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IT\Downloads\"/>
    </mc:Choice>
  </mc:AlternateContent>
  <xr:revisionPtr revIDLastSave="0" documentId="13_ncr:1_{9137DD93-B664-4723-A920-DAADD35C34D2}" xr6:coauthVersionLast="47" xr6:coauthVersionMax="47" xr10:uidLastSave="{00000000-0000-0000-0000-000000000000}"/>
  <bookViews>
    <workbookView xWindow="-120" yWindow="-120" windowWidth="29040" windowHeight="15720" tabRatio="825" xr2:uid="{81B0B066-6331-4437-847F-5B40C34120E4}"/>
  </bookViews>
  <sheets>
    <sheet name="MW UPLOAD" sheetId="10" r:id="rId1"/>
    <sheet name="Capitalization" sheetId="2" r:id="rId2"/>
    <sheet name="Relative to Street" sheetId="6" r:id="rId3"/>
    <sheet name="Business Build-up" sheetId="5" r:id="rId4"/>
    <sheet name="Model" sheetId="1" r:id="rId5"/>
    <sheet name="Annual" sheetId="3" r:id="rId6"/>
    <sheet name="WACC" sheetId="7" r:id="rId7"/>
    <sheet name="RV Backups&gt;&gt;" sheetId="14" r:id="rId8"/>
    <sheet name="Check with Street" sheetId="13" r:id="rId9"/>
    <sheet name="Operating Leverage" sheetId="12" r:id="rId10"/>
    <sheet name="CFS Raw Data" sheetId="11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\P">#REF!</definedName>
    <definedName name="_">#REF!</definedName>
    <definedName name="__123Graph_XChart1" hidden="1">[1]P!$R$29:$AK$29</definedName>
    <definedName name="__123Graph_XCurrent" hidden="1">[1]P!$R$29:$AK$29</definedName>
    <definedName name="__EPS01">[2]XOM!$F$34</definedName>
    <definedName name="__EPS02">[2]XOM!$G$34</definedName>
    <definedName name="__EPS03">[2]XOM!$H$34</definedName>
    <definedName name="__EPS04">[2]XOM!$I$34</definedName>
    <definedName name="__EPS98">[2]XOM!$C$34</definedName>
    <definedName name="__EPS99">[2]XOM!$D$34</definedName>
    <definedName name="__FDS_HYPERLINK_TOGGLE_STATE__" hidden="1">"ON"</definedName>
    <definedName name="__lag1">[3]Chart!$C$28:$D$108</definedName>
    <definedName name="__lag2">[3]Chart!$G$28:$H$108</definedName>
    <definedName name="__sn1" hidden="1">{"Summary",#N/A,FALSE,"Model"}</definedName>
    <definedName name="__ta1">#REF!</definedName>
    <definedName name="__TA27">#REF!</definedName>
    <definedName name="_1_bbl_CFPS">#REF!</definedName>
    <definedName name="_1_bbl_DACF">#REF!</definedName>
    <definedName name="_1_bbl_EPS">#REF!</definedName>
    <definedName name="_10_mmcf_d_CFPS">#REF!</definedName>
    <definedName name="_10_mmcf_d_EPS">#REF!</definedName>
    <definedName name="_1000_b_d_CFPS">#REF!</definedName>
    <definedName name="_1000_b_d_EPS">#REF!</definedName>
    <definedName name="_10c_mcf_CFPS">#REF!</definedName>
    <definedName name="_10c_mcf_DACF">#REF!</definedName>
    <definedName name="_10c_mcf_EPS">#REF!</definedName>
    <definedName name="_10Module1_.INTERNAL">#N/A</definedName>
    <definedName name="_10Module2_.CLIENTS">#N/A</definedName>
    <definedName name="_11Module1_.INTERNAL">#N/A</definedName>
    <definedName name="_11Module2_.CLIENTS">#N/A</definedName>
    <definedName name="_12Module1_.INTERNAL">#N/A</definedName>
    <definedName name="_12Module2_.CLIENTS">#N/A</definedName>
    <definedName name="_13Module1_.INTERNAL">#N/A</definedName>
    <definedName name="_13Module2_.CLIENTS">#N/A</definedName>
    <definedName name="_14Module1_.INTERNAL">#N/A</definedName>
    <definedName name="_14Module2_.CLIENTS">#N/A</definedName>
    <definedName name="_14Module2_.INTERNAL">#N/A</definedName>
    <definedName name="_15Module1_.INTERNAL">#N/A</definedName>
    <definedName name="_15Module2_.CLIENTS">#N/A</definedName>
    <definedName name="_15Module2_.INTERNAL">#N/A</definedName>
    <definedName name="_16Module1_.INTERNAL">#N/A</definedName>
    <definedName name="_16Module2_.INTERNAL">#N/A</definedName>
    <definedName name="_17__123Graph_AGASOLINE\_2" hidden="1">[4]TSO!#REF!</definedName>
    <definedName name="_17Module1_.INTERNAL">#N/A</definedName>
    <definedName name="_17Module2_.CLIENTS">#N/A</definedName>
    <definedName name="_18__123Graph_ALIQUIDS" hidden="1">[5]COP!#REF!</definedName>
    <definedName name="_18Module1_.INTERNAL">#N/A</definedName>
    <definedName name="_18Module2_.CLIENTS">#N/A</definedName>
    <definedName name="_19__123Graph_AOP_COSTS" hidden="1">[4]TSO!#REF!</definedName>
    <definedName name="_19Module2_.CLIENTS">#N/A</definedName>
    <definedName name="_19Module2_.INTERNAL">#N/A</definedName>
    <definedName name="_1Module1_.CLIENTS">#N/A</definedName>
    <definedName name="_20__123Graph_AR_M_MARG" hidden="1">[6]P!#REF!</definedName>
    <definedName name="_20Module2_.CLIENTS">#N/A</definedName>
    <definedName name="_20Module2_.INTERNAL">#N/A</definedName>
    <definedName name="_21__123Graph_BGASOLINE\_2" hidden="1">[4]TSO!#REF!</definedName>
    <definedName name="_21Module2_.CLIENTS">#N/A</definedName>
    <definedName name="_21Module2_.INTERNAL">#N/A</definedName>
    <definedName name="_22__123Graph_XGASOLINE\_2" hidden="1">[4]TSO!#REF!</definedName>
    <definedName name="_22Module2_.CLIENTS">#N/A</definedName>
    <definedName name="_23__123Graph_XLIQUIDS" hidden="1">[1]P!$R$29:$AK$29</definedName>
    <definedName name="_23Module2_.CLIENTS">#N/A</definedName>
    <definedName name="_23Module2_.INTERNAL">#N/A</definedName>
    <definedName name="_24__123Graph_XOP_COSTS" hidden="1">[4]TSO!#REF!</definedName>
    <definedName name="_24Module2_.CLIENTS">#N/A</definedName>
    <definedName name="_24Module2_.INTERNAL">#N/A</definedName>
    <definedName name="_25__123Graph_XR_M_MARG" hidden="1">[1]P!$R$29:$AK$29</definedName>
    <definedName name="_25_0_0Loan_Loss_Provision_f">#REF!</definedName>
    <definedName name="_25Module2_.CLIENTS">#N/A</definedName>
    <definedName name="_26_0_0Loan_Loss_Provision_f">#REF!</definedName>
    <definedName name="_26Module2_.CLIENTS">#N/A</definedName>
    <definedName name="_27_0_0Loan_Loss_Provision_f">#REF!</definedName>
    <definedName name="_27Module2_.CLIENTS">#N/A</definedName>
    <definedName name="_28_0_0Loan_Loss_Provision_f">#REF!</definedName>
    <definedName name="_28Module2_.INTERNAL">#N/A</definedName>
    <definedName name="_29_0_0Loan_Loss_Provision_f">#REF!</definedName>
    <definedName name="_29Module2_.INTERNAL">#N/A</definedName>
    <definedName name="_2Module1_.CLIENTS">#N/A</definedName>
    <definedName name="_30_0_0Loan_Loss_Provision_f">#REF!</definedName>
    <definedName name="_30Module2_.INTERNAL">#N/A</definedName>
    <definedName name="_31Module2_.INTERNAL">#N/A</definedName>
    <definedName name="_32Module2_.INTERNAL">#N/A</definedName>
    <definedName name="_33Module2_.INTERNAL">#N/A</definedName>
    <definedName name="_34Module2_.INTERNAL">#N/A</definedName>
    <definedName name="_35Module2_.INTERNAL">#N/A</definedName>
    <definedName name="_36Module2_.INTERNAL">#N/A</definedName>
    <definedName name="_37__123Graph_AGASOLINE\_2" hidden="1">[4]TSO!#REF!</definedName>
    <definedName name="_37_0_0Loan_Loss_Provision_f">#REF!</definedName>
    <definedName name="_38__123Graph_ALIQUIDS" hidden="1">[5]COP!#REF!</definedName>
    <definedName name="_38_0_0Loan_Loss_Provision_f">#REF!</definedName>
    <definedName name="_39__123Graph_AOP_COSTS" hidden="1">[4]TSO!#REF!</definedName>
    <definedName name="_39_0_0Loan_Loss_Provision_f">#REF!</definedName>
    <definedName name="_3Module1_.CLIENTS">#N/A</definedName>
    <definedName name="_40__123Graph_AR_M_MARG" hidden="1">[6]P!#REF!</definedName>
    <definedName name="_40_0_0Loan_Loss_Provision_f">#REF!</definedName>
    <definedName name="_41__123Graph_BGASOLINE\_2" hidden="1">[4]TSO!#REF!</definedName>
    <definedName name="_42__123Graph_XGASOLINE\_2" hidden="1">[4]TSO!#REF!</definedName>
    <definedName name="_42_0_0Loan_Loss_Provision_f">#REF!</definedName>
    <definedName name="_43__123Graph_XLIQUIDS" hidden="1">[1]P!$R$29:$AK$29</definedName>
    <definedName name="_43_0_0Loan_Loss_Provision_f">#REF!</definedName>
    <definedName name="_44__123Graph_XOP_COSTS" hidden="1">[4]TSO!#REF!</definedName>
    <definedName name="_44_0_0Loan_Loss_Provision_f">#REF!</definedName>
    <definedName name="_45__123Graph_XR_M_MARG" hidden="1">[1]P!$R$29:$AK$29</definedName>
    <definedName name="_45_0_0Loan_Loss_Provision_f">#REF!</definedName>
    <definedName name="_46_0_0Loan_Loss_Provision_f">#REF!</definedName>
    <definedName name="_47_0_0Loan_Loss_Provision_f">#REF!</definedName>
    <definedName name="_4Module1_.CLIENTS">#N/A</definedName>
    <definedName name="_5_FX_CFPS">#REF!</definedName>
    <definedName name="_5_FX_DACF">#REF!</definedName>
    <definedName name="_5_FX_EPS">#REF!</definedName>
    <definedName name="_50Loan_Loss_Provision_f">#REF!</definedName>
    <definedName name="_5Module1_.CLIENTS">#N/A</definedName>
    <definedName name="_60_0_0Loan_Loss_Provision_f">#REF!</definedName>
    <definedName name="_61_0_0Loan_Loss_Provision_f">#REF!</definedName>
    <definedName name="_62_0_0Loan_Loss_Provision_f">#REF!</definedName>
    <definedName name="_63_0_0Loan_Loss_Provision_f">#REF!</definedName>
    <definedName name="_64_0_0Loan_Loss_Provision_f">#REF!</definedName>
    <definedName name="_65_0_0Loan_Loss_Provision_f">#REF!</definedName>
    <definedName name="_66_0_0Loan_Loss_Provision_f">#REF!</definedName>
    <definedName name="_67_0_0Loan_Loss_Provision_f">#REF!</definedName>
    <definedName name="_6Module1_.CLIENTS">#N/A</definedName>
    <definedName name="_6Module1_.INTERNAL">#N/A</definedName>
    <definedName name="_70Loan_Loss_Provision_f">#REF!</definedName>
    <definedName name="_7Module1_.CLIENTS">#N/A</definedName>
    <definedName name="_7Module1_.INTERNAL">#N/A</definedName>
    <definedName name="_8Module1_.CLIENTS">#N/A</definedName>
    <definedName name="_8Module1_.INTERNAL">#N/A</definedName>
    <definedName name="_9Module1_.CLIENTS">#N/A</definedName>
    <definedName name="_9Module1_.INTERNAL">#N/A</definedName>
    <definedName name="_bdm.2C0979199CF14C20AB17E7F0C5F8CBFC.edm" hidden="1">[7]BS!$A:$IV</definedName>
    <definedName name="_bdm.4B3650AD09F54AAA9DF1A8CF72C0AB18.edm" hidden="1">#REF!</definedName>
    <definedName name="_bdm.60AB9912ECDF48B9B030300312C3BE1D.edm" hidden="1">[7]ReportOutput!$A:$IV</definedName>
    <definedName name="_bdm.6B3D7231DE924A7691AB64E3113A9017.edm" hidden="1">#REF!</definedName>
    <definedName name="_bdm.7C9D9BB24B9A4E09BAFCDECC21AD3B2D.edm" hidden="1">[8]DPM!$A:$IV</definedName>
    <definedName name="_bdm.9BF4C23531984488ACB1711F0460DC59.edm" hidden="1">[7]ETP!$A:$IV</definedName>
    <definedName name="_bdm.ABF424B328E44A8A9B0539791FF2F496.edm" hidden="1">#REF!</definedName>
    <definedName name="_bdm.B6B7DAE119954620ACFDF690FB2799EC.edm" hidden="1">[8]BS!$A:$IV</definedName>
    <definedName name="_bdm.CC68162FB8814A1D86B0D587EB2BFDC3.edm" hidden="1">#REF!</definedName>
    <definedName name="_bdm.DD7C69B92DCC4F2AA762B5A495D5A5D7.edm" hidden="1">#REF!</definedName>
    <definedName name="_bdm.F086FBCF9E8C449EA30EBF72FFB6C844.edm" hidden="1">[9]EEP!$A:$IV</definedName>
    <definedName name="_BS">#REF!</definedName>
    <definedName name="_CF">#REF!</definedName>
    <definedName name="_Drivers">#REF!</definedName>
    <definedName name="_EPS01">[2]XOM!$F$34</definedName>
    <definedName name="_EPS02">[2]XOM!$G$34</definedName>
    <definedName name="_EPS03">[2]XOM!$H$34</definedName>
    <definedName name="_EPS04">[2]XOM!$I$34</definedName>
    <definedName name="_EPS98">[2]XOM!$C$34</definedName>
    <definedName name="_EPS99">[2]XOM!$D$34</definedName>
    <definedName name="_IS">#REF!</definedName>
    <definedName name="_Key1" hidden="1">[10]Sheet1!#REF!</definedName>
    <definedName name="_lag1">[3]Chart!$C$28:$D$108</definedName>
    <definedName name="_lag2">[3]Chart!$G$28:$H$108</definedName>
    <definedName name="_Order1" hidden="1">0</definedName>
    <definedName name="_PROD">#REF!</definedName>
    <definedName name="_REAL">#REF!</definedName>
    <definedName name="_sn1" hidden="1">{"Summary",#N/A,FALSE,"Model"}</definedName>
    <definedName name="_Sort" hidden="1">#N/A</definedName>
    <definedName name="_ta1">#REF!</definedName>
    <definedName name="_TA27">#REF!</definedName>
    <definedName name="A">#REF!</definedName>
    <definedName name="a__Values_in_blue_font_and_cells_with_gray_borders_can_be_modified._b__Max._Window_for_Start_and_End_Dates_is_4_years.__c__Review_Bull__Base__Bear__and_Extreme_Upside_and_Downside_values_carefully.__Any_changes_to_this_data_will_upload_to_MW.">#REF!</definedName>
    <definedName name="ab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creage">'[11]Valuation (2)'!$A$16:$D$22</definedName>
    <definedName name="Actual" hidden="1">{#N/A,#N/A,TRUE,"Historicals";#N/A,#N/A,TRUE,"Charts";#N/A,#N/A,TRUE,"Forecasts"}</definedName>
    <definedName name="ACwvu.dcf." hidden="1">#REF!</definedName>
    <definedName name="ACwvu.valuation." hidden="1">#REF!</definedName>
    <definedName name="Additional_Data1">#REF!</definedName>
    <definedName name="ADJ">[12]Financials!$C$211:$D$349</definedName>
    <definedName name="ADP">[13]Financials!$C$211:$D$349</definedName>
    <definedName name="Affiliates_reported">#REF!</definedName>
    <definedName name="alaska">#REF!</definedName>
    <definedName name="Alberta_Hub_Gas_Price_C_mscf">#REF!</definedName>
    <definedName name="Alberta_Spot_Wellhead_Gas_Price_C_mscf">#REF!</definedName>
    <definedName name="Alberta_Spot_Wellhead_Gas_Price_mscf">#REF!</definedName>
    <definedName name="algeria">#REF!</definedName>
    <definedName name="anal">[14]MATINC!$A$80:$Q$133</definedName>
    <definedName name="APA">[10]Sheet1!#REF!</definedName>
    <definedName name="APAn">[10]Sheet1!#REF!</definedName>
    <definedName name="APC">[10]Sheet1!$A$10:$IV$10</definedName>
    <definedName name="areas">[15]Charts!$K$4:$Q$11</definedName>
    <definedName name="Argentina">#REF!</definedName>
    <definedName name="ASSET_VALUE">[16]Peak!$B$3:$D$15</definedName>
    <definedName name="ASSET_VALUE1">[16]CC!$B$3:$I$15</definedName>
    <definedName name="ASSET_VALUE2">'[16]Gas Steam'!$B$3:$C$15</definedName>
    <definedName name="ASSUMPTIONS">#REF!</definedName>
    <definedName name="Average_Shares_In_Issue_Fully_Diluted">#REF!</definedName>
    <definedName name="Average_Shares_In_Issue_m_Basic">#REF!</definedName>
    <definedName name="BAL_SHEET">'[17]NYSE NBP'!$A$142</definedName>
    <definedName name="balance">'[18]Balance Sheet'!$A$1:$AL$24</definedName>
    <definedName name="Beta">[19]WACC!$E$42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84" hidden="1">'[20]More Graphs'!#REF!</definedName>
    <definedName name="BLPH85" hidden="1">'[20]More Graphs'!#REF!</definedName>
    <definedName name="BLPH86" hidden="1">'[20]More Graphs'!#REF!</definedName>
    <definedName name="Book_Value_Per_Share_Basic">#REF!</definedName>
    <definedName name="BR">[10]Sheet1!$A$12:$IV$12</definedName>
    <definedName name="Brent_Oil_Price_US_bbl">#REF!</definedName>
    <definedName name="BRn">[10]Sheet1!$A$41:$IV$41</definedName>
    <definedName name="BRR">[10]Sheet1!$A$16:$IV$16</definedName>
    <definedName name="BRRROLV">[10]Sheet1!#REF!</definedName>
    <definedName name="BS">[12]Financials!$C$174:$D$209</definedName>
    <definedName name="BSNXROLV">[10]Sheet1!#REF!</definedName>
    <definedName name="canada">#REF!</definedName>
    <definedName name="CapEmp00">[2]BS!$E$8</definedName>
    <definedName name="CapEmp01">[2]BS!$F$8</definedName>
    <definedName name="CapEmp02">[2]BS!$G$8</definedName>
    <definedName name="CapEmp03">[2]BS!$H$8</definedName>
    <definedName name="CapEmp04">[2]BS!$I$8</definedName>
    <definedName name="CapEmp97">[2]BS!$B$8</definedName>
    <definedName name="CapEmp98">[2]BS!$C$8</definedName>
    <definedName name="CapEmp99">[2]BS!$D$8</definedName>
    <definedName name="Capex">#REF!</definedName>
    <definedName name="Cash_EPS_Change">#REF!</definedName>
    <definedName name="Cash_EPS_Fully_Diluted">#REF!</definedName>
    <definedName name="Cash_Interest_Cover">#REF!</definedName>
    <definedName name="CashFlow">#REF!</definedName>
    <definedName name="CashFlow00">'[21]Q-Breakdown'!#REF!</definedName>
    <definedName name="CashFlow01">'[21]Q-Breakdown'!#REF!</definedName>
    <definedName name="cents10c_mcf_CFPS">#REF!</definedName>
    <definedName name="cents10c_mcf_EPS">#REF!</definedName>
    <definedName name="CEPS00">[2]XOM!$E$35</definedName>
    <definedName name="CEPS01">[2]XOM!$F$35</definedName>
    <definedName name="CEPS02">[2]XOM!$G$35</definedName>
    <definedName name="CEPS03">[2]XOM!$H$35</definedName>
    <definedName name="CEPS04">[2]XOM!$I$35</definedName>
    <definedName name="CEPS98">[2]XOM!$C$35</definedName>
    <definedName name="CEPS99">[2]XOM!$D$35</definedName>
    <definedName name="CF">[12]Financials!$C$140:$D$172</definedName>
    <definedName name="CF_STATEMENT">'[17]NYSE NBP'!#REF!</definedName>
    <definedName name="CFPS_1000bd">#REF!</definedName>
    <definedName name="CFPS_10mmcfd">#REF!</definedName>
    <definedName name="CFPS00">'[21]Q-Breakdown'!#REF!</definedName>
    <definedName name="CFPS01">'[21]Q-Breakdown'!#REF!</definedName>
    <definedName name="chart22">'[22]Midstream performance'!$E$1:$E$65536</definedName>
    <definedName name="Charts1">#REF!</definedName>
    <definedName name="Charts2">#REF!</definedName>
    <definedName name="CHEM2">[23]DOW_MOD!#REF!</definedName>
    <definedName name="Chemicals_Non_US">#REF!</definedName>
    <definedName name="Chemicals_US">#REF!</definedName>
    <definedName name="Chile1">#REF!</definedName>
    <definedName name="Chile2">#REF!</definedName>
    <definedName name="CITADELZERO">0</definedName>
    <definedName name="CLIENTS">#N/A</definedName>
    <definedName name="CLIENTZ">#N/A</definedName>
    <definedName name="Closed_End">#REF!</definedName>
    <definedName name="Coal_Inventory">[24]Inventory!$S$37:$AB$57</definedName>
    <definedName name="COGFC">[10]Sheet1!#REF!</definedName>
    <definedName name="COGROLV">[10]Sheet1!#REF!</definedName>
    <definedName name="CopyrightStamp">#REF!</definedName>
    <definedName name="Core_EBIT">#REF!</definedName>
    <definedName name="Core_Value">#REF!</definedName>
    <definedName name="Current_98_Mcfe">[10]Sheet3!$U$1:$U$65536</definedName>
    <definedName name="Current_Actual">[10]Sheet1!$I$1:$I$65536</definedName>
    <definedName name="Current_Mcfe">[10]Sheet1!$U$1:$U$65536</definedName>
    <definedName name="Current_Normalized">[10]Sheet1!$H$1:$H$65536</definedName>
    <definedName name="Current_ULCF">[10]Sheet1!$R$1:$R$65536</definedName>
    <definedName name="CUSSheetClass">"GOIL"</definedName>
    <definedName name="CXY">[10]Sheet1!$A$43:$IV$43</definedName>
    <definedName name="d">#N/A</definedName>
    <definedName name="data">#REF!</definedName>
    <definedName name="_xlnm.Database">#REF!</definedName>
    <definedName name="Databox">#REF!</definedName>
    <definedName name="DD">[23]DOW_MOD!#REF!</definedName>
    <definedName name="DDA">[25]Summary!$I$4</definedName>
    <definedName name="de">#N/A</definedName>
    <definedName name="debt">#REF!</definedName>
    <definedName name="Debt_Per_Share_n">[10]Sheet1!$E$1:$E$65536</definedName>
    <definedName name="Debt_to_Capital">#REF!</definedName>
    <definedName name="Debt_to_Equity">#REF!</definedName>
    <definedName name="Deep_Test">#REF!</definedName>
    <definedName name="Deferred_taxes_PL">#REF!</definedName>
    <definedName name="Depreciation_boe10">#REF!</definedName>
    <definedName name="Depreciation_boe6">#REF!</definedName>
    <definedName name="DisclosuresText">#REF!</definedName>
    <definedName name="Discount_Rate_Used">#REF!</definedName>
    <definedName name="Distgrowth">[26]Assumptions!$A$6</definedName>
    <definedName name="Dividend_Cover">#REF!</definedName>
    <definedName name="dollar1_bbl_CFPS">#REF!</definedName>
    <definedName name="dollar1_bbl_EPS">#REF!</definedName>
    <definedName name="Domestic_Gas_bcf_PE">#REF!</definedName>
    <definedName name="Domestic_Gas_bcf_PPE">#REF!</definedName>
    <definedName name="Domestic_Gas_Prod_PerCent_Total_Gas">#REF!</definedName>
    <definedName name="Domestic_LNG_mmboe_PE">#REF!</definedName>
    <definedName name="Domestic_LNG_mmboe_PPE">#REF!</definedName>
    <definedName name="Domestic_Oil_mmbbls_PE">#REF!</definedName>
    <definedName name="Domestic_Oil_mmbbls_PPE">#REF!</definedName>
    <definedName name="Domestic_Other_mmbbls_PE">#REF!</definedName>
    <definedName name="Domestic_Other_mmbbls_PPE">#REF!</definedName>
    <definedName name="Domestic_Prod">#REF!</definedName>
    <definedName name="Drilling">#REF!</definedName>
    <definedName name="dsf">#N/A</definedName>
    <definedName name="DVN">[10]Sheet1!#REF!</definedName>
    <definedName name="DVNROLV">[10]Sheet1!#REF!</definedName>
    <definedName name="DXD">[10]Sheet1!$A$10:$IV$10</definedName>
    <definedName name="E_P_Net_Income_BOE">#REF!</definedName>
    <definedName name="E_P_Non_US">#REF!</definedName>
    <definedName name="E_P_Operating_Costs_boe">#REF!</definedName>
    <definedName name="E_P_US">#REF!</definedName>
    <definedName name="EarningsMode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BIDA00">[2]BS!$E$112</definedName>
    <definedName name="EBIDA01">[2]BS!$F$112</definedName>
    <definedName name="EBIDA02">[2]BS!$G$112</definedName>
    <definedName name="EBIDA03">[2]BS!$H$112</definedName>
    <definedName name="EBIDA04">[2]BS!$I$112</definedName>
    <definedName name="EBIDA98">[2]BS!$C$112</definedName>
    <definedName name="EBIDA99">[2]BS!$D$112</definedName>
    <definedName name="EBITDA_Chems_Total">#REF!</definedName>
    <definedName name="EBITDA_E_P_Total">#REF!</definedName>
    <definedName name="EBITDA_Gas_Power_Total">#REF!</definedName>
    <definedName name="EBITDA_Other_Total">#REF!</definedName>
    <definedName name="EBITDA_R_M_Total">#REF!</definedName>
    <definedName name="EBITDA00">[2]BS!$E$115</definedName>
    <definedName name="EBITDA01">[2]BS!$F$115</definedName>
    <definedName name="EBITDA02">[2]BS!$G$115</definedName>
    <definedName name="EBITDA03">[2]BS!$H$115</definedName>
    <definedName name="EBITDA04">[2]BS!$I$115</definedName>
    <definedName name="EBITDA98">[2]BS!$C$115</definedName>
    <definedName name="EBITDA99">[2]BS!$D$115</definedName>
    <definedName name="ECA">[10]Sheet1!#REF!</definedName>
    <definedName name="EEE">[10]Sheet1!#REF!</definedName>
    <definedName name="emnIncmStat">#REF!</definedName>
    <definedName name="emnOpProft">#REF!</definedName>
    <definedName name="emnsalesmodl">#REF!</definedName>
    <definedName name="ENL">[10]Sheet1!#REF!</definedName>
    <definedName name="Enterprise_Value">[15]Val!$A$6:$K$96</definedName>
    <definedName name="EOG">[10]Sheet1!#REF!</definedName>
    <definedName name="EOGn">[10]Sheet1!#REF!</definedName>
    <definedName name="EPD_Annual_Balance_Sheet_Model">[27]ReportOutput!$A$361</definedName>
    <definedName name="EPS_1000bd">#REF!</definedName>
    <definedName name="EPS_10mmcfd">#REF!</definedName>
    <definedName name="EPS_Basic_Change">#REF!</definedName>
    <definedName name="EPS_Fully_Diluted_Change">#REF!</definedName>
    <definedName name="EPS_Pre_Exceptional_Change">#REF!</definedName>
    <definedName name="EPS_Pre_Exceptional_Change_FD">#REF!</definedName>
    <definedName name="EPS00">[2]XOM!$E$34</definedName>
    <definedName name="eps1q1996">[28]NKEQTRIN!$CN$38</definedName>
    <definedName name="EquityPremium">[19]WACC!$E$38</definedName>
    <definedName name="EstS">[29]Sheet1!$A$3:$BQ$30</definedName>
    <definedName name="EstS2">[29]Sheet1!$C$3:$BQ$30</definedName>
    <definedName name="Euro_US_Exchange_Rate">#REF!</definedName>
    <definedName name="Euro_US_Exchange_Rate_Spot">#REF!</definedName>
    <definedName name="Exploration_Acreage_Net_Acres">#REF!</definedName>
    <definedName name="Exploration_Expenses_US">#REF!</definedName>
    <definedName name="Export">#REF!</definedName>
    <definedName name="ｆ" hidden="1">"iQShowAnnual"</definedName>
    <definedName name="FCF">[12]Financials!$C$117:$D$139</definedName>
    <definedName name="FD_Cost_PP">#REF!</definedName>
    <definedName name="FD_Cost_Proved">#REF!</definedName>
    <definedName name="FDA_Cost_PP">#REF!</definedName>
    <definedName name="FDA_Cost_Proved">#REF!</definedName>
    <definedName name="Finding_Cost_PP">#REF!</definedName>
    <definedName name="Finding_Cost_Proved">#REF!</definedName>
    <definedName name="FirstCall">#REF!</definedName>
    <definedName name="FirstCall2">'[10]Data Box'!$D$2:$J$17</definedName>
    <definedName name="FST">[10]Sheet1!#REF!</definedName>
    <definedName name="FSTROLV">[10]Sheet1!#REF!</definedName>
    <definedName name="FX">'[30]Q-Breakdown'!$X$83</definedName>
    <definedName name="Gas_Dev">[25]Summary!$I$17</definedName>
    <definedName name="Gas_Life">[25]Summary!$I$13</definedName>
    <definedName name="Gas_Prod_Init">[25]Summary!$I$12</definedName>
    <definedName name="Gas_Prod_mmcf_d">#REF!</definedName>
    <definedName name="Gas_Pud">[25]Summary!$I$15</definedName>
    <definedName name="Gas_Res">[25]Summary!$I$11</definedName>
    <definedName name="GasOil_conversion_factor_mmcf_d_boe_d">#REF!</definedName>
    <definedName name="Gcf_Cap_Exp">#REF!</definedName>
    <definedName name="Gcf_Depreciation">#REF!</definedName>
    <definedName name="Gcf_Div_Paid">#REF!</definedName>
    <definedName name="Gcf_EBIT">#REF!</definedName>
    <definedName name="Gcf_Inc_Net_Debt">#REF!</definedName>
    <definedName name="Gcf_Interest_Paid">#REF!</definedName>
    <definedName name="Gcf_Net_Acquisitions_Disp">#REF!</definedName>
    <definedName name="Gcf_Operational_Cash_Flow">#REF!</definedName>
    <definedName name="Gcf_Other">#REF!</definedName>
    <definedName name="Gcf_Other_Operating">#REF!</definedName>
    <definedName name="Gcf_Share_Issues">#REF!</definedName>
    <definedName name="Gcf_Tax_Paid">#REF!</definedName>
    <definedName name="Gcf_Work_Cap_Inc">#REF!</definedName>
    <definedName name="gfdg">#N/A</definedName>
    <definedName name="GOU">[10]Sheet1!#REF!</definedName>
    <definedName name="Gpl_Extra_Items">#REF!</definedName>
    <definedName name="Gpl_Min_and_Assoc">#REF!</definedName>
    <definedName name="Gpl_Net_Interest">#REF!</definedName>
    <definedName name="Gpl_Net_Oth_Non_Op_Items">#REF!</definedName>
    <definedName name="Gpl_Net_Profit">#REF!</definedName>
    <definedName name="Gpl_Other">#REF!</definedName>
    <definedName name="Gpl_Other_Costs">#REF!</definedName>
    <definedName name="Gpl_Profit_Before_Tax">#REF!</definedName>
    <definedName name="Gpl_Tax">#REF!</definedName>
    <definedName name="graph1">#REF!</definedName>
    <definedName name="graph2">#REF!</definedName>
    <definedName name="Gross_DPS">#REF!</definedName>
    <definedName name="HangingWoman">#REF!</definedName>
    <definedName name="HC_Net_Income_Group_Share">#REF!</definedName>
    <definedName name="Henry_Hub_Gas_Price_US_mscf">#REF!</definedName>
    <definedName name="hgfgh">#N/A</definedName>
    <definedName name="HYDRO">[23]DOW_MOD!#REF!</definedName>
    <definedName name="IEP_Return">[31]Sheet1!$E$8</definedName>
    <definedName name="INC_STATEMENT">'[17]NYSE NBP'!$A$8</definedName>
    <definedName name="Income">#REF!</definedName>
    <definedName name="IndustryId">#REF!</definedName>
    <definedName name="Int_Prod_sales">#REF!</definedName>
    <definedName name="Int_Ref_runs">#REF!</definedName>
    <definedName name="Interest_Cover_P_L">#REF!</definedName>
    <definedName name="Interest_Cover_PL">#REF!</definedName>
    <definedName name="INTERNAL">#N/A</definedName>
    <definedName name="international">#REF!</definedName>
    <definedName name="International_Gas_bcf_PE">#REF!</definedName>
    <definedName name="International_Gas_bcf_PPE">#REF!</definedName>
    <definedName name="International_LNG_mmboe_PE">#REF!</definedName>
    <definedName name="International_LNG_mmboe_PPE">#REF!</definedName>
    <definedName name="International_Oil_mmbbls_PE">'[32]#REF'!$A$285:$IV$285</definedName>
    <definedName name="International_Oil_mmbbls_PPE">#REF!</definedName>
    <definedName name="International_Other_mmbbls_PE">#REF!</definedName>
    <definedName name="International_Other_mmbbls_PPE">#REF!</definedName>
    <definedName name="InvCap">'[12]Invested Capital'!$C$64</definedName>
    <definedName name="Inventory_Graph">[24]Inventory!$S$61:$AB$82</definedName>
    <definedName name="Inventory_table">[24]Inventory!$A$143:$B$153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SSET_BACKED_FDIC" hidden="1">"c6301"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PRICE_TARGET" hidden="1">"c82"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ASH_DIVIDENDS_NET_INCOME_FDIC" hidden="1">"c6738"</definedName>
    <definedName name="IQ_CASH_IN_PROCESS_FDIC" hidden="1">"c6386"</definedName>
    <definedName name="IQ_CCE_FDIC" hidden="1">"c6296"</definedName>
    <definedName name="IQ_CH" hidden="1">110000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FDIC" hidden="1">"c6350"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RT_DEBT" hidden="1">"c224"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Q" hidden="1">5000</definedName>
    <definedName name="IQ_CREDIT_CARD_CHARGE_OFFS_FDIC" hidden="1">"c6652"</definedName>
    <definedName name="IQ_CREDIT_CARD_FEE" hidden="1">"c231"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Y" hidden="1">10000</definedName>
    <definedName name="IQ_DAILY" hidden="1">500000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"c157"</definedName>
    <definedName name="IQ_EBIT_GROWTH_2" hidden="1">"c161"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GROWTH_1" hidden="1">"c156"</definedName>
    <definedName name="IQ_EBITDA_GROWTH_2" hidden="1">"c160"</definedName>
    <definedName name="IQ_EBITDA_NO_EST" hidden="1">"c267"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ICIENCY_RATIO_FDIC" hidden="1">"c6736"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NO_EST" hidden="1">"c271"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_ACT_FFO_REUT" hidden="1">"c3843"</definedName>
    <definedName name="IQ_EST_ACT_FFO_THOM" hidden="1">"c4005"</definedName>
    <definedName name="IQ_EST_EPS_SURPRISE" hidden="1">"c1635"</definedName>
    <definedName name="IQ_EST_FFO_DIFF_REUT" hidden="1">"c3890"</definedName>
    <definedName name="IQ_EST_FFO_DIFF_THOM" hidden="1">"c5186"</definedName>
    <definedName name="IQ_EST_FFO_SURPRISE_PERCENT_REUT" hidden="1">"c3891"</definedName>
    <definedName name="IQ_EST_FFO_SURPRISE_PERCENT_THOM" hidden="1">"c5187"</definedName>
    <definedName name="IQ_ESTIMATED_ASSESSABLE_DEPOSITS_FDIC" hidden="1">"c6490"</definedName>
    <definedName name="IQ_ESTIMATED_INSURED_DEPOSITS_FDIC" hidden="1">"c6491"</definedName>
    <definedName name="IQ_EV_OVER_REVENUE_EST" hidden="1">"c165"</definedName>
    <definedName name="IQ_EV_OVER_REVENUE_EST_1" hidden="1">"c166"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FO_EST_REUT" hidden="1">"c3837"</definedName>
    <definedName name="IQ_FFO_EST_THOM" hidden="1">"c3999"</definedName>
    <definedName name="IQ_FFO_HIGH_EST_REUT" hidden="1">"c3839"</definedName>
    <definedName name="IQ_FFO_HIGH_EST_THOM" hidden="1">"c4001"</definedName>
    <definedName name="IQ_FFO_LOW_EST_REUT" hidden="1">"c3840"</definedName>
    <definedName name="IQ_FFO_LOW_EST_THOM" hidden="1">"c4002"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_REUT" hidden="1">"c3841"</definedName>
    <definedName name="IQ_FFO_NUM_EST_THOM" hidden="1">"c4003"</definedName>
    <definedName name="IQ_FFO_SHARE_SHARE_EST_DET_EST" hidden="1">"c12059"</definedName>
    <definedName name="IQ_FFO_SHARE_SHARE_EST_DET_EST_CIQ" hidden="1">"c12121"</definedName>
    <definedName name="IQ_FFO_SHARE_SHARE_EST_DET_EST_CURRENCY" hidden="1">"c12466"</definedName>
    <definedName name="IQ_FFO_SHARE_SHARE_EST_DET_EST_CURRENCY_CIQ" hidden="1">"c12512"</definedName>
    <definedName name="IQ_FFO_SHARE_SHARE_EST_DET_EST_DATE" hidden="1">"c12212"</definedName>
    <definedName name="IQ_FFO_SHARE_SHARE_EST_DET_EST_DATE_CIQ" hidden="1">"c12267"</definedName>
    <definedName name="IQ_FFO_SHARE_SHARE_EST_DET_EST_INCL" hidden="1">"c12349"</definedName>
    <definedName name="IQ_FFO_SHARE_SHARE_EST_DET_EST_INCL_CIQ" hidden="1">"c12395"</definedName>
    <definedName name="IQ_FFO_SHARE_SHARE_EST_DET_EST_ORIGIN" hidden="1">"c12722"</definedName>
    <definedName name="IQ_FFO_SHARE_SHARE_EST_DET_EST_ORIGIN_CIQ" hidden="1">"c12720"</definedName>
    <definedName name="IQ_FFO_STDDEV_EST_REUT" hidden="1">"c3842"</definedName>
    <definedName name="IQ_FFO_STDDEV_EST_THOM" hidden="1">"c4004"</definedName>
    <definedName name="IQ_FH" hidden="1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VE_YEAR_FIXED_AND_FLOATING_RATE_FDIC" hidden="1">"c6422"</definedName>
    <definedName name="IQ_FIVE_YEAR_MORTGAGE_PASS_THROUGHS_FDIC" hidden="1">"c6414"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 hidden="1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IN_INVEST_REC_BNK" hidden="1">"c488"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ROSS_GW" hidden="1">"c519"</definedName>
    <definedName name="IQ_GROSS_INTAN" hidden="1">"c520"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IDER_3MTH_BOUGHT" hidden="1">"c1534"</definedName>
    <definedName name="IQ_INSIDER_3MTH_NET" hidden="1">"c1535"</definedName>
    <definedName name="IQ_INSIDER_3MTH_SOLD" hidden="1">"c1533"</definedName>
    <definedName name="IQ_INSIDER_6MTH_BOUGHT" hidden="1">"c1537"</definedName>
    <definedName name="IQ_INSIDER_6MTH_NET" hidden="1">"c1538"</definedName>
    <definedName name="IQ_INSIDER_6MTH_SOLD" hidden="1">"c1536"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RATE_CONTRACTS_FDIC" hidden="1">"c6512"</definedName>
    <definedName name="IQ_INTEREST_RATE_EXPOSURES_FDIC" hidden="1">"c6662"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_SENIOR_DEBT" hidden="1">"c702"</definedName>
    <definedName name="IQ_LT_SUB_DEBT" hidden="1">"c703"</definedName>
    <definedName name="IQ_LTM" hidden="1">2000</definedName>
    <definedName name="IQ_LTM_DATE" hidden="1">"IQ_LTM_DATE"</definedName>
    <definedName name="IQ_LTMMONTH" hidden="1">120000</definedName>
    <definedName name="IQ_MARKTCAP" hidden="1">"c258"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ONEY_MARKET_DEPOSIT_ACCOUNTS_FDIC" hidden="1">"c6553"</definedName>
    <definedName name="IQ_MONTH" hidden="1">15000</definedName>
    <definedName name="IQ_MORTGAGE_BACKED_SECURITIES_FDIC" hidden="1">"c6402"</definedName>
    <definedName name="IQ_MORTGAGE_SERVICING_FDIC" hidden="1">"c6335"</definedName>
    <definedName name="IQ_MULTIFAMILY_RESIDENTIAL_LOANS_FDIC" hidden="1">"c6311"</definedName>
    <definedName name="IQ_NAMES_REVISION_DATE_" hidden="1">40462.3176157406</definedName>
    <definedName name="IQ_NET_CHARGE_OFFS_FDIC" hidden="1">"c6641"</definedName>
    <definedName name="IQ_NET_CHARGE_OFFS_LOANS_FDIC" hidden="1">"c6751"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GROWTH_1" hidden="1">"c158"</definedName>
    <definedName name="IQ_NET_INC_GROWTH_2" hidden="1">"c162"</definedName>
    <definedName name="IQ_NET_INCOME_FDIC" hidden="1">"c6587"</definedName>
    <definedName name="IQ_NET_INT_INC_BNK_FDIC" hidden="1">"c6570"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 hidden="1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G_TOTAL_OIL_PRODUCTON" hidden="1">"c2059"</definedName>
    <definedName name="IQ_OPENED55" hidden="1">1</definedName>
    <definedName name="IQ_OPTIONS_OS" hidden="1">"c858"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SSETS_FDIC" hidden="1">"c6338"</definedName>
    <definedName name="IQ_OTHER_BORROWED_FUNDS_FDIC" hidden="1">"c6345"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INSURANCE_FEES_FDIC" hidden="1">"c6672"</definedName>
    <definedName name="IQ_OTHER_INTANGIBLE_FDIC" hidden="1">"c6337"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OFF_BS_LIAB_FDIC" hidden="1">"c6533"</definedName>
    <definedName name="IQ_OTHER_RE_OWNED_FDIC" hidden="1">"c6330"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DAY" hidden="1">"c1822"</definedName>
    <definedName name="IQ_PERCENT_CHANGE_EST_FFO_SHARE_SHARE_DAY_CIQ" hidden="1">"c3764"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WEEK" hidden="1">"c1823"</definedName>
    <definedName name="IQ_PERCENT_CHANGE_EST_FFO_SHARE_SHARE_WEEK_CIQ" hidden="1">"c3795"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INSURED_FDIC" hidden="1">"c6374"</definedName>
    <definedName name="IQ_PERIODDATE_FDIC" hidden="1">"c13646"</definedName>
    <definedName name="IQ_PLEDGED_SECURITIES_FDIC" hidden="1">"c6401"</definedName>
    <definedName name="IQ_PRE_TAX_INCOME_FDIC" hidden="1">"c6581"</definedName>
    <definedName name="IQ_PREFERRED_FDIC" hidden="1">"c6349"</definedName>
    <definedName name="IQ_PREMISES_EQUIPMENT_FDIC" hidden="1">"c6577"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EPS_EST" hidden="1">"c174"</definedName>
    <definedName name="IQ_PRICE_OVER_EPS_EST_1" hidden="1">"c175"</definedName>
    <definedName name="IQ_PRICEDATETIME" hidden="1">"IQ_PRICEDATETIME"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TATEMENTS_NET_FDIC" hidden="1">"c6500"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FDIC" hidden="1">"c6730"</definedName>
    <definedName name="IQ_RETURN_EQUITY_FDIC" hidden="1">"c6732"</definedName>
    <definedName name="IQ_REVALUATION_GAINS_FDIC" hidden="1">"c6428"</definedName>
    <definedName name="IQ_REVALUATION_LOSSES_FDIC" hidden="1">"c6429"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GROWTH_1" hidden="1">"c155"</definedName>
    <definedName name="IQ_REVENUE_GROWTH_2" hidden="1">"c159"</definedName>
    <definedName name="IQ_REVENUE_NO_EST" hidden="1">"c263"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SSETS_FDIC" hidden="1">"c6339"</definedName>
    <definedName name="IQ_TOTAL_CHARGE_OFFS_FDIC" hidden="1">"c6603"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EQUITY_FDIC" hidden="1">"c6354"</definedName>
    <definedName name="IQ_TOTAL_LIABILITIES_FDIC" hidden="1">"c6348"</definedName>
    <definedName name="IQ_TOTAL_PENSION_OBLIGATION" hidden="1">"c1292"</definedName>
    <definedName name="IQ_TOTAL_RECOVERIES_FDIC" hidden="1">"c6622"</definedName>
    <definedName name="IQ_TOTAL_REV_BNK_FDIC" hidden="1">"c6786"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 hidden="1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 hidden="1">3000</definedName>
    <definedName name="IQ_YTDMONTH" hidden="1">130000</definedName>
    <definedName name="IS">[12]Financials!$C$13:$D$116</definedName>
    <definedName name="jh">#N/A</definedName>
    <definedName name="joe" hidden="1">{#N/A,#N/A,FALSE,"YPF"}</definedName>
    <definedName name="Juneau">#REF!</definedName>
    <definedName name="junk" hidden="1">[10]Sheet1!#REF!</definedName>
    <definedName name="khkh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jlkjl">#N/A</definedName>
    <definedName name="KMP_Annual_Cash_Flow_Model">[27]ReportOutput!$A$113</definedName>
    <definedName name="Lag">[33]Sheet1!$D$5:$E$36</definedName>
    <definedName name="LanguageCode">#REF!</definedName>
    <definedName name="LC_Avg">[10]Sheet1!$A$16:$IV$16</definedName>
    <definedName name="LDFC">[10]Sheet1!#REF!</definedName>
    <definedName name="LDROLV">[10]Sheet1!#REF!</definedName>
    <definedName name="liquidity">[34]Tables!$AD$2:$AX$40</definedName>
    <definedName name="LNG_Prod_000_bbl_d">#REF!</definedName>
    <definedName name="lnlag1">'[3]Reg Chart'!$B$30:$C$123</definedName>
    <definedName name="lnlag2">'[3]Reg Chart'!$F$30:$G$123</definedName>
    <definedName name="lnlag3">'[3]Reg Chart'!$J$30:$K$123</definedName>
    <definedName name="lnlag4">'[3]Reg Chart'!$N$30:$O$123</definedName>
    <definedName name="lnlag5">'[3]Reg Chart'!$R$30:$S$123</definedName>
    <definedName name="LOE">[25]Summary!$I$3</definedName>
    <definedName name="LOM">[10]Sheet1!$A$19:$IV$19</definedName>
    <definedName name="lookup">[35]Inputs!$A$2:$BX$53</definedName>
    <definedName name="LPG_Prod_000_bbl_d">#REF!</definedName>
    <definedName name="lsp">#REF!</definedName>
    <definedName name="LTG">[36]Charts!$F$384</definedName>
    <definedName name="LTR">[36]Charts!$F$418</definedName>
    <definedName name="M_PlaceofPath" hidden="1">"g:\blabla"</definedName>
    <definedName name="Macro03">#N/A</definedName>
    <definedName name="Macro1">#N/A</definedName>
    <definedName name="Macro2">#N/A</definedName>
    <definedName name="macro4">#N/A</definedName>
    <definedName name="marketing_margin_sensitivity">#REF!</definedName>
    <definedName name="markval">[28]NKEBALST!$BH$66:$BO$72</definedName>
    <definedName name="MARY">[10]Sheet1!$A$22:$IV$22</definedName>
    <definedName name="mat1q95eps">[14]MATQTRS!$I$70</definedName>
    <definedName name="mat1q96eps">[14]MATQTRS!$J$64</definedName>
    <definedName name="mat1q97eps">[14]MATQTRS!$K$64</definedName>
    <definedName name="mat2q95eps">[14]MATQTRS!$I$153</definedName>
    <definedName name="mat2q96eps">[14]MATQTRS!$J$147</definedName>
    <definedName name="mat2q97eps">[14]MATQTRS!$K$147</definedName>
    <definedName name="mat3q95eps">[14]MATQTRS!$I$238</definedName>
    <definedName name="mat3q96eps">[14]MATQTRS!$J$232</definedName>
    <definedName name="mat3q97eps">[14]MATQTRS!$K$232</definedName>
    <definedName name="mat4q95eps">[14]MATQTRS!$I$317</definedName>
    <definedName name="mat4q96eps">[14]MATQTRS!$J$317</definedName>
    <definedName name="mat4q97eps">[14]MATQTRS!$K$317</definedName>
    <definedName name="mat5YEARROE">'[14]UNIV-EBS DATA'!$K$4</definedName>
    <definedName name="mat5YREPS">'[14]UNIV-EBS DATA'!$F$6</definedName>
    <definedName name="mat95bookvalshare">'[14]UNIV-EBS DATA'!$D$18</definedName>
    <definedName name="mat95casheps">'[14]UNIV-EBS DATA'!$D$17</definedName>
    <definedName name="mat95roe">'[14]UNIV-EBS DATA'!$D$25</definedName>
    <definedName name="mat96bookvalshare">'[14]UNIV-EBS DATA'!$E$18</definedName>
    <definedName name="mat96casheps">'[14]UNIV-EBS DATA'!$E$17</definedName>
    <definedName name="mat96roe">'[14]UNIV-EBS DATA'!$E$25</definedName>
    <definedName name="mat97bookvalshare">'[14]UNIV-EBS DATA'!$F$18</definedName>
    <definedName name="mat97casheps">'[14]UNIV-EBS DATA'!$F$17</definedName>
    <definedName name="mat97roe">'[14]UNIV-EBS DATA'!$F$25</definedName>
    <definedName name="matcomments">'[14]UNIV-EBS DATA'!$D$26</definedName>
    <definedName name="matNORMORE">'[14]UNIV-EBS DATA'!$K$5</definedName>
    <definedName name="matNORMROE">'[14]UNIV-EBS DATA'!$K$5</definedName>
    <definedName name="matROE">'[14]UNIV-EBS DATA'!$K$4</definedName>
    <definedName name="Mattel__Inc.">[14]MATQTRS!$A$258:$U$340</definedName>
    <definedName name="Mexico1">#REF!</definedName>
    <definedName name="Mexico2">#REF!</definedName>
    <definedName name="Minority00">[37]BS!$K$6</definedName>
    <definedName name="Minority01">[2]BS!$F$6</definedName>
    <definedName name="Minority02">[2]BS!$G$6</definedName>
    <definedName name="Minority03">[2]BS!$H$6</definedName>
    <definedName name="Minority04">[2]BS!$I$6</definedName>
    <definedName name="Minority97">[2]BS!$B$6</definedName>
    <definedName name="Minority98">[2]BS!$C$6</definedName>
    <definedName name="Minority99">[2]BS!$D$6</definedName>
    <definedName name="Mode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Module1.CLIENTS">#N/A</definedName>
    <definedName name="Module1.INTERNAL">#N/A</definedName>
    <definedName name="Module2.CLIENTS">#N/A</definedName>
    <definedName name="Module2.INTERNAL">#N/A</definedName>
    <definedName name="Monthlies_title">#N/A</definedName>
    <definedName name="multSecurities_L">[38]MultipleSecurities!$A$2:$A$17</definedName>
    <definedName name="NAV">[39]NAV!$B$6:$D$29</definedName>
    <definedName name="NAVPS">#REF!</definedName>
    <definedName name="nbrshares00">[2]XOM!$E$31</definedName>
    <definedName name="nbrshares01">[2]XOM!$F$31</definedName>
    <definedName name="nbrshares02">[2]XOM!$G$31</definedName>
    <definedName name="nbrshares03">[2]XOM!$H$31</definedName>
    <definedName name="nbrshares04">[2]XOM!$I$31</definedName>
    <definedName name="nbrshares98">[2]XOM!$C$31</definedName>
    <definedName name="nbrshares99">[2]XOM!$D$31</definedName>
    <definedName name="Net_Debt_Cash_Flow">#REF!</definedName>
    <definedName name="Net_DPS_Change">#REF!</definedName>
    <definedName name="netdebt00">[2]BS!$E$5</definedName>
    <definedName name="netdebt01">[2]BS!$F$5</definedName>
    <definedName name="netdebt02">[2]BS!$G$5</definedName>
    <definedName name="netdebt03">[2]BS!$H$5</definedName>
    <definedName name="netdebt04">[2]BS!$I$5</definedName>
    <definedName name="netdebt97">[2]BS!$B$5</definedName>
    <definedName name="netdebt98">[2]BS!$C$5</definedName>
    <definedName name="netdebt99">[2]BS!$D$5</definedName>
    <definedName name="NetIncometocommon">[40]Model!$A$150:$IV$150</definedName>
    <definedName name="NEV">[10]Sheet1!$A$11:$IV$11</definedName>
    <definedName name="NEVROLV">[10]Sheet1!#REF!</definedName>
    <definedName name="Newzealand">[11]Prospects!$AD$6:$AF$14</definedName>
    <definedName name="NFX">[10]Sheet1!$A$21:$IV$21</definedName>
    <definedName name="NFXROLV">[10]Sheet1!#REF!</definedName>
    <definedName name="NOPAT">[12]NOPAT!$C$60</definedName>
    <definedName name="not" hidden="1">{"quarter",#N/A,FALSE,"MOB"}</definedName>
    <definedName name="ObjectType">#REF!</definedName>
    <definedName name="OEI">[10]Sheet1!$A$44:$IV$44</definedName>
    <definedName name="offshore">#REF!</definedName>
    <definedName name="OIL">[10]Sheet1!$A$55:$IV$55</definedName>
    <definedName name="Oil_Dev">[25]Summary!$L$17</definedName>
    <definedName name="Oil_Life">[25]Summary!$L$13</definedName>
    <definedName name="Oil_Prod_000_bbl_d">#REF!</definedName>
    <definedName name="Oil_Prod_Init">[25]Summary!$L$12</definedName>
    <definedName name="Oil_Pud">[25]Summary!$L$15</definedName>
    <definedName name="Oil_Res">[25]Summary!$L$11</definedName>
    <definedName name="OilGas">[19]SummaryCanada!$V$2</definedName>
    <definedName name="OilGasSix">[19]SummaryCanada!$V$3</definedName>
    <definedName name="OILn">[10]Sheet1!$A$56:$IV$56</definedName>
    <definedName name="onshore">#REF!</definedName>
    <definedName name="onshore2">#REF!</definedName>
    <definedName name="OpDay_printarea">#N/A</definedName>
    <definedName name="Operating_Costs_boe">#REF!</definedName>
    <definedName name="Operating_Free_Cash_Flow_OpFCF">#REF!</definedName>
    <definedName name="Operating_Profit_Change">#REF!</definedName>
    <definedName name="ORX">[10]Sheet1!$A$12:$IV$12</definedName>
    <definedName name="ORXn">[10]Sheet1!$A$13:$IV$13</definedName>
    <definedName name="Other">[39]CF!$A$1:$AN$75</definedName>
    <definedName name="Other_1">#REF!</definedName>
    <definedName name="Other_2">#REF!</definedName>
    <definedName name="Other_3">#REF!</definedName>
    <definedName name="Other_4">#REF!</definedName>
    <definedName name="Other_Cash_2">#REF!</definedName>
    <definedName name="Other_Costs_boe10">#REF!</definedName>
    <definedName name="Other_Costs_boe6">#REF!</definedName>
    <definedName name="Other_Gas_Price3_mscf">#REF!</definedName>
    <definedName name="Other_Gas_Price4_mscf">#REF!</definedName>
    <definedName name="Other_Item_1_BS">#REF!</definedName>
    <definedName name="Other_Item_2_BS">#REF!</definedName>
    <definedName name="Other_Item_3_BS">#REF!</definedName>
    <definedName name="Other_Item_4_BS">#REF!</definedName>
    <definedName name="Other_Liquids_Price3_bbl">#REF!</definedName>
    <definedName name="Other_Liquids_Price4_bbl">#REF!</definedName>
    <definedName name="Other1">#REF!</definedName>
    <definedName name="p_l">#REF!</definedName>
    <definedName name="Page1">#REF!</definedName>
    <definedName name="Page10">[14]RELPE!$B$2:$Y$72</definedName>
    <definedName name="Page12">#REF!</definedName>
    <definedName name="page14">'[14]UNIV-EBS DATA'!$A$2:$H$28</definedName>
    <definedName name="page15">[14]Ratios!$A$5:$K$43</definedName>
    <definedName name="Page16">[14]Ratios!$A$46:$K$95</definedName>
    <definedName name="Page1A">[14]MATINC!$A$80:$S$112</definedName>
    <definedName name="Page2">#REF!</definedName>
    <definedName name="PAGE3">[14]MATQTRS!$A$87:$V$169</definedName>
    <definedName name="PAGE4">[14]MATQTRS!$A$171:$V$254</definedName>
    <definedName name="PAGE5">[14]MATQTRS!$A$258:$V$340</definedName>
    <definedName name="PAGE7">[14]MATBAL!$A$5:$AG$97</definedName>
    <definedName name="Page7a">[14]MATBAL!$AN$5:$AY$101</definedName>
    <definedName name="PAGE8">[14]MATCASH!$A$4:$O$46</definedName>
    <definedName name="Page9">[14]FinSum!$A$3:$P$81</definedName>
    <definedName name="PC5_FX_CFPS">#REF!</definedName>
    <definedName name="PC5_FX_EPS">#REF!</definedName>
    <definedName name="PerEndDateSerial">#REF!</definedName>
    <definedName name="Pre_Exceptional_Dividend_Cover">#REF!</definedName>
    <definedName name="Pre_Exceptional_Tax_Rate">#REF!</definedName>
    <definedName name="Price">[10]Sheet1!$E$1:$E$65536</definedName>
    <definedName name="pricedeck">[41]PRICEDEK2!$B$2:$CU$3</definedName>
    <definedName name="PriceProduction">[42]Link!$A$1:$AT$64</definedName>
    <definedName name="PRICES">[10]Sheet3!$A$46</definedName>
    <definedName name="Print_2003">'[43]Cmdty scenarios'!$AH$11:$AV$50</definedName>
    <definedName name="_xlnm.Print_Area" localSheetId="2">'Relative to Street'!$C$3:$V$56</definedName>
    <definedName name="_xlnm.Print_Area" localSheetId="6">WACC!$B$2:$I$15</definedName>
    <definedName name="_xlnm.Print_Area">#REF!</definedName>
    <definedName name="Print_Area_MI">'[44]Industrial Customer M98_01p1'!#REF!</definedName>
    <definedName name="_xlnm.Print_Titles">#REF!</definedName>
    <definedName name="PRINT1">[10]Sheet1!$A$1:$V$42</definedName>
    <definedName name="PRINT2">[10]Sheet1!$AE$1:$BF$42</definedName>
    <definedName name="Print2002">'[45]TBI NAV'!$R$12:$AF$64</definedName>
    <definedName name="Print2003">'[45]TBI NAV'!$AH$12:$AV$64</definedName>
    <definedName name="PRINT3">[10]Sheet1!$BI$1:$BR$42</definedName>
    <definedName name="PrintAll">#N/A</definedName>
    <definedName name="Prod_sales">#REF!</definedName>
    <definedName name="Production_Change">#REF!</definedName>
    <definedName name="ProductionPrice">#REF!</definedName>
    <definedName name="profit">[28]NKEBALST!$BH$60:$BO$62</definedName>
    <definedName name="ProjectName">{"Client Name or Project Name"}</definedName>
    <definedName name="Prospect">#REF!</definedName>
    <definedName name="provedasset">'[11]Valuation (2)'!$K$6:$M$17</definedName>
    <definedName name="provedvaluation">'[11]Valuation (2)'!$A$6:$D$13</definedName>
    <definedName name="PTTEP">[10]Sheet1!$A$51:$IV$51</definedName>
    <definedName name="PTTEP_98">[10]Sheet1!$A$55:$IV$55</definedName>
    <definedName name="PTTEPn">[10]Sheet1!$A$49:$IV$49</definedName>
    <definedName name="q_1993">[28]NKEQTRIN!$BH$6:$BO$39</definedName>
    <definedName name="q_1994">[28]NKEQTRIN!$BP$6:$BW$39</definedName>
    <definedName name="q_1995">[28]NKEQTRIN!$BX$6:$CK$39</definedName>
    <definedName name="q_1996">[28]NKEQTRIN!$CN$6:$DA$39</definedName>
    <definedName name="qtr_bs">'[46]Old BKS'!$X$371:$AI$436</definedName>
    <definedName name="qtr_is_2">'[46]Old BKS'!$AE$1:$AO$90</definedName>
    <definedName name="quart_var">#REF!</definedName>
    <definedName name="Quarterly95">#REF!</definedName>
    <definedName name="Quarterly96">#REF!</definedName>
    <definedName name="R_M_Net_Income_BOE">#REF!</definedName>
    <definedName name="R_M_Non_US">#REF!</definedName>
    <definedName name="R_M_US">#REF!</definedName>
    <definedName name="Rating">'[47]Incoming Links'!$A$2092:$IV$2129</definedName>
    <definedName name="Realised_Gas_Price_mscf">#REF!</definedName>
    <definedName name="Realised_LNG_Price_US_bbl">#REF!</definedName>
    <definedName name="Realised_Oil_Price_US_bbl">#REF!</definedName>
    <definedName name="rec">[28]NKEBALST!$BH$20:$BO$20</definedName>
    <definedName name="_xlnm.Recorder">[14]Macro2!$A$1:$A$65536</definedName>
    <definedName name="Ref_capacity_b_d">#REF!</definedName>
    <definedName name="Ref_runs">#REF!</definedName>
    <definedName name="Reserve_Life_PP">#REF!</definedName>
    <definedName name="Reserve_Life_Proved">#REF!</definedName>
    <definedName name="Reserves">#REF!</definedName>
    <definedName name="Reserves_Total_Movement_in_Year_PPE">#REF!</definedName>
    <definedName name="Retained_Profit">#REF!</definedName>
    <definedName name="Return_On_Average_Capital_Employed_Clean">#REF!</definedName>
    <definedName name="ReturnDebt">[19]WACC!$E$36</definedName>
    <definedName name="ReturnEquity">[19]WACC!$E$43</definedName>
    <definedName name="Revenue_Change">#REF!</definedName>
    <definedName name="riskedasset">'[11]Valuation (2)'!$K$20:$M$32</definedName>
    <definedName name="RiskFreeRate">[19]WACC!$D$20</definedName>
    <definedName name="rngInstruction1Header">#REF!</definedName>
    <definedName name="rngInstruction1Text">#REF!</definedName>
    <definedName name="rngInstruction2Header">#REF!</definedName>
    <definedName name="rngInstruction2Text">#REF!</definedName>
    <definedName name="ROACE">#REF!</definedName>
    <definedName name="ROACE_Chems">#REF!</definedName>
    <definedName name="ROACE_E_P">#REF!</definedName>
    <definedName name="ROACE_Gas_Power">#REF!</definedName>
    <definedName name="ROACE_Other">#REF!</definedName>
    <definedName name="ROACE_R_M">#REF!</definedName>
    <definedName name="ROCE">#REF!</definedName>
    <definedName name="ROE">#REF!</definedName>
    <definedName name="rowheight">[28]NKEQTRIN!$A$6:$IV$39</definedName>
    <definedName name="Royalties_boe10">#REF!</definedName>
    <definedName name="Royalties_boe6">#REF!</definedName>
    <definedName name="rrrevenue">[40]Model!$A$126:$IV$126</definedName>
    <definedName name="RRVROLV">[10]Sheet1!#REF!</definedName>
    <definedName name="Rwvu.sumbyyr." hidden="1">'[30]Q-Breakdown'!#REF!</definedName>
    <definedName name="s">#REF!</definedName>
    <definedName name="Sale_Impact">[48]Assumptions!$N$19</definedName>
    <definedName name="SC_Avg">[10]Sheet1!$A$27:$IV$27</definedName>
    <definedName name="sencount" hidden="1">1</definedName>
    <definedName name="Sens25refm">#REF!</definedName>
    <definedName name="SFY">[10]Sheet1!$A$26:$IV$26</definedName>
    <definedName name="SGO">[10]Sheet1!$A$13:$IV$13</definedName>
    <definedName name="SGOn">[10]Sheet1!$A$14:$IV$14</definedName>
    <definedName name="SGY">[10]Sheet1!$A$25:$IV$25</definedName>
    <definedName name="SGYn">[10]Sheet1!$A$25:$IV$25</definedName>
    <definedName name="Shares">[25]Summary!$I$6</definedName>
    <definedName name="Shares_In_Issue_m_Fully_Diluted">#REF!</definedName>
    <definedName name="sheq">[28]NKEBALST!$BH$27:$BO$27</definedName>
    <definedName name="Short_Flow_Data">#REF!</definedName>
    <definedName name="s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ORT2">#N/A</definedName>
    <definedName name="SORT3">#N/A</definedName>
    <definedName name="SpreadsheetBuilder_1" localSheetId="0" hidden="1">#REF!</definedName>
    <definedName name="SpreadsheetBuilder_1" hidden="1">#REF!</definedName>
    <definedName name="SpreadsheetBuilder_2" localSheetId="0" hidden="1">#REF!</definedName>
    <definedName name="SpreadsheetBuilder_2" hidden="1">#REF!</definedName>
    <definedName name="SpreadsheetBuilder_3" localSheetId="0" hidden="1">#REF!</definedName>
    <definedName name="SpreadsheetBuilder_3" hidden="1">#REF!</definedName>
    <definedName name="SpreadsheetBuilder_4" localSheetId="0" hidden="1">#REF!</definedName>
    <definedName name="SpreadsheetBuilder_4" hidden="1">#REF!</definedName>
    <definedName name="ss_temp">#REF!</definedName>
    <definedName name="STG">[36]Charts!$F$383</definedName>
    <definedName name="STR">[36]Charts!$F$417</definedName>
    <definedName name="SubmitterUserId">#REF!</definedName>
    <definedName name="Subsidiaries_1">#REF!</definedName>
    <definedName name="Subsidiaries_2">#REF!</definedName>
    <definedName name="Subsidiaries_3">#REF!</definedName>
    <definedName name="Successful_Efforts_or_Full_Cost">#REF!</definedName>
    <definedName name="Summary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mmaryI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wvu.dcf." hidden="1">#REF!</definedName>
    <definedName name="Swvu.valuation." hidden="1">#REF!</definedName>
    <definedName name="TA27A">#REF!</definedName>
    <definedName name="table">[3]DATA!$A$3:$BD$232</definedName>
    <definedName name="Table1">#REF!</definedName>
    <definedName name="Table2">#REF!</definedName>
    <definedName name="Table3">#REF!</definedName>
    <definedName name="Target_98_Mcfe">[10]Sheet1!$V$1:$V$65536</definedName>
    <definedName name="Target_Actual">[10]Sheet1!$L$1:$L$65536</definedName>
    <definedName name="Target_Average">[10]Sheet1!$L$1:$L$65536</definedName>
    <definedName name="Target_High">[10]Sheet1!$M$1:$M$65536</definedName>
    <definedName name="Target_Low">[10]Sheet1!$N$1:$N$65536</definedName>
    <definedName name="Target_Mcfe">[10]Sheet1!$V$1:$V$65536</definedName>
    <definedName name="Target_Price">[10]Sheet1!$K$1:$K$65536</definedName>
    <definedName name="targetprice">#REF!</definedName>
    <definedName name="Tax">[25]Summary!$I$5</definedName>
    <definedName name="Tax_Rate">#REF!</definedName>
    <definedName name="TCPdivds00">[10]Sheet2!$K$34</definedName>
    <definedName name="TCPdivds99">[10]Sheet2!$J$34</definedName>
    <definedName name="TemplateRegion">#REF!</definedName>
    <definedName name="TEXP">[10]Sheet1!#REF!</definedName>
    <definedName name="Ticker">[19]SummaryCanada!$E$109</definedName>
    <definedName name="Title_Date">[49]variables!$C$3</definedName>
    <definedName name="TLM">[10]Sheet1!$A$14:$IV$14</definedName>
    <definedName name="TMBR">[10]Sheet1!$A$40:$IV$40</definedName>
    <definedName name="TMBRn">[10]Sheet1!$A$55:$IV$55</definedName>
    <definedName name="TMR">[10]Sheet1!$A$24:$IV$24</definedName>
    <definedName name="TMRROLV">[10]Sheet1!#REF!</definedName>
    <definedName name="Total_debt">#REF!</definedName>
    <definedName name="Total_Gas_Prod_mmcf_d">#REF!</definedName>
    <definedName name="Total_Movement_in_Reserves_PE">#REF!</definedName>
    <definedName name="Total_Net_Asset_Value">#REF!</definedName>
    <definedName name="Total_Reserves_at_End_Year_PE">#REF!</definedName>
    <definedName name="Total_Reserves_at_End_Year_PPE">#REF!</definedName>
    <definedName name="totass">[28]NKEBALST!$BH$22:$BO$22</definedName>
    <definedName name="totcap">[28]NKEBALST!$BH$29:$BO$29</definedName>
    <definedName name="trc_CFPSGROWTH5YR">#REF!</definedName>
    <definedName name="trc_CFPSGRWPRV5YR">#REF!</definedName>
    <definedName name="trc_CurFY">#REF!</definedName>
    <definedName name="trc_DIVGROWTH5YR">#REF!</definedName>
    <definedName name="trc_DIVGRWPRV5YR">#REF!</definedName>
    <definedName name="trc_DocID">#REF!</definedName>
    <definedName name="trc_EBITDAGROWTH5YR">#REF!</definedName>
    <definedName name="trc_EBITDAGRWPRV5YR">#REF!</definedName>
    <definedName name="trc_EBITNXT5">#REF!</definedName>
    <definedName name="trc_EBITPRV5">#REF!</definedName>
    <definedName name="trc_EPSGRWPRV5YR">#REF!</definedName>
    <definedName name="trc_Flavor">#REF!</definedName>
    <definedName name="trc_NETGROWTH5YR">#REF!</definedName>
    <definedName name="trc_NETGRWPRV5YR">#REF!</definedName>
    <definedName name="trc_QDType">#REF!</definedName>
    <definedName name="trc_RATING">#REF!</definedName>
    <definedName name="trc_ReleaseDate">#REF!</definedName>
    <definedName name="trc_REVGROWTH5YR">#REF!</definedName>
    <definedName name="trc_REVGRWPRV5YR">#REF!</definedName>
    <definedName name="trc_RISK">#REF!</definedName>
    <definedName name="trc_SHARESOUT">#REF!</definedName>
    <definedName name="trc_SHROUTGROWTH5YR">#REF!</definedName>
    <definedName name="trc_SHROUTGRWPRV5YR">#REF!</definedName>
    <definedName name="trc_submitter">#REF!</definedName>
    <definedName name="trc_submittername">#REF!</definedName>
    <definedName name="trc_TARGET">#REF!</definedName>
    <definedName name="trc_TemplateID">#REF!</definedName>
    <definedName name="trc_TEV">#REF!</definedName>
    <definedName name="trc_Ticker">#REF!</definedName>
    <definedName name="trc_Version">#REF!</definedName>
    <definedName name="trc_XLS_DATASHEET_ProtectDate">37313.4907638889</definedName>
    <definedName name="trc_Y1">#REF!</definedName>
    <definedName name="trc_Y1COMMONEQ">#REF!</definedName>
    <definedName name="trc_Y1DILSHR">#REF!</definedName>
    <definedName name="trc_Y1DPS">#REF!</definedName>
    <definedName name="trc_Y1EBIT">#REF!</definedName>
    <definedName name="trc_Y1EBITDA">#REF!</definedName>
    <definedName name="trc_Y1FREE_CFPS">#REF!</definedName>
    <definedName name="trc_Y1LTDEBT">#REF!</definedName>
    <definedName name="trc_Y1NETINC">#REF!</definedName>
    <definedName name="trc_Y1Q1">#REF!</definedName>
    <definedName name="trc_Y1Q2">#REF!</definedName>
    <definedName name="trc_Y1Q3">#REF!</definedName>
    <definedName name="trc_Y1Q4">#REF!</definedName>
    <definedName name="trc_Y1REVENUE">#REF!</definedName>
    <definedName name="trc_Y1ROE">#REF!</definedName>
    <definedName name="trc_Y1TAXRATE">#REF!</definedName>
    <definedName name="trc_Y1Total">#REF!</definedName>
    <definedName name="trc_Y2">#REF!</definedName>
    <definedName name="trc_Y2COMMONEQ">#REF!</definedName>
    <definedName name="trc_Y2DILSHR">#REF!</definedName>
    <definedName name="trc_Y2DPS">#REF!</definedName>
    <definedName name="trc_Y2EBIT">#REF!</definedName>
    <definedName name="trc_Y2EBITDA">#REF!</definedName>
    <definedName name="trc_Y2FREE_CFPS">#REF!</definedName>
    <definedName name="trc_Y2LTDEBT">#REF!</definedName>
    <definedName name="trc_Y2NETINC">#REF!</definedName>
    <definedName name="trc_Y2Q1">#REF!</definedName>
    <definedName name="trc_Y2Q2">#REF!</definedName>
    <definedName name="trc_Y2Q3">#REF!</definedName>
    <definedName name="trc_Y2Q4">#REF!</definedName>
    <definedName name="trc_Y2REVENUE">#REF!</definedName>
    <definedName name="trc_Y2ROE">#REF!</definedName>
    <definedName name="trc_Y2TAXRATE">#REF!</definedName>
    <definedName name="trc_Y2Total">#REF!</definedName>
    <definedName name="trc_Y3">#REF!</definedName>
    <definedName name="trc_Y3COMMONEQ">#REF!</definedName>
    <definedName name="trc_Y3DILSHR">#REF!</definedName>
    <definedName name="trc_Y3DPS">#REF!</definedName>
    <definedName name="trc_Y3EBIT">#REF!</definedName>
    <definedName name="trc_Y3EBITDA">#REF!</definedName>
    <definedName name="trc_Y3FREE_CFPS">#REF!</definedName>
    <definedName name="trc_Y3LTDEBT">#REF!</definedName>
    <definedName name="trc_Y3NETINC">#REF!</definedName>
    <definedName name="trc_Y3Q1">#REF!</definedName>
    <definedName name="trc_Y3Q2">#REF!</definedName>
    <definedName name="trc_Y3Q3">#REF!</definedName>
    <definedName name="trc_Y3Q4">#REF!</definedName>
    <definedName name="trc_Y3REVENUE">#REF!</definedName>
    <definedName name="trc_Y3ROE">#REF!</definedName>
    <definedName name="trc_Y3TAXRATE">#REF!</definedName>
    <definedName name="trc_Y3Total">#REF!</definedName>
    <definedName name="trc_Y4">#REF!</definedName>
    <definedName name="trc_Y4COMMONEQ">#REF!</definedName>
    <definedName name="trc_Y4DILSHR">#REF!</definedName>
    <definedName name="trc_Y4DPS">#REF!</definedName>
    <definedName name="trc_Y4EBIT">#REF!</definedName>
    <definedName name="trc_Y4EBITDA">#REF!</definedName>
    <definedName name="trc_Y4FREE_CFPS">#REF!</definedName>
    <definedName name="trc_Y4LTDEBT">#REF!</definedName>
    <definedName name="trc_Y4NETINC">#REF!</definedName>
    <definedName name="trc_Y4Q1">#REF!</definedName>
    <definedName name="trc_Y4Q2">#REF!</definedName>
    <definedName name="trc_Y4Q3">#REF!</definedName>
    <definedName name="trc_Y4Q4">#REF!</definedName>
    <definedName name="trc_Y4REVENUE">#REF!</definedName>
    <definedName name="trc_Y4ROE">#REF!</definedName>
    <definedName name="trc_Y4TAXRATE">#REF!</definedName>
    <definedName name="trc_Y4Total">#REF!</definedName>
    <definedName name="trfhr">#N/A</definedName>
    <definedName name="UBSW_ROACE">#REF!</definedName>
    <definedName name="UBSW_ROAE">#REF!</definedName>
    <definedName name="UK_Gearing_Debt_Equity">#REF!</definedName>
    <definedName name="UK_Spot_Gas_Price_mscf">#REF!</definedName>
    <definedName name="UPR">[10]Sheet1!#REF!</definedName>
    <definedName name="UPRn">[10]Sheet1!#REF!</definedName>
    <definedName name="Upside_Value">#REF!</definedName>
    <definedName name="US_Aus_Exchange_Rate">#REF!</definedName>
    <definedName name="US_Can_Exchange_Rate">#REF!</definedName>
    <definedName name="US_gas_composite_US_mscf">#REF!</definedName>
    <definedName name="US_Gearing_Net_Debt_Net_Debt_Equity">#REF!</definedName>
    <definedName name="US_NZ">#REF!</definedName>
    <definedName name="US_Prod_sales">#REF!</definedName>
    <definedName name="US_Ref_runs">#REF!</definedName>
    <definedName name="US_RMB">#REF!</definedName>
    <definedName name="US_Thai_Baht">#REF!</definedName>
    <definedName name="US_UK_Exchange_Rate">#REF!</definedName>
    <definedName name="USGas">[50]Reserves!$AC$8</definedName>
    <definedName name="USGasU">[50]Reserves!$AC$21</definedName>
    <definedName name="USOil">[50]Reserves!$AC$7</definedName>
    <definedName name="USOilU">[50]Reserves!$AC$20</definedName>
    <definedName name="valuation">#REF!</definedName>
    <definedName name="Valuation_Table">[15]Val!$A$6:$K$96</definedName>
    <definedName name="Variance">#N/A</definedName>
    <definedName name="variance2">#N/A</definedName>
    <definedName name="VPI">[10]Sheet1!#REF!</definedName>
    <definedName name="WACC">[19]WACC!$E$46</definedName>
    <definedName name="western">#REF!</definedName>
    <definedName name="workcap">[28]NKEBALST!$BH$31:$BO$31</definedName>
    <definedName name="wrn.2._.pagers." hidden="1">{"Cover",#N/A,FALSE,"Cover";"Summary",#N/A,FALSE,"Summarpage"}</definedName>
    <definedName name="wrn.96_model." hidden="1">{"qtr_is_94_95",#N/A,FALSE,"MA";"ann_is_96",#N/A,FALSE,"MA";"seg_sales_96",#N/A,FALSE,"MA";"seg_inc_96",#N/A,FALSE,"MA";"divisional_91_95",#N/A,FALSE,"MA";"ann_bs_96",#N/A,FALSE,"MA";"ann_cf_96",#N/A,FALSE,"MA"}</definedName>
    <definedName name="wrn.allpages." hidden="1">{#N/A,#N/A,TRUE,"Historicals";#N/A,#N/A,TRUE,"Charts";#N/A,#N/A,TRUE,"Forecasts"}</definedName>
    <definedName name="wrn.Annual." hidden="1">{#N/A,#N/A,FALSE,"YPF"}</definedName>
    <definedName name="wrn.APAFAX." hidden="1">{"APAFAX",#N/A,FALSE,"APA"}</definedName>
    <definedName name="wrn.Cheat._.Sheets." hidden="1">{"Table 1",#N/A,FALSE,"Tables";"Table 2",#N/A,FALSE,"Tables";"Table 3",#N/A,FALSE,"Tables";"Table 4",#N/A,FALSE,"Tables";"Upside",#N/A,FALSE,"upside"}</definedName>
    <definedName name="wrn.Client._.cfbs." hidden="1">{"client cfbs",#N/A,FALSE,"Client"}</definedName>
    <definedName name="wrn.Client._.is." hidden="1">{"Client is",#N/A,FALSE,"Client"}</definedName>
    <definedName name="wrn.Client._.stats." hidden="1">{"Client stats",#N/A,FALSE,"Client"}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DAQ." hidden="1">{"CODAQ",#N/A,FALSE,"CODA"}</definedName>
    <definedName name="wrn.CODAY." hidden="1">{"CODAY",#N/A,FALSE,"CODA"}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DCF._.and._.NAV." hidden="1">{"dcf",#N/A,FALSE,"LSP Valuation";"valuation",#N/A,FALSE,"LSP Valuation"}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quistar." hidden="1">{"Equistar Summary",#N/A,FALSE,"EQUISTAR";"Equistar Margins",#N/A,FALSE,"EQUISTAR";"Equistar Sales Volumes",#N/A,FALSE,"EQUISTAR"}</definedName>
    <definedName name="wrn.equistar2" hidden="1">{"Equistar Summary",#N/A,FALSE,"EQUISTAR";"Equistar Margins",#N/A,FALSE,"EQUISTAR";"Equistar Sales Volumes",#N/A,FALSE,"EQUISTAR"}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Z_REP." hidden="1">{"FUZ_INC_A",#N/A,FALSE,"NOBE";"FUZ_INC_Q",#N/A,FALSE,"NOBE";"FUZ_BAL_A",#N/A,FALSE,"NOBE";"FUZ_CASH_A",#N/A,FALSE,"NOBE";"FUZ_PROD_A",#N/A,FALSE,"NOBE"}</definedName>
    <definedName name="wrn.fuz_report." hidden="1">{"fuz_inc_a",#N/A,FALSE,"BKS";"fuz_inc_q",#N/A,FALSE,"BKS";"fuz_bal_a",#N/A,FALSE,"BKS";"fuz_cash_a",#N/A,FALSE,"BKS";"fuz_prod_a",#N/A,FALSE,"BKS";"fuz_div_a",#N/A,FALSE,"BKS";"fuz_div2_a",#N/A,FALSE,"BKS"}</definedName>
    <definedName name="wrn.Income._.Stmt." hidden="1">{"Income Stmt",#N/A,FALSE,"Model"}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ternal." hidden="1">{"EPS and CF",#N/A,FALSE,"Q-Breakdown";"Ops and Stats",#N/A,FALSE,"Q-Breakdown"}</definedName>
    <definedName name="wrn.Internal._.is." hidden="1">{"Internal is",#N/A,FALSE,"Model"}</definedName>
    <definedName name="wrn.Internal._.Print.">{"Page 1",#N/A,FALSE,"Q-Breakdown";"Page 2",#N/A,FALSE,"Q-Breakdown";"Page 3",#N/A,FALSE,"Q-Breakdown"}</definedName>
    <definedName name="wrn.LBO._.Summary." hidden="1">{"LBO Summary",#N/A,FALSE,"Summary"}</definedName>
    <definedName name="wrn.Leases.xls." hidden="1">{#N/A,#N/A,FALSE,"Initial Year";#N/A,#N/A,FALSE,"Historical";#N/A,#N/A,FALSE,"balsheet";#N/A,#N/A,FALSE,"incstate";#N/A,#N/A,FALSE,"Fleet"}</definedName>
    <definedName name="wrn.Lyondell." hidden="1">{"Income Statement",#N/A,FALSE,"LYO_MOD";"Cash Flow Statement",#N/A,FALSE,"LYO_MOD";"Balance Sheet",#N/A,FALSE,"LYO_MOD"}</definedName>
    <definedName name="wrn.Millennium." hidden="1">{"Mellinneum Sales2",#N/A,FALSE,"MCH_MOD";"Milleennium Income and Earnings",#N/A,FALSE,"MCH_MOD"}</definedName>
    <definedName name="wrn.millennium2" hidden="1">{"Mellinneum Sales2",#N/A,FALSE,"MCH_MOD";"Milleennium Income and Earnings",#N/A,FALSE,"MCH_MOD"}</definedName>
    <definedName name="wrn.MOBIL." hidden="1">{"quarter",#N/A,FALSE,"MOB"}</definedName>
    <definedName name="wrn.MOBIL1." hidden="1">{"quarter",#N/A,FALSE,"MOB"}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ortrait._.IS." hidden="1">{"Portrait letter is",#N/A,FALSE,"Model"}</definedName>
    <definedName name="wrn.Portrait._.letter._.is." hidden="1">{"Portrait letter is",#N/A,FALSE,"Model"}</definedName>
    <definedName name="wrn.print._.all.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.Pages.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offshore.">{"off_at",#N/A,FALSE,"Off AT POT";"off_bt",#N/A,FALSE,"Off POT"}</definedName>
    <definedName name="wrn.Pulp." hidden="1">{"Pulp Production",#N/A,FALSE,"Pulp";"Pulp Earnings",#N/A,FALSE,"Pulp"}</definedName>
    <definedName name="wrn.Q._.Report." hidden="1">{"Quarterly Earnings",#N/A,FALSE,"FTS";"Quarterly Margins",#N/A,FALSE,"FTS";"Q Sales",#N/A,FALSE,"FTS";"Q EBIT",#N/A,FALSE,"FTS";"Unit Analysis",#N/A,FALSE,"FTS";"Inventory Analysis",#N/A,FALSE,"FTS"}</definedName>
    <definedName name="wrn.Reserve._.NAV." hidden="1">{"Reserves",#N/A,FALSE,"DCF Based Asset Value";"DCF NAV",#N/A,FALSE,"DCF Based Asset Value"}</definedName>
    <definedName name="wrn.Summary." hidden="1">{"Summary",#N/A,FALSE,"Model"}</definedName>
    <definedName name="wrn.Xternal._.Print.">{"Client Page",#N/A,FALSE,"Q-Breakdown"}</definedName>
    <definedName name="WTI_Oil_Price_US_bbl">#REF!</definedName>
    <definedName name="wvu.Balance._.Sheet.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dcf.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Operating._.pages.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sumbyqtr.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yr.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valuation.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x" hidden="1">[51]Sheet1!#REF!</definedName>
    <definedName name="YearQtr_title">#N/A</definedName>
    <definedName name="ygh">#N/A</definedName>
    <definedName name="Z_75DE5892_7F26_11D2_BF29_0004AC57318A_.wvu.PrintArea">#REF!</definedName>
    <definedName name="Z_75DE5898_7F26_11D2_BF29_0004AC57318A_.wvu.PrintArea">#REF!</definedName>
    <definedName name="Z_75DE5A6C_7F26_11D2_BF29_0004AC57318A_.wvu.PrintArea">#REF!</definedName>
    <definedName name="Z_75DE5A72_7F26_11D2_BF29_0004AC57318A_.wvu.PrintArea">#REF!</definedName>
    <definedName name="Z_75DE5D1C_7F26_11D2_BF29_0004AC57318A_.wvu.PrintArea">#REF!</definedName>
    <definedName name="Z_75DE5D22_7F26_11D2_BF29_0004AC57318A_.wvu.PrintArea">#REF!</definedName>
    <definedName name="Z_75DE5E20_7F26_11D2_BF29_0004AC57318A_.wvu.PrintArea">#REF!</definedName>
    <definedName name="Z_75DE5E26_7F26_11D2_BF29_0004AC57318A_.wvu.PrintArea">#REF!</definedName>
    <definedName name="Z_75DE5F39_7F26_11D2_BF29_0004AC57318A_.wvu.PrintArea">#REF!</definedName>
    <definedName name="Z_75DE5F3F_7F26_11D2_BF29_0004AC57318A_.wvu.PrintArea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9" i="10" l="1"/>
  <c r="AA49" i="10"/>
  <c r="Z49" i="10"/>
  <c r="Y49" i="10"/>
  <c r="X49" i="10"/>
  <c r="W49" i="10"/>
  <c r="V49" i="10"/>
  <c r="U49" i="10"/>
  <c r="AD49" i="10" s="1"/>
  <c r="T49" i="10"/>
  <c r="AC49" i="10" s="1"/>
  <c r="S49" i="10"/>
  <c r="R49" i="10"/>
  <c r="Q49" i="10"/>
  <c r="AE49" i="10"/>
  <c r="AB12" i="10"/>
  <c r="AA12" i="10"/>
  <c r="Z12" i="10"/>
  <c r="Y12" i="10"/>
  <c r="X12" i="10"/>
  <c r="W12" i="10"/>
  <c r="V12" i="10"/>
  <c r="AD12" i="10" s="1"/>
  <c r="U12" i="10"/>
  <c r="T12" i="10"/>
  <c r="S12" i="10"/>
  <c r="R12" i="10"/>
  <c r="Q12" i="10"/>
  <c r="AE12" i="10"/>
  <c r="AC12" i="10"/>
  <c r="AE6" i="10"/>
  <c r="AD6" i="10"/>
  <c r="AC6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Z6" i="10"/>
  <c r="AA6" i="10"/>
  <c r="AB6" i="10"/>
  <c r="Y6" i="10"/>
  <c r="V6" i="10"/>
  <c r="W6" i="10"/>
  <c r="X6" i="10"/>
  <c r="U6" i="10"/>
  <c r="T6" i="10"/>
  <c r="S6" i="10"/>
  <c r="R6" i="10"/>
  <c r="Q6" i="10"/>
  <c r="S40" i="6"/>
  <c r="R40" i="6"/>
  <c r="P40" i="6"/>
  <c r="O40" i="6"/>
  <c r="N40" i="6"/>
  <c r="M40" i="6"/>
  <c r="L40" i="6"/>
  <c r="K40" i="6"/>
  <c r="J40" i="6"/>
  <c r="I40" i="6"/>
  <c r="H40" i="6"/>
  <c r="G40" i="6"/>
  <c r="F40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CM86" i="1"/>
  <c r="CL86" i="1"/>
  <c r="CK86" i="1"/>
  <c r="CJ86" i="1"/>
  <c r="CG86" i="1"/>
  <c r="CF86" i="1"/>
  <c r="CE86" i="1"/>
  <c r="CD86" i="1"/>
  <c r="CA86" i="1"/>
  <c r="BZ86" i="1"/>
  <c r="BY86" i="1"/>
  <c r="BX86" i="1"/>
  <c r="BU86" i="1"/>
  <c r="BT86" i="1"/>
  <c r="BS86" i="1"/>
  <c r="BR86" i="1"/>
  <c r="BO86" i="1"/>
  <c r="BN86" i="1"/>
  <c r="BM86" i="1"/>
  <c r="BL86" i="1"/>
  <c r="BI86" i="1"/>
  <c r="BH86" i="1"/>
  <c r="BG86" i="1"/>
  <c r="BF86" i="1"/>
  <c r="BC86" i="1"/>
  <c r="BB86" i="1"/>
  <c r="BA86" i="1"/>
  <c r="AZ86" i="1"/>
  <c r="AW86" i="1"/>
  <c r="AV86" i="1"/>
  <c r="AU86" i="1"/>
  <c r="AT86" i="1"/>
  <c r="AQ86" i="1"/>
  <c r="AP86" i="1"/>
  <c r="AO86" i="1"/>
  <c r="AN86" i="1"/>
  <c r="AK86" i="1"/>
  <c r="AJ86" i="1"/>
  <c r="AI86" i="1"/>
  <c r="AH86" i="1"/>
  <c r="AE86" i="1"/>
  <c r="AD86" i="1"/>
  <c r="AC86" i="1"/>
  <c r="AB86" i="1"/>
  <c r="G86" i="1"/>
  <c r="F86" i="1"/>
  <c r="E86" i="1"/>
  <c r="D86" i="1"/>
  <c r="M86" i="1"/>
  <c r="L86" i="1"/>
  <c r="K86" i="1"/>
  <c r="J86" i="1"/>
  <c r="S86" i="1"/>
  <c r="R86" i="1"/>
  <c r="Q86" i="1"/>
  <c r="P86" i="1"/>
  <c r="Y86" i="1"/>
  <c r="X86" i="1"/>
  <c r="W86" i="1"/>
  <c r="V86" i="1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BA167" i="1"/>
  <c r="BG167" i="1" s="1"/>
  <c r="BM167" i="1" s="1"/>
  <c r="BS167" i="1" s="1"/>
  <c r="BY167" i="1" s="1"/>
  <c r="CE167" i="1" s="1"/>
  <c r="CK167" i="1" s="1"/>
  <c r="BB167" i="1"/>
  <c r="BH167" i="1" s="1"/>
  <c r="BN167" i="1" s="1"/>
  <c r="BT167" i="1" s="1"/>
  <c r="BZ167" i="1" s="1"/>
  <c r="CF167" i="1" s="1"/>
  <c r="CL167" i="1" s="1"/>
  <c r="AZ167" i="1"/>
  <c r="BF167" i="1" s="1"/>
  <c r="AW167" i="1"/>
  <c r="BC167" i="1" s="1"/>
  <c r="BI167" i="1" s="1"/>
  <c r="BO167" i="1" s="1"/>
  <c r="BU167" i="1" s="1"/>
  <c r="CA167" i="1" s="1"/>
  <c r="CG167" i="1" s="1"/>
  <c r="CM167" i="1" s="1"/>
  <c r="BA166" i="1"/>
  <c r="BG166" i="1" s="1"/>
  <c r="BM166" i="1" s="1"/>
  <c r="BS166" i="1" s="1"/>
  <c r="BY166" i="1" s="1"/>
  <c r="CE166" i="1" s="1"/>
  <c r="CK166" i="1" s="1"/>
  <c r="BB166" i="1"/>
  <c r="BH166" i="1" s="1"/>
  <c r="BN166" i="1" s="1"/>
  <c r="BT166" i="1" s="1"/>
  <c r="BZ166" i="1" s="1"/>
  <c r="CF166" i="1" s="1"/>
  <c r="CL166" i="1" s="1"/>
  <c r="AZ166" i="1"/>
  <c r="BF166" i="1" s="1"/>
  <c r="AW166" i="1"/>
  <c r="BC166" i="1" s="1"/>
  <c r="BI166" i="1" s="1"/>
  <c r="BO166" i="1" s="1"/>
  <c r="BU166" i="1" s="1"/>
  <c r="CA166" i="1" s="1"/>
  <c r="CG166" i="1" s="1"/>
  <c r="CM166" i="1" s="1"/>
  <c r="G381" i="1"/>
  <c r="F381" i="1"/>
  <c r="E381" i="1"/>
  <c r="D381" i="1"/>
  <c r="M381" i="1"/>
  <c r="L381" i="1"/>
  <c r="K381" i="1"/>
  <c r="J381" i="1"/>
  <c r="S381" i="1"/>
  <c r="R381" i="1"/>
  <c r="Q381" i="1"/>
  <c r="P381" i="1"/>
  <c r="Y381" i="1"/>
  <c r="X381" i="1"/>
  <c r="W381" i="1"/>
  <c r="V381" i="1"/>
  <c r="AE381" i="1"/>
  <c r="AD381" i="1"/>
  <c r="AC381" i="1"/>
  <c r="AB381" i="1"/>
  <c r="AK381" i="1"/>
  <c r="AJ381" i="1"/>
  <c r="AI381" i="1"/>
  <c r="AH381" i="1"/>
  <c r="AQ381" i="1"/>
  <c r="AP381" i="1"/>
  <c r="AO381" i="1"/>
  <c r="AN381" i="1"/>
  <c r="AV381" i="1"/>
  <c r="AU381" i="1"/>
  <c r="AT381" i="1"/>
  <c r="BJ167" i="1" l="1"/>
  <c r="BL167" i="1"/>
  <c r="BJ166" i="1"/>
  <c r="BL166" i="1"/>
  <c r="BP166" i="1" l="1"/>
  <c r="BR166" i="1"/>
  <c r="BP167" i="1"/>
  <c r="BR167" i="1"/>
  <c r="BV166" i="1" l="1"/>
  <c r="BX166" i="1"/>
  <c r="BV167" i="1"/>
  <c r="BX167" i="1"/>
  <c r="CB166" i="1" l="1"/>
  <c r="CD166" i="1"/>
  <c r="CB167" i="1"/>
  <c r="CD167" i="1"/>
  <c r="CH167" i="1" l="1"/>
  <c r="CJ167" i="1"/>
  <c r="CN167" i="1" s="1"/>
  <c r="CH166" i="1"/>
  <c r="CJ166" i="1"/>
  <c r="CN166" i="1" s="1"/>
  <c r="AQ15" i="5" l="1"/>
  <c r="S15" i="5"/>
  <c r="M15" i="5"/>
  <c r="L85" i="13"/>
  <c r="AN87" i="13"/>
  <c r="AM87" i="13"/>
  <c r="AL87" i="13"/>
  <c r="AK87" i="13"/>
  <c r="AJ87" i="13"/>
  <c r="AN86" i="13"/>
  <c r="AM86" i="13"/>
  <c r="AL86" i="13"/>
  <c r="AK86" i="13"/>
  <c r="AJ86" i="13"/>
  <c r="AN85" i="13"/>
  <c r="AM85" i="13"/>
  <c r="AL85" i="13"/>
  <c r="AK85" i="13"/>
  <c r="AJ85" i="13"/>
  <c r="AH87" i="13"/>
  <c r="AG87" i="13"/>
  <c r="AF87" i="13"/>
  <c r="AE87" i="13"/>
  <c r="AD87" i="13"/>
  <c r="AH86" i="13"/>
  <c r="AG86" i="13"/>
  <c r="AF86" i="13"/>
  <c r="AE86" i="13"/>
  <c r="AD86" i="13"/>
  <c r="AH85" i="13"/>
  <c r="AG85" i="13"/>
  <c r="AF85" i="13"/>
  <c r="AE85" i="13"/>
  <c r="AD85" i="13"/>
  <c r="Y89" i="13"/>
  <c r="AB87" i="13"/>
  <c r="AA87" i="13"/>
  <c r="Z87" i="13"/>
  <c r="Y87" i="13"/>
  <c r="X87" i="13"/>
  <c r="V87" i="13"/>
  <c r="U87" i="13"/>
  <c r="T87" i="13"/>
  <c r="S87" i="13"/>
  <c r="R87" i="13"/>
  <c r="P87" i="13"/>
  <c r="O87" i="13"/>
  <c r="N87" i="13"/>
  <c r="M87" i="13"/>
  <c r="L87" i="13"/>
  <c r="AB86" i="13"/>
  <c r="AA86" i="13"/>
  <c r="Z86" i="13"/>
  <c r="Y86" i="13"/>
  <c r="X86" i="13"/>
  <c r="V86" i="13"/>
  <c r="U86" i="13"/>
  <c r="T86" i="13"/>
  <c r="S86" i="13"/>
  <c r="R86" i="13"/>
  <c r="P86" i="13"/>
  <c r="O86" i="13"/>
  <c r="N86" i="13"/>
  <c r="M86" i="13"/>
  <c r="L86" i="13"/>
  <c r="AB85" i="13"/>
  <c r="AA85" i="13"/>
  <c r="Z85" i="13"/>
  <c r="Y85" i="13"/>
  <c r="X85" i="13"/>
  <c r="V85" i="13"/>
  <c r="U85" i="13"/>
  <c r="T85" i="13"/>
  <c r="S85" i="13"/>
  <c r="R85" i="13"/>
  <c r="P85" i="13"/>
  <c r="O85" i="13"/>
  <c r="N85" i="13"/>
  <c r="M85" i="13"/>
  <c r="X66" i="13"/>
  <c r="AX66" i="13"/>
  <c r="AW66" i="13"/>
  <c r="AV66" i="13"/>
  <c r="AV68" i="13" s="1"/>
  <c r="AR66" i="13"/>
  <c r="AQ66" i="13"/>
  <c r="AQ68" i="13" s="1"/>
  <c r="AP66" i="13"/>
  <c r="AL66" i="13"/>
  <c r="AK66" i="13"/>
  <c r="AJ66" i="13"/>
  <c r="AF66" i="13"/>
  <c r="AE66" i="13"/>
  <c r="AD66" i="13"/>
  <c r="Z66" i="13"/>
  <c r="Y66" i="13"/>
  <c r="T66" i="13"/>
  <c r="S66" i="13"/>
  <c r="Y68" i="13" s="1"/>
  <c r="R66" i="13"/>
  <c r="R68" i="13" s="1"/>
  <c r="N66" i="13"/>
  <c r="M66" i="13"/>
  <c r="M68" i="13" s="1"/>
  <c r="M78" i="13" s="1"/>
  <c r="L66" i="13"/>
  <c r="J66" i="13"/>
  <c r="I66" i="13"/>
  <c r="H66" i="13"/>
  <c r="G66" i="13"/>
  <c r="F66" i="13"/>
  <c r="F69" i="13" s="1"/>
  <c r="F70" i="13" s="1"/>
  <c r="N67" i="13"/>
  <c r="M67" i="13"/>
  <c r="L67" i="13"/>
  <c r="L70" i="13" s="1"/>
  <c r="L80" i="13" s="1"/>
  <c r="J67" i="13"/>
  <c r="I67" i="13"/>
  <c r="H67" i="13"/>
  <c r="G67" i="13"/>
  <c r="G69" i="13" s="1"/>
  <c r="G70" i="13" s="1"/>
  <c r="F67" i="13"/>
  <c r="J86" i="13"/>
  <c r="I86" i="13"/>
  <c r="H86" i="13"/>
  <c r="G86" i="13"/>
  <c r="F86" i="13"/>
  <c r="AB76" i="13"/>
  <c r="AA76" i="13"/>
  <c r="Z76" i="13"/>
  <c r="Y76" i="13"/>
  <c r="X76" i="13"/>
  <c r="V76" i="13"/>
  <c r="U76" i="13"/>
  <c r="T76" i="13"/>
  <c r="S76" i="13"/>
  <c r="R76" i="13"/>
  <c r="P76" i="13"/>
  <c r="O76" i="13"/>
  <c r="N76" i="13"/>
  <c r="M76" i="13"/>
  <c r="L76" i="13"/>
  <c r="AB75" i="13"/>
  <c r="AA75" i="13"/>
  <c r="Z75" i="13"/>
  <c r="Y75" i="13"/>
  <c r="X75" i="13"/>
  <c r="V75" i="13"/>
  <c r="U75" i="13"/>
  <c r="T75" i="13"/>
  <c r="S75" i="13"/>
  <c r="R75" i="13"/>
  <c r="P75" i="13"/>
  <c r="O75" i="13"/>
  <c r="N75" i="13"/>
  <c r="M75" i="13"/>
  <c r="L75" i="13"/>
  <c r="J75" i="13"/>
  <c r="I75" i="13"/>
  <c r="H75" i="13"/>
  <c r="G75" i="13"/>
  <c r="F75" i="13"/>
  <c r="AB74" i="13"/>
  <c r="AA74" i="13"/>
  <c r="Z74" i="13"/>
  <c r="Y74" i="13"/>
  <c r="X74" i="13"/>
  <c r="V74" i="13"/>
  <c r="U74" i="13"/>
  <c r="T74" i="13"/>
  <c r="S74" i="13"/>
  <c r="R74" i="13"/>
  <c r="P74" i="13"/>
  <c r="O74" i="13"/>
  <c r="N74" i="13"/>
  <c r="M74" i="13"/>
  <c r="L74" i="13"/>
  <c r="J69" i="13"/>
  <c r="J70" i="13" s="1"/>
  <c r="H69" i="13"/>
  <c r="H70" i="13" s="1"/>
  <c r="AX68" i="13"/>
  <c r="AP68" i="13"/>
  <c r="AR68" i="13"/>
  <c r="Z68" i="13"/>
  <c r="Z78" i="13" s="1"/>
  <c r="N68" i="13"/>
  <c r="N78" i="13" s="1"/>
  <c r="AN58" i="13"/>
  <c r="AM58" i="13"/>
  <c r="AL58" i="13"/>
  <c r="AK58" i="13"/>
  <c r="AJ58" i="13"/>
  <c r="AN57" i="13"/>
  <c r="AM57" i="13"/>
  <c r="AL57" i="13"/>
  <c r="AK57" i="13"/>
  <c r="AJ57" i="13"/>
  <c r="AN56" i="13"/>
  <c r="AN60" i="13" s="1"/>
  <c r="AM56" i="13"/>
  <c r="AL56" i="13"/>
  <c r="AK56" i="13"/>
  <c r="AJ56" i="13"/>
  <c r="AH58" i="13"/>
  <c r="AG58" i="13"/>
  <c r="AF58" i="13"/>
  <c r="AE58" i="13"/>
  <c r="AD58" i="13"/>
  <c r="AH57" i="13"/>
  <c r="AG57" i="13"/>
  <c r="AF57" i="13"/>
  <c r="AE57" i="13"/>
  <c r="AD57" i="13"/>
  <c r="AH56" i="13"/>
  <c r="AG56" i="13"/>
  <c r="AF56" i="13"/>
  <c r="AE56" i="13"/>
  <c r="AD56" i="13"/>
  <c r="AB58" i="13"/>
  <c r="AA58" i="13"/>
  <c r="Z58" i="13"/>
  <c r="Y58" i="13"/>
  <c r="X58" i="13"/>
  <c r="V58" i="13"/>
  <c r="U58" i="13"/>
  <c r="T58" i="13"/>
  <c r="S58" i="13"/>
  <c r="R58" i="13"/>
  <c r="P58" i="13"/>
  <c r="O58" i="13"/>
  <c r="N58" i="13"/>
  <c r="M58" i="13"/>
  <c r="L58" i="13"/>
  <c r="AB57" i="13"/>
  <c r="AA57" i="13"/>
  <c r="Z57" i="13"/>
  <c r="Y57" i="13"/>
  <c r="X57" i="13"/>
  <c r="V57" i="13"/>
  <c r="U57" i="13"/>
  <c r="T57" i="13"/>
  <c r="S57" i="13"/>
  <c r="R57" i="13"/>
  <c r="P57" i="13"/>
  <c r="O57" i="13"/>
  <c r="N57" i="13"/>
  <c r="M57" i="13"/>
  <c r="L57" i="13"/>
  <c r="AB56" i="13"/>
  <c r="AA56" i="13"/>
  <c r="Z56" i="13"/>
  <c r="Y56" i="13"/>
  <c r="X56" i="13"/>
  <c r="V56" i="13"/>
  <c r="U56" i="13"/>
  <c r="T56" i="13"/>
  <c r="S56" i="13"/>
  <c r="R56" i="13"/>
  <c r="P56" i="13"/>
  <c r="O56" i="13"/>
  <c r="N56" i="13"/>
  <c r="M56" i="13"/>
  <c r="L56" i="13"/>
  <c r="AY39" i="13"/>
  <c r="AW39" i="13"/>
  <c r="N38" i="13"/>
  <c r="M38" i="13"/>
  <c r="L38" i="13"/>
  <c r="J38" i="13"/>
  <c r="I38" i="13"/>
  <c r="H38" i="13"/>
  <c r="H40" i="13" s="1"/>
  <c r="H41" i="13" s="1"/>
  <c r="G38" i="13"/>
  <c r="F38" i="13"/>
  <c r="F40" i="13" s="1"/>
  <c r="F41" i="13" s="1"/>
  <c r="AZ37" i="13"/>
  <c r="AZ39" i="13" s="1"/>
  <c r="AY37" i="13"/>
  <c r="AX37" i="13"/>
  <c r="AX39" i="13" s="1"/>
  <c r="AW37" i="13"/>
  <c r="AV37" i="13"/>
  <c r="AV39" i="13" s="1"/>
  <c r="AT37" i="13"/>
  <c r="AS37" i="13"/>
  <c r="AR37" i="13"/>
  <c r="AQ37" i="13"/>
  <c r="AP37" i="13"/>
  <c r="AP39" i="13" s="1"/>
  <c r="AN37" i="13"/>
  <c r="AM37" i="13"/>
  <c r="AL37" i="13"/>
  <c r="AK37" i="13"/>
  <c r="AJ37" i="13"/>
  <c r="AH37" i="13"/>
  <c r="AG37" i="13"/>
  <c r="AF37" i="13"/>
  <c r="AF39" i="13" s="1"/>
  <c r="AF60" i="13" s="1"/>
  <c r="AE37" i="13"/>
  <c r="AD37" i="13"/>
  <c r="AB37" i="13"/>
  <c r="AA37" i="13"/>
  <c r="AG39" i="13" s="1"/>
  <c r="AG60" i="13" s="1"/>
  <c r="Z37" i="13"/>
  <c r="Y37" i="13"/>
  <c r="Y39" i="13" s="1"/>
  <c r="X37" i="13"/>
  <c r="V37" i="13"/>
  <c r="U37" i="13"/>
  <c r="T37" i="13"/>
  <c r="S37" i="13"/>
  <c r="R37" i="13"/>
  <c r="P37" i="13"/>
  <c r="O37" i="13"/>
  <c r="O39" i="13" s="1"/>
  <c r="N37" i="13"/>
  <c r="M37" i="13"/>
  <c r="M39" i="13" s="1"/>
  <c r="M49" i="13" s="1"/>
  <c r="L37" i="13"/>
  <c r="J37" i="13"/>
  <c r="I37" i="13"/>
  <c r="H37" i="13"/>
  <c r="N39" i="13" s="1"/>
  <c r="N49" i="13" s="1"/>
  <c r="G37" i="13"/>
  <c r="F37" i="13"/>
  <c r="L39" i="13" s="1"/>
  <c r="J57" i="13"/>
  <c r="I57" i="13"/>
  <c r="H57" i="13"/>
  <c r="G57" i="13"/>
  <c r="F57" i="13"/>
  <c r="AB47" i="13"/>
  <c r="AA47" i="13"/>
  <c r="Z47" i="13"/>
  <c r="Y47" i="13"/>
  <c r="X47" i="13"/>
  <c r="V47" i="13"/>
  <c r="U47" i="13"/>
  <c r="T47" i="13"/>
  <c r="S47" i="13"/>
  <c r="R47" i="13"/>
  <c r="P47" i="13"/>
  <c r="O47" i="13"/>
  <c r="N47" i="13"/>
  <c r="M47" i="13"/>
  <c r="L47" i="13"/>
  <c r="AB46" i="13"/>
  <c r="AA46" i="13"/>
  <c r="Z46" i="13"/>
  <c r="Y46" i="13"/>
  <c r="X46" i="13"/>
  <c r="V46" i="13"/>
  <c r="U46" i="13"/>
  <c r="T46" i="13"/>
  <c r="S46" i="13"/>
  <c r="R46" i="13"/>
  <c r="P46" i="13"/>
  <c r="O46" i="13"/>
  <c r="N46" i="13"/>
  <c r="M46" i="13"/>
  <c r="L46" i="13"/>
  <c r="J46" i="13"/>
  <c r="I46" i="13"/>
  <c r="H46" i="13"/>
  <c r="G46" i="13"/>
  <c r="F46" i="13"/>
  <c r="AB45" i="13"/>
  <c r="AA45" i="13"/>
  <c r="Z45" i="13"/>
  <c r="Y45" i="13"/>
  <c r="X45" i="13"/>
  <c r="V45" i="13"/>
  <c r="U45" i="13"/>
  <c r="T45" i="13"/>
  <c r="S45" i="13"/>
  <c r="R45" i="13"/>
  <c r="P45" i="13"/>
  <c r="O45" i="13"/>
  <c r="N45" i="13"/>
  <c r="M45" i="13"/>
  <c r="L45" i="13"/>
  <c r="AN39" i="13"/>
  <c r="AE39" i="13"/>
  <c r="L41" i="13"/>
  <c r="L62" i="13" s="1"/>
  <c r="I40" i="13"/>
  <c r="I41" i="13" s="1"/>
  <c r="G40" i="13"/>
  <c r="G41" i="13" s="1"/>
  <c r="AL39" i="13"/>
  <c r="AB39" i="13"/>
  <c r="AB60" i="13" s="1"/>
  <c r="N40" i="13"/>
  <c r="AN29" i="13"/>
  <c r="AM29" i="13"/>
  <c r="AL29" i="13"/>
  <c r="AK29" i="13"/>
  <c r="AJ29" i="13"/>
  <c r="AN28" i="13"/>
  <c r="AM28" i="13"/>
  <c r="AL28" i="13"/>
  <c r="AK28" i="13"/>
  <c r="AJ28" i="13"/>
  <c r="AN27" i="13"/>
  <c r="AM27" i="13"/>
  <c r="AL27" i="13"/>
  <c r="AK27" i="13"/>
  <c r="AJ27" i="13"/>
  <c r="AH29" i="13"/>
  <c r="AG29" i="13"/>
  <c r="AF29" i="13"/>
  <c r="AE29" i="13"/>
  <c r="AD29" i="13"/>
  <c r="AH28" i="13"/>
  <c r="AG28" i="13"/>
  <c r="AF28" i="13"/>
  <c r="AE28" i="13"/>
  <c r="AD28" i="13"/>
  <c r="AH27" i="13"/>
  <c r="AG27" i="13"/>
  <c r="AF27" i="13"/>
  <c r="AE27" i="13"/>
  <c r="AD27" i="13"/>
  <c r="AB29" i="13"/>
  <c r="AA29" i="13"/>
  <c r="Z29" i="13"/>
  <c r="Y29" i="13"/>
  <c r="X29" i="13"/>
  <c r="AB28" i="13"/>
  <c r="AA28" i="13"/>
  <c r="Z28" i="13"/>
  <c r="Y28" i="13"/>
  <c r="X28" i="13"/>
  <c r="AB27" i="13"/>
  <c r="AA27" i="13"/>
  <c r="Z27" i="13"/>
  <c r="Y27" i="13"/>
  <c r="X27" i="13"/>
  <c r="V29" i="13"/>
  <c r="U29" i="13"/>
  <c r="T29" i="13"/>
  <c r="S29" i="13"/>
  <c r="R29" i="13"/>
  <c r="V28" i="13"/>
  <c r="U28" i="13"/>
  <c r="T28" i="13"/>
  <c r="S28" i="13"/>
  <c r="R28" i="13"/>
  <c r="V27" i="13"/>
  <c r="U27" i="13"/>
  <c r="T27" i="13"/>
  <c r="S27" i="13"/>
  <c r="R27" i="13"/>
  <c r="P29" i="13"/>
  <c r="O29" i="13"/>
  <c r="N29" i="13"/>
  <c r="M29" i="13"/>
  <c r="L29" i="13"/>
  <c r="P28" i="13"/>
  <c r="O28" i="13"/>
  <c r="N28" i="13"/>
  <c r="M28" i="13"/>
  <c r="L28" i="13"/>
  <c r="P27" i="13"/>
  <c r="O27" i="13"/>
  <c r="N27" i="13"/>
  <c r="M27" i="13"/>
  <c r="L27" i="13"/>
  <c r="J28" i="13"/>
  <c r="I28" i="13"/>
  <c r="H28" i="13"/>
  <c r="G28" i="13"/>
  <c r="F28" i="13"/>
  <c r="R31" i="13"/>
  <c r="AB18" i="13"/>
  <c r="AA18" i="13"/>
  <c r="Z18" i="13"/>
  <c r="Y18" i="13"/>
  <c r="X18" i="13"/>
  <c r="V18" i="13"/>
  <c r="U18" i="13"/>
  <c r="T18" i="13"/>
  <c r="S18" i="13"/>
  <c r="R18" i="13"/>
  <c r="P18" i="13"/>
  <c r="O18" i="13"/>
  <c r="N18" i="13"/>
  <c r="M18" i="13"/>
  <c r="L18" i="13"/>
  <c r="AB17" i="13"/>
  <c r="AA17" i="13"/>
  <c r="Z17" i="13"/>
  <c r="Y17" i="13"/>
  <c r="X17" i="13"/>
  <c r="AF10" i="13"/>
  <c r="AB16" i="13"/>
  <c r="AA16" i="13"/>
  <c r="Z16" i="13"/>
  <c r="Y16" i="13"/>
  <c r="X16" i="13"/>
  <c r="V16" i="13"/>
  <c r="U16" i="13"/>
  <c r="T16" i="13"/>
  <c r="S16" i="13"/>
  <c r="R16" i="13"/>
  <c r="M16" i="13"/>
  <c r="N16" i="13"/>
  <c r="O16" i="13"/>
  <c r="P16" i="13"/>
  <c r="L16" i="13"/>
  <c r="V17" i="13"/>
  <c r="U17" i="13"/>
  <c r="T17" i="13"/>
  <c r="S17" i="13"/>
  <c r="R17" i="13"/>
  <c r="P17" i="13"/>
  <c r="O17" i="13"/>
  <c r="N17" i="13"/>
  <c r="M17" i="13"/>
  <c r="L17" i="13"/>
  <c r="J17" i="13"/>
  <c r="I17" i="13"/>
  <c r="H17" i="13"/>
  <c r="G17" i="13"/>
  <c r="F17" i="13"/>
  <c r="G9" i="13"/>
  <c r="G11" i="13" s="1"/>
  <c r="G12" i="13" s="1"/>
  <c r="H9" i="13"/>
  <c r="I9" i="13"/>
  <c r="J9" i="13"/>
  <c r="L9" i="13"/>
  <c r="L12" i="13" s="1"/>
  <c r="M9" i="13"/>
  <c r="M12" i="13" s="1"/>
  <c r="N9" i="13"/>
  <c r="N11" i="13" s="1"/>
  <c r="N21" i="13" s="1"/>
  <c r="AU9" i="13"/>
  <c r="F9" i="13"/>
  <c r="G8" i="13"/>
  <c r="H8" i="13"/>
  <c r="I8" i="13"/>
  <c r="J8" i="13"/>
  <c r="J11" i="13" s="1"/>
  <c r="J12" i="13" s="1"/>
  <c r="L8" i="13"/>
  <c r="M8" i="13"/>
  <c r="M10" i="13" s="1"/>
  <c r="N8" i="13"/>
  <c r="R8" i="13"/>
  <c r="R10" i="13" s="1"/>
  <c r="R20" i="13" s="1"/>
  <c r="S8" i="13"/>
  <c r="T8" i="13"/>
  <c r="X8" i="13"/>
  <c r="Y8" i="13"/>
  <c r="Y10" i="13" s="1"/>
  <c r="Y31" i="13" s="1"/>
  <c r="Z8" i="13"/>
  <c r="AD8" i="13"/>
  <c r="AJ10" i="13" s="1"/>
  <c r="AE8" i="13"/>
  <c r="AF8" i="13"/>
  <c r="AJ8" i="13"/>
  <c r="AK8" i="13"/>
  <c r="AK10" i="13" s="1"/>
  <c r="AL8" i="13"/>
  <c r="AL10" i="13" s="1"/>
  <c r="AL31" i="13" s="1"/>
  <c r="AP8" i="13"/>
  <c r="AP10" i="13" s="1"/>
  <c r="AQ8" i="13"/>
  <c r="AQ10" i="13" s="1"/>
  <c r="AR8" i="13"/>
  <c r="AR10" i="13" s="1"/>
  <c r="AU8" i="13"/>
  <c r="AV8" i="13"/>
  <c r="AW8" i="13"/>
  <c r="AX8" i="13"/>
  <c r="F8" i="13"/>
  <c r="E8" i="12"/>
  <c r="D8" i="12"/>
  <c r="CM181" i="1"/>
  <c r="CL181" i="1"/>
  <c r="CK181" i="1"/>
  <c r="CJ181" i="1"/>
  <c r="CG181" i="1"/>
  <c r="CF181" i="1"/>
  <c r="CE181" i="1"/>
  <c r="CD181" i="1"/>
  <c r="CA181" i="1"/>
  <c r="BZ181" i="1"/>
  <c r="BY181" i="1"/>
  <c r="BX181" i="1"/>
  <c r="BU181" i="1"/>
  <c r="BT181" i="1"/>
  <c r="BS181" i="1"/>
  <c r="BR181" i="1"/>
  <c r="BO181" i="1"/>
  <c r="BN181" i="1"/>
  <c r="BM181" i="1"/>
  <c r="BL181" i="1"/>
  <c r="BI181" i="1"/>
  <c r="BH181" i="1"/>
  <c r="BG181" i="1"/>
  <c r="BF181" i="1"/>
  <c r="BF182" i="1" s="1"/>
  <c r="BA181" i="1"/>
  <c r="BB181" i="1"/>
  <c r="BC181" i="1"/>
  <c r="AZ181" i="1"/>
  <c r="AW181" i="1"/>
  <c r="AW128" i="1" s="1"/>
  <c r="CM376" i="1"/>
  <c r="CM377" i="1" s="1"/>
  <c r="CL376" i="1"/>
  <c r="CL377" i="1" s="1"/>
  <c r="CK376" i="1"/>
  <c r="CK377" i="1" s="1"/>
  <c r="CJ376" i="1"/>
  <c r="CJ377" i="1" s="1"/>
  <c r="CM373" i="1"/>
  <c r="CL373" i="1"/>
  <c r="CK373" i="1"/>
  <c r="CJ373" i="1"/>
  <c r="CN372" i="1"/>
  <c r="CG376" i="1"/>
  <c r="CG377" i="1" s="1"/>
  <c r="CF376" i="1"/>
  <c r="CF377" i="1" s="1"/>
  <c r="CE376" i="1"/>
  <c r="CE377" i="1" s="1"/>
  <c r="CD376" i="1"/>
  <c r="CD377" i="1" s="1"/>
  <c r="CG373" i="1"/>
  <c r="CF373" i="1"/>
  <c r="CE373" i="1"/>
  <c r="CD373" i="1"/>
  <c r="CH372" i="1"/>
  <c r="CA376" i="1"/>
  <c r="CA377" i="1" s="1"/>
  <c r="BZ376" i="1"/>
  <c r="BZ377" i="1" s="1"/>
  <c r="BY376" i="1"/>
  <c r="BY377" i="1" s="1"/>
  <c r="BX376" i="1"/>
  <c r="BX377" i="1" s="1"/>
  <c r="CA373" i="1"/>
  <c r="BZ373" i="1"/>
  <c r="BY373" i="1"/>
  <c r="BX373" i="1"/>
  <c r="CB372" i="1"/>
  <c r="BU376" i="1"/>
  <c r="BU377" i="1" s="1"/>
  <c r="BT376" i="1"/>
  <c r="BT377" i="1" s="1"/>
  <c r="BS376" i="1"/>
  <c r="BS377" i="1" s="1"/>
  <c r="BR376" i="1"/>
  <c r="BR377" i="1" s="1"/>
  <c r="BU373" i="1"/>
  <c r="BT373" i="1"/>
  <c r="BS373" i="1"/>
  <c r="BR373" i="1"/>
  <c r="BV372" i="1"/>
  <c r="BO376" i="1"/>
  <c r="BO377" i="1" s="1"/>
  <c r="BN376" i="1"/>
  <c r="BN377" i="1" s="1"/>
  <c r="BM376" i="1"/>
  <c r="BM377" i="1" s="1"/>
  <c r="BL376" i="1"/>
  <c r="BL377" i="1" s="1"/>
  <c r="BO373" i="1"/>
  <c r="BN373" i="1"/>
  <c r="BM373" i="1"/>
  <c r="BL373" i="1"/>
  <c r="BP372" i="1"/>
  <c r="BI376" i="1"/>
  <c r="BI377" i="1" s="1"/>
  <c r="BH376" i="1"/>
  <c r="BH377" i="1" s="1"/>
  <c r="BG376" i="1"/>
  <c r="BG377" i="1" s="1"/>
  <c r="BF376" i="1"/>
  <c r="BF377" i="1" s="1"/>
  <c r="BI373" i="1"/>
  <c r="BH373" i="1"/>
  <c r="BG373" i="1"/>
  <c r="BF373" i="1"/>
  <c r="BJ372" i="1"/>
  <c r="BC373" i="1"/>
  <c r="BC376" i="1"/>
  <c r="BC377" i="1" s="1"/>
  <c r="BB373" i="1"/>
  <c r="BB376" i="1"/>
  <c r="BB377" i="1" s="1"/>
  <c r="BA373" i="1"/>
  <c r="BA376" i="1"/>
  <c r="BA377" i="1" s="1"/>
  <c r="AZ376" i="1"/>
  <c r="AZ377" i="1" s="1"/>
  <c r="AZ373" i="1"/>
  <c r="AV384" i="1"/>
  <c r="AU384" i="1"/>
  <c r="AT384" i="1"/>
  <c r="AV380" i="1"/>
  <c r="AU380" i="1"/>
  <c r="AT380" i="1"/>
  <c r="AT382" i="1" s="1"/>
  <c r="AQ384" i="1"/>
  <c r="AP384" i="1"/>
  <c r="AO384" i="1"/>
  <c r="AN384" i="1"/>
  <c r="AQ380" i="1"/>
  <c r="AQ382" i="1" s="1"/>
  <c r="AP380" i="1"/>
  <c r="AP382" i="1" s="1"/>
  <c r="AO380" i="1"/>
  <c r="AO382" i="1" s="1"/>
  <c r="AN380" i="1"/>
  <c r="AK384" i="1"/>
  <c r="AJ384" i="1"/>
  <c r="AI384" i="1"/>
  <c r="AH384" i="1"/>
  <c r="AK382" i="1"/>
  <c r="AK380" i="1"/>
  <c r="AJ380" i="1"/>
  <c r="AJ382" i="1" s="1"/>
  <c r="AI380" i="1"/>
  <c r="AI382" i="1" s="1"/>
  <c r="AH380" i="1"/>
  <c r="AE384" i="1"/>
  <c r="AD384" i="1"/>
  <c r="AC384" i="1"/>
  <c r="AB384" i="1"/>
  <c r="AE380" i="1"/>
  <c r="AD380" i="1"/>
  <c r="AD382" i="1" s="1"/>
  <c r="AD383" i="1" s="1"/>
  <c r="AC380" i="1"/>
  <c r="AC382" i="1" s="1"/>
  <c r="AB380" i="1"/>
  <c r="AB382" i="1" s="1"/>
  <c r="Y384" i="1"/>
  <c r="X384" i="1"/>
  <c r="W384" i="1"/>
  <c r="V384" i="1"/>
  <c r="Y380" i="1"/>
  <c r="X380" i="1"/>
  <c r="X382" i="1" s="1"/>
  <c r="W380" i="1"/>
  <c r="W382" i="1" s="1"/>
  <c r="V380" i="1"/>
  <c r="V382" i="1" s="1"/>
  <c r="S384" i="1"/>
  <c r="R384" i="1"/>
  <c r="Q384" i="1"/>
  <c r="P384" i="1"/>
  <c r="S380" i="1"/>
  <c r="R380" i="1"/>
  <c r="R382" i="1" s="1"/>
  <c r="Q380" i="1"/>
  <c r="Q382" i="1" s="1"/>
  <c r="P380" i="1"/>
  <c r="P382" i="1" s="1"/>
  <c r="G384" i="1"/>
  <c r="F384" i="1"/>
  <c r="E384" i="1"/>
  <c r="D384" i="1"/>
  <c r="G380" i="1"/>
  <c r="F380" i="1"/>
  <c r="F382" i="1" s="1"/>
  <c r="E380" i="1"/>
  <c r="E382" i="1" s="1"/>
  <c r="D380" i="1"/>
  <c r="D382" i="1" s="1"/>
  <c r="M384" i="1"/>
  <c r="L384" i="1"/>
  <c r="K384" i="1"/>
  <c r="J384" i="1"/>
  <c r="M380" i="1"/>
  <c r="L380" i="1"/>
  <c r="K380" i="1"/>
  <c r="J380" i="1"/>
  <c r="J382" i="1" s="1"/>
  <c r="G373" i="1"/>
  <c r="F373" i="1"/>
  <c r="E373" i="1"/>
  <c r="D373" i="1"/>
  <c r="G372" i="1"/>
  <c r="G377" i="1" s="1"/>
  <c r="F372" i="1"/>
  <c r="F377" i="1" s="1"/>
  <c r="E372" i="1"/>
  <c r="E377" i="1" s="1"/>
  <c r="D372" i="1"/>
  <c r="D377" i="1" s="1"/>
  <c r="G371" i="1"/>
  <c r="F371" i="1"/>
  <c r="E371" i="1"/>
  <c r="D371" i="1"/>
  <c r="G370" i="1"/>
  <c r="F370" i="1"/>
  <c r="E370" i="1"/>
  <c r="D370" i="1"/>
  <c r="M373" i="1"/>
  <c r="L373" i="1"/>
  <c r="K373" i="1"/>
  <c r="J373" i="1"/>
  <c r="M372" i="1"/>
  <c r="M377" i="1" s="1"/>
  <c r="L372" i="1"/>
  <c r="L388" i="1" s="1"/>
  <c r="K372" i="1"/>
  <c r="K377" i="1" s="1"/>
  <c r="J372" i="1"/>
  <c r="M371" i="1"/>
  <c r="L371" i="1"/>
  <c r="K371" i="1"/>
  <c r="J371" i="1"/>
  <c r="M370" i="1"/>
  <c r="L370" i="1"/>
  <c r="K370" i="1"/>
  <c r="J370" i="1"/>
  <c r="S373" i="1"/>
  <c r="R373" i="1"/>
  <c r="Q373" i="1"/>
  <c r="P373" i="1"/>
  <c r="S372" i="1"/>
  <c r="S377" i="1" s="1"/>
  <c r="R372" i="1"/>
  <c r="R377" i="1" s="1"/>
  <c r="Q372" i="1"/>
  <c r="Q377" i="1" s="1"/>
  <c r="P372" i="1"/>
  <c r="P377" i="1" s="1"/>
  <c r="S371" i="1"/>
  <c r="R371" i="1"/>
  <c r="Q371" i="1"/>
  <c r="P371" i="1"/>
  <c r="S370" i="1"/>
  <c r="R370" i="1"/>
  <c r="Q370" i="1"/>
  <c r="P370" i="1"/>
  <c r="AW373" i="1"/>
  <c r="AV373" i="1"/>
  <c r="AU373" i="1"/>
  <c r="AT373" i="1"/>
  <c r="AV372" i="1"/>
  <c r="AV377" i="1" s="1"/>
  <c r="AU372" i="1"/>
  <c r="AU377" i="1" s="1"/>
  <c r="AT372" i="1"/>
  <c r="AT377" i="1" s="1"/>
  <c r="AV371" i="1"/>
  <c r="AU371" i="1"/>
  <c r="AT371" i="1"/>
  <c r="AV370" i="1"/>
  <c r="AU370" i="1"/>
  <c r="AT370" i="1"/>
  <c r="BD372" i="1"/>
  <c r="AQ373" i="1"/>
  <c r="AP373" i="1"/>
  <c r="AO373" i="1"/>
  <c r="AN373" i="1"/>
  <c r="AQ372" i="1"/>
  <c r="AQ377" i="1" s="1"/>
  <c r="AP372" i="1"/>
  <c r="AP377" i="1" s="1"/>
  <c r="AO372" i="1"/>
  <c r="AO377" i="1" s="1"/>
  <c r="AN372" i="1"/>
  <c r="AN377" i="1" s="1"/>
  <c r="AN378" i="1" s="1"/>
  <c r="AQ371" i="1"/>
  <c r="AP371" i="1"/>
  <c r="AO371" i="1"/>
  <c r="AN371" i="1"/>
  <c r="AQ370" i="1"/>
  <c r="AP370" i="1"/>
  <c r="AO370" i="1"/>
  <c r="AN370" i="1"/>
  <c r="AK373" i="1"/>
  <c r="AJ373" i="1"/>
  <c r="AI373" i="1"/>
  <c r="AH373" i="1"/>
  <c r="AK372" i="1"/>
  <c r="AK377" i="1" s="1"/>
  <c r="AJ372" i="1"/>
  <c r="AJ377" i="1" s="1"/>
  <c r="AI372" i="1"/>
  <c r="AI377" i="1" s="1"/>
  <c r="AH372" i="1"/>
  <c r="AH388" i="1" s="1"/>
  <c r="AK371" i="1"/>
  <c r="AJ371" i="1"/>
  <c r="AI371" i="1"/>
  <c r="AH371" i="1"/>
  <c r="AK370" i="1"/>
  <c r="AJ370" i="1"/>
  <c r="AI370" i="1"/>
  <c r="AH370" i="1"/>
  <c r="AE373" i="1"/>
  <c r="AD373" i="1"/>
  <c r="AC373" i="1"/>
  <c r="AB373" i="1"/>
  <c r="AE372" i="1"/>
  <c r="AE377" i="1" s="1"/>
  <c r="AD372" i="1"/>
  <c r="AD377" i="1" s="1"/>
  <c r="AC372" i="1"/>
  <c r="AC377" i="1" s="1"/>
  <c r="AB372" i="1"/>
  <c r="AB377" i="1" s="1"/>
  <c r="AE371" i="1"/>
  <c r="AD371" i="1"/>
  <c r="AC371" i="1"/>
  <c r="AB371" i="1"/>
  <c r="AE370" i="1"/>
  <c r="AD370" i="1"/>
  <c r="AC370" i="1"/>
  <c r="AB370" i="1"/>
  <c r="W372" i="1"/>
  <c r="W377" i="1" s="1"/>
  <c r="X372" i="1"/>
  <c r="X388" i="1" s="1"/>
  <c r="Y372" i="1"/>
  <c r="Y377" i="1" s="1"/>
  <c r="W373" i="1"/>
  <c r="X373" i="1"/>
  <c r="Y373" i="1"/>
  <c r="V373" i="1"/>
  <c r="V372" i="1"/>
  <c r="V377" i="1" s="1"/>
  <c r="AV186" i="1"/>
  <c r="AV385" i="1" s="1"/>
  <c r="AU186" i="1"/>
  <c r="AU385" i="1" s="1"/>
  <c r="AT186" i="1"/>
  <c r="AT385" i="1" s="1"/>
  <c r="CD182" i="1"/>
  <c r="CN260" i="1"/>
  <c r="CM260" i="1"/>
  <c r="CL260" i="1"/>
  <c r="CK260" i="1"/>
  <c r="CJ260" i="1"/>
  <c r="CN258" i="1"/>
  <c r="CM258" i="1"/>
  <c r="CL258" i="1"/>
  <c r="CK258" i="1"/>
  <c r="CJ258" i="1"/>
  <c r="CN256" i="1"/>
  <c r="CM256" i="1"/>
  <c r="CL256" i="1"/>
  <c r="CK256" i="1"/>
  <c r="CJ256" i="1"/>
  <c r="CN254" i="1"/>
  <c r="CM254" i="1"/>
  <c r="CL254" i="1"/>
  <c r="CK254" i="1"/>
  <c r="CJ254" i="1"/>
  <c r="CN252" i="1"/>
  <c r="CM252" i="1"/>
  <c r="CL252" i="1"/>
  <c r="CK252" i="1"/>
  <c r="CJ252" i="1"/>
  <c r="CN250" i="1"/>
  <c r="CM250" i="1"/>
  <c r="CL250" i="1"/>
  <c r="CK250" i="1"/>
  <c r="CJ250" i="1"/>
  <c r="CN248" i="1"/>
  <c r="CM248" i="1"/>
  <c r="CL248" i="1"/>
  <c r="CK248" i="1"/>
  <c r="CJ248" i="1"/>
  <c r="CN246" i="1"/>
  <c r="CM246" i="1"/>
  <c r="CL246" i="1"/>
  <c r="CK246" i="1"/>
  <c r="CJ246" i="1"/>
  <c r="CN242" i="1"/>
  <c r="CM242" i="1"/>
  <c r="CL242" i="1"/>
  <c r="CK242" i="1"/>
  <c r="CJ242" i="1"/>
  <c r="CN240" i="1"/>
  <c r="CM240" i="1"/>
  <c r="CL240" i="1"/>
  <c r="CK240" i="1"/>
  <c r="CJ240" i="1"/>
  <c r="CN238" i="1"/>
  <c r="CM238" i="1"/>
  <c r="CL238" i="1"/>
  <c r="CK238" i="1"/>
  <c r="CJ238" i="1"/>
  <c r="CN236" i="1"/>
  <c r="CM236" i="1"/>
  <c r="CL236" i="1"/>
  <c r="CK236" i="1"/>
  <c r="CJ236" i="1"/>
  <c r="CN234" i="1"/>
  <c r="CM234" i="1"/>
  <c r="CL234" i="1"/>
  <c r="CK234" i="1"/>
  <c r="CJ234" i="1"/>
  <c r="CN232" i="1"/>
  <c r="CM232" i="1"/>
  <c r="CL232" i="1"/>
  <c r="CK232" i="1"/>
  <c r="CJ232" i="1"/>
  <c r="CN230" i="1"/>
  <c r="CM230" i="1"/>
  <c r="CL230" i="1"/>
  <c r="CK230" i="1"/>
  <c r="CJ230" i="1"/>
  <c r="CN228" i="1"/>
  <c r="CM228" i="1"/>
  <c r="CL228" i="1"/>
  <c r="CK228" i="1"/>
  <c r="CJ228" i="1"/>
  <c r="CN226" i="1"/>
  <c r="CM226" i="1"/>
  <c r="CL226" i="1"/>
  <c r="CK226" i="1"/>
  <c r="CJ226" i="1"/>
  <c r="CN224" i="1"/>
  <c r="CM224" i="1"/>
  <c r="CL224" i="1"/>
  <c r="CK224" i="1"/>
  <c r="CJ224" i="1"/>
  <c r="CN222" i="1"/>
  <c r="CM222" i="1"/>
  <c r="CL222" i="1"/>
  <c r="CK222" i="1"/>
  <c r="CJ222" i="1"/>
  <c r="CN220" i="1"/>
  <c r="CM220" i="1"/>
  <c r="CL220" i="1"/>
  <c r="CK220" i="1"/>
  <c r="CJ220" i="1"/>
  <c r="CN218" i="1"/>
  <c r="CM218" i="1"/>
  <c r="CL218" i="1"/>
  <c r="CK218" i="1"/>
  <c r="CJ218" i="1"/>
  <c r="CN216" i="1"/>
  <c r="CM216" i="1"/>
  <c r="CL216" i="1"/>
  <c r="CK216" i="1"/>
  <c r="CJ216" i="1"/>
  <c r="CN214" i="1"/>
  <c r="CM214" i="1"/>
  <c r="CL214" i="1"/>
  <c r="CK214" i="1"/>
  <c r="CJ214" i="1"/>
  <c r="CN212" i="1"/>
  <c r="CM212" i="1"/>
  <c r="CL212" i="1"/>
  <c r="CK212" i="1"/>
  <c r="CJ212" i="1"/>
  <c r="CN210" i="1"/>
  <c r="CM210" i="1"/>
  <c r="CL210" i="1"/>
  <c r="CK210" i="1"/>
  <c r="CJ210" i="1"/>
  <c r="CH260" i="1"/>
  <c r="CG260" i="1"/>
  <c r="CF260" i="1"/>
  <c r="CE260" i="1"/>
  <c r="CD260" i="1"/>
  <c r="CH258" i="1"/>
  <c r="CG258" i="1"/>
  <c r="CF258" i="1"/>
  <c r="CE258" i="1"/>
  <c r="CD258" i="1"/>
  <c r="CH256" i="1"/>
  <c r="CG256" i="1"/>
  <c r="CF256" i="1"/>
  <c r="CE256" i="1"/>
  <c r="CD256" i="1"/>
  <c r="CH254" i="1"/>
  <c r="CG254" i="1"/>
  <c r="CF254" i="1"/>
  <c r="CE254" i="1"/>
  <c r="CD254" i="1"/>
  <c r="CH252" i="1"/>
  <c r="CG252" i="1"/>
  <c r="CF252" i="1"/>
  <c r="CE252" i="1"/>
  <c r="CD252" i="1"/>
  <c r="CH250" i="1"/>
  <c r="CG250" i="1"/>
  <c r="CF250" i="1"/>
  <c r="CE250" i="1"/>
  <c r="CD250" i="1"/>
  <c r="CH248" i="1"/>
  <c r="CG248" i="1"/>
  <c r="CF248" i="1"/>
  <c r="CE248" i="1"/>
  <c r="CD248" i="1"/>
  <c r="CH246" i="1"/>
  <c r="CG246" i="1"/>
  <c r="CF246" i="1"/>
  <c r="CE246" i="1"/>
  <c r="CD246" i="1"/>
  <c r="CH242" i="1"/>
  <c r="CG242" i="1"/>
  <c r="CF242" i="1"/>
  <c r="CE242" i="1"/>
  <c r="CD242" i="1"/>
  <c r="CH240" i="1"/>
  <c r="CG240" i="1"/>
  <c r="CF240" i="1"/>
  <c r="CE240" i="1"/>
  <c r="CD240" i="1"/>
  <c r="CH238" i="1"/>
  <c r="CG238" i="1"/>
  <c r="CF238" i="1"/>
  <c r="CE238" i="1"/>
  <c r="CD238" i="1"/>
  <c r="CH236" i="1"/>
  <c r="CG236" i="1"/>
  <c r="CF236" i="1"/>
  <c r="CE236" i="1"/>
  <c r="CD236" i="1"/>
  <c r="CH234" i="1"/>
  <c r="CG234" i="1"/>
  <c r="CF234" i="1"/>
  <c r="CE234" i="1"/>
  <c r="CD234" i="1"/>
  <c r="CH232" i="1"/>
  <c r="CG232" i="1"/>
  <c r="CF232" i="1"/>
  <c r="CE232" i="1"/>
  <c r="CD232" i="1"/>
  <c r="CH230" i="1"/>
  <c r="CG230" i="1"/>
  <c r="CF230" i="1"/>
  <c r="CE230" i="1"/>
  <c r="CD230" i="1"/>
  <c r="CH228" i="1"/>
  <c r="CG228" i="1"/>
  <c r="CF228" i="1"/>
  <c r="CE228" i="1"/>
  <c r="CD228" i="1"/>
  <c r="CH226" i="1"/>
  <c r="CG226" i="1"/>
  <c r="CF226" i="1"/>
  <c r="CE226" i="1"/>
  <c r="CD226" i="1"/>
  <c r="CH224" i="1"/>
  <c r="CG224" i="1"/>
  <c r="CF224" i="1"/>
  <c r="CE224" i="1"/>
  <c r="CD224" i="1"/>
  <c r="CH222" i="1"/>
  <c r="CG222" i="1"/>
  <c r="CF222" i="1"/>
  <c r="CE222" i="1"/>
  <c r="CD222" i="1"/>
  <c r="CH220" i="1"/>
  <c r="CG220" i="1"/>
  <c r="CF220" i="1"/>
  <c r="CE220" i="1"/>
  <c r="CD220" i="1"/>
  <c r="CH218" i="1"/>
  <c r="CG218" i="1"/>
  <c r="CF218" i="1"/>
  <c r="CE218" i="1"/>
  <c r="CD218" i="1"/>
  <c r="CH216" i="1"/>
  <c r="CG216" i="1"/>
  <c r="CF216" i="1"/>
  <c r="CE216" i="1"/>
  <c r="CD216" i="1"/>
  <c r="CH214" i="1"/>
  <c r="CG214" i="1"/>
  <c r="CF214" i="1"/>
  <c r="CE214" i="1"/>
  <c r="CD214" i="1"/>
  <c r="CH212" i="1"/>
  <c r="CG212" i="1"/>
  <c r="CF212" i="1"/>
  <c r="CE212" i="1"/>
  <c r="CD212" i="1"/>
  <c r="CH210" i="1"/>
  <c r="CG210" i="1"/>
  <c r="CF210" i="1"/>
  <c r="CE210" i="1"/>
  <c r="CD210" i="1"/>
  <c r="CB260" i="1"/>
  <c r="CA260" i="1"/>
  <c r="BZ260" i="1"/>
  <c r="BY260" i="1"/>
  <c r="BX260" i="1"/>
  <c r="CB258" i="1"/>
  <c r="CA258" i="1"/>
  <c r="BZ258" i="1"/>
  <c r="BY258" i="1"/>
  <c r="BX258" i="1"/>
  <c r="CB256" i="1"/>
  <c r="CA256" i="1"/>
  <c r="BZ256" i="1"/>
  <c r="BY256" i="1"/>
  <c r="BX256" i="1"/>
  <c r="CB254" i="1"/>
  <c r="CA254" i="1"/>
  <c r="BZ254" i="1"/>
  <c r="BY254" i="1"/>
  <c r="BX254" i="1"/>
  <c r="CB252" i="1"/>
  <c r="CA252" i="1"/>
  <c r="BZ252" i="1"/>
  <c r="BY252" i="1"/>
  <c r="BX252" i="1"/>
  <c r="CB250" i="1"/>
  <c r="CA250" i="1"/>
  <c r="BZ250" i="1"/>
  <c r="BY250" i="1"/>
  <c r="BX250" i="1"/>
  <c r="CB248" i="1"/>
  <c r="CA248" i="1"/>
  <c r="BZ248" i="1"/>
  <c r="BY248" i="1"/>
  <c r="BX248" i="1"/>
  <c r="CB246" i="1"/>
  <c r="CA246" i="1"/>
  <c r="BZ246" i="1"/>
  <c r="BY246" i="1"/>
  <c r="BX246" i="1"/>
  <c r="CB242" i="1"/>
  <c r="CA242" i="1"/>
  <c r="BZ242" i="1"/>
  <c r="BY242" i="1"/>
  <c r="BX242" i="1"/>
  <c r="CB240" i="1"/>
  <c r="CA240" i="1"/>
  <c r="BZ240" i="1"/>
  <c r="BY240" i="1"/>
  <c r="BX240" i="1"/>
  <c r="CB238" i="1"/>
  <c r="CA238" i="1"/>
  <c r="BZ238" i="1"/>
  <c r="BY238" i="1"/>
  <c r="BX238" i="1"/>
  <c r="CB236" i="1"/>
  <c r="CA236" i="1"/>
  <c r="BZ236" i="1"/>
  <c r="BY236" i="1"/>
  <c r="BX236" i="1"/>
  <c r="CB234" i="1"/>
  <c r="CA234" i="1"/>
  <c r="BZ234" i="1"/>
  <c r="BY234" i="1"/>
  <c r="BX234" i="1"/>
  <c r="CB232" i="1"/>
  <c r="CA232" i="1"/>
  <c r="BZ232" i="1"/>
  <c r="BY232" i="1"/>
  <c r="BX232" i="1"/>
  <c r="CB230" i="1"/>
  <c r="CA230" i="1"/>
  <c r="BZ230" i="1"/>
  <c r="BY230" i="1"/>
  <c r="BX230" i="1"/>
  <c r="CB228" i="1"/>
  <c r="CA228" i="1"/>
  <c r="BZ228" i="1"/>
  <c r="BY228" i="1"/>
  <c r="BX228" i="1"/>
  <c r="CB226" i="1"/>
  <c r="CA226" i="1"/>
  <c r="BZ226" i="1"/>
  <c r="BY226" i="1"/>
  <c r="BX226" i="1"/>
  <c r="CB224" i="1"/>
  <c r="CA224" i="1"/>
  <c r="BZ224" i="1"/>
  <c r="BY224" i="1"/>
  <c r="BX224" i="1"/>
  <c r="CB222" i="1"/>
  <c r="CA222" i="1"/>
  <c r="BZ222" i="1"/>
  <c r="BY222" i="1"/>
  <c r="BX222" i="1"/>
  <c r="CB220" i="1"/>
  <c r="CA220" i="1"/>
  <c r="BZ220" i="1"/>
  <c r="BY220" i="1"/>
  <c r="BX220" i="1"/>
  <c r="CB218" i="1"/>
  <c r="CA218" i="1"/>
  <c r="BZ218" i="1"/>
  <c r="BY218" i="1"/>
  <c r="BX218" i="1"/>
  <c r="CB216" i="1"/>
  <c r="CA216" i="1"/>
  <c r="BZ216" i="1"/>
  <c r="BY216" i="1"/>
  <c r="BX216" i="1"/>
  <c r="CB214" i="1"/>
  <c r="CA214" i="1"/>
  <c r="BZ214" i="1"/>
  <c r="BY214" i="1"/>
  <c r="BX214" i="1"/>
  <c r="CB212" i="1"/>
  <c r="CA212" i="1"/>
  <c r="BZ212" i="1"/>
  <c r="BY212" i="1"/>
  <c r="BX212" i="1"/>
  <c r="CB210" i="1"/>
  <c r="CA210" i="1"/>
  <c r="BZ210" i="1"/>
  <c r="BY210" i="1"/>
  <c r="BX210" i="1"/>
  <c r="BV260" i="1"/>
  <c r="BU260" i="1"/>
  <c r="BT260" i="1"/>
  <c r="BS260" i="1"/>
  <c r="BR260" i="1"/>
  <c r="BV258" i="1"/>
  <c r="BU258" i="1"/>
  <c r="BT258" i="1"/>
  <c r="BS258" i="1"/>
  <c r="BR258" i="1"/>
  <c r="BV256" i="1"/>
  <c r="BU256" i="1"/>
  <c r="BT256" i="1"/>
  <c r="BS256" i="1"/>
  <c r="BR256" i="1"/>
  <c r="BV254" i="1"/>
  <c r="BU254" i="1"/>
  <c r="BT254" i="1"/>
  <c r="BS254" i="1"/>
  <c r="BR254" i="1"/>
  <c r="BV252" i="1"/>
  <c r="BU252" i="1"/>
  <c r="BT252" i="1"/>
  <c r="BS252" i="1"/>
  <c r="BR252" i="1"/>
  <c r="BV250" i="1"/>
  <c r="BU250" i="1"/>
  <c r="BT250" i="1"/>
  <c r="BS250" i="1"/>
  <c r="BR250" i="1"/>
  <c r="BV248" i="1"/>
  <c r="BU248" i="1"/>
  <c r="BT248" i="1"/>
  <c r="BS248" i="1"/>
  <c r="BR248" i="1"/>
  <c r="BV246" i="1"/>
  <c r="BU246" i="1"/>
  <c r="BT246" i="1"/>
  <c r="BS246" i="1"/>
  <c r="BR246" i="1"/>
  <c r="BV242" i="1"/>
  <c r="BU242" i="1"/>
  <c r="BT242" i="1"/>
  <c r="BS242" i="1"/>
  <c r="BR242" i="1"/>
  <c r="BV240" i="1"/>
  <c r="BU240" i="1"/>
  <c r="BT240" i="1"/>
  <c r="BS240" i="1"/>
  <c r="BR240" i="1"/>
  <c r="BV238" i="1"/>
  <c r="BU238" i="1"/>
  <c r="BT238" i="1"/>
  <c r="BS238" i="1"/>
  <c r="BR238" i="1"/>
  <c r="BV236" i="1"/>
  <c r="BU236" i="1"/>
  <c r="BT236" i="1"/>
  <c r="BS236" i="1"/>
  <c r="BR236" i="1"/>
  <c r="BV234" i="1"/>
  <c r="BU234" i="1"/>
  <c r="BT234" i="1"/>
  <c r="BS234" i="1"/>
  <c r="BR234" i="1"/>
  <c r="BV232" i="1"/>
  <c r="BU232" i="1"/>
  <c r="BT232" i="1"/>
  <c r="BS232" i="1"/>
  <c r="BR232" i="1"/>
  <c r="BV230" i="1"/>
  <c r="BU230" i="1"/>
  <c r="BT230" i="1"/>
  <c r="BS230" i="1"/>
  <c r="BR230" i="1"/>
  <c r="BV228" i="1"/>
  <c r="BU228" i="1"/>
  <c r="BT228" i="1"/>
  <c r="BS228" i="1"/>
  <c r="BR228" i="1"/>
  <c r="BV226" i="1"/>
  <c r="BU226" i="1"/>
  <c r="BT226" i="1"/>
  <c r="BS226" i="1"/>
  <c r="BR226" i="1"/>
  <c r="BV224" i="1"/>
  <c r="BU224" i="1"/>
  <c r="BT224" i="1"/>
  <c r="BS224" i="1"/>
  <c r="BR224" i="1"/>
  <c r="BV222" i="1"/>
  <c r="BU222" i="1"/>
  <c r="BT222" i="1"/>
  <c r="BS222" i="1"/>
  <c r="BR222" i="1"/>
  <c r="BV220" i="1"/>
  <c r="BU220" i="1"/>
  <c r="BT220" i="1"/>
  <c r="BS220" i="1"/>
  <c r="BR220" i="1"/>
  <c r="BV218" i="1"/>
  <c r="BU218" i="1"/>
  <c r="BT218" i="1"/>
  <c r="BS218" i="1"/>
  <c r="BR218" i="1"/>
  <c r="BV216" i="1"/>
  <c r="BU216" i="1"/>
  <c r="BT216" i="1"/>
  <c r="BS216" i="1"/>
  <c r="BR216" i="1"/>
  <c r="BV214" i="1"/>
  <c r="BU214" i="1"/>
  <c r="BT214" i="1"/>
  <c r="BS214" i="1"/>
  <c r="BR214" i="1"/>
  <c r="BV212" i="1"/>
  <c r="BU212" i="1"/>
  <c r="BT212" i="1"/>
  <c r="BS212" i="1"/>
  <c r="BR212" i="1"/>
  <c r="BV210" i="1"/>
  <c r="BU210" i="1"/>
  <c r="BT210" i="1"/>
  <c r="BS210" i="1"/>
  <c r="BR210" i="1"/>
  <c r="BP260" i="1"/>
  <c r="BO260" i="1"/>
  <c r="BN260" i="1"/>
  <c r="BM260" i="1"/>
  <c r="BL260" i="1"/>
  <c r="BP258" i="1"/>
  <c r="BO258" i="1"/>
  <c r="BN258" i="1"/>
  <c r="BM258" i="1"/>
  <c r="BL258" i="1"/>
  <c r="BP256" i="1"/>
  <c r="BO256" i="1"/>
  <c r="BN256" i="1"/>
  <c r="BM256" i="1"/>
  <c r="BL256" i="1"/>
  <c r="BP254" i="1"/>
  <c r="BO254" i="1"/>
  <c r="BN254" i="1"/>
  <c r="BM254" i="1"/>
  <c r="BL254" i="1"/>
  <c r="BP252" i="1"/>
  <c r="BO252" i="1"/>
  <c r="BN252" i="1"/>
  <c r="BM252" i="1"/>
  <c r="BL252" i="1"/>
  <c r="BP250" i="1"/>
  <c r="BO250" i="1"/>
  <c r="BN250" i="1"/>
  <c r="BM250" i="1"/>
  <c r="BL250" i="1"/>
  <c r="BP248" i="1"/>
  <c r="BO248" i="1"/>
  <c r="BN248" i="1"/>
  <c r="BM248" i="1"/>
  <c r="BL248" i="1"/>
  <c r="BP246" i="1"/>
  <c r="BO246" i="1"/>
  <c r="BN246" i="1"/>
  <c r="BM246" i="1"/>
  <c r="BL246" i="1"/>
  <c r="BP242" i="1"/>
  <c r="BO242" i="1"/>
  <c r="BN242" i="1"/>
  <c r="BM242" i="1"/>
  <c r="BL242" i="1"/>
  <c r="BP240" i="1"/>
  <c r="BO240" i="1"/>
  <c r="BN240" i="1"/>
  <c r="BM240" i="1"/>
  <c r="BL240" i="1"/>
  <c r="BP238" i="1"/>
  <c r="BO238" i="1"/>
  <c r="BN238" i="1"/>
  <c r="BM238" i="1"/>
  <c r="BL238" i="1"/>
  <c r="BP236" i="1"/>
  <c r="BO236" i="1"/>
  <c r="BN236" i="1"/>
  <c r="BM236" i="1"/>
  <c r="BL236" i="1"/>
  <c r="BP234" i="1"/>
  <c r="BO234" i="1"/>
  <c r="BN234" i="1"/>
  <c r="BM234" i="1"/>
  <c r="BL234" i="1"/>
  <c r="BP232" i="1"/>
  <c r="BO232" i="1"/>
  <c r="BN232" i="1"/>
  <c r="BM232" i="1"/>
  <c r="BL232" i="1"/>
  <c r="BP230" i="1"/>
  <c r="BO230" i="1"/>
  <c r="BN230" i="1"/>
  <c r="BM230" i="1"/>
  <c r="BL230" i="1"/>
  <c r="BP228" i="1"/>
  <c r="BO228" i="1"/>
  <c r="BN228" i="1"/>
  <c r="BM228" i="1"/>
  <c r="BL228" i="1"/>
  <c r="BP226" i="1"/>
  <c r="BO226" i="1"/>
  <c r="BN226" i="1"/>
  <c r="BM226" i="1"/>
  <c r="BL226" i="1"/>
  <c r="BP224" i="1"/>
  <c r="BO224" i="1"/>
  <c r="BN224" i="1"/>
  <c r="BM224" i="1"/>
  <c r="BL224" i="1"/>
  <c r="BP222" i="1"/>
  <c r="BO222" i="1"/>
  <c r="BN222" i="1"/>
  <c r="BM222" i="1"/>
  <c r="BL222" i="1"/>
  <c r="BP220" i="1"/>
  <c r="BO220" i="1"/>
  <c r="BN220" i="1"/>
  <c r="BM220" i="1"/>
  <c r="BL220" i="1"/>
  <c r="BP218" i="1"/>
  <c r="BO218" i="1"/>
  <c r="BN218" i="1"/>
  <c r="BM218" i="1"/>
  <c r="BL218" i="1"/>
  <c r="BP216" i="1"/>
  <c r="BO216" i="1"/>
  <c r="BN216" i="1"/>
  <c r="BM216" i="1"/>
  <c r="BL216" i="1"/>
  <c r="BP214" i="1"/>
  <c r="BO214" i="1"/>
  <c r="BN214" i="1"/>
  <c r="BM214" i="1"/>
  <c r="BL214" i="1"/>
  <c r="BP212" i="1"/>
  <c r="BO212" i="1"/>
  <c r="BN212" i="1"/>
  <c r="BM212" i="1"/>
  <c r="BL212" i="1"/>
  <c r="BP210" i="1"/>
  <c r="BO210" i="1"/>
  <c r="BN210" i="1"/>
  <c r="BM210" i="1"/>
  <c r="BL210" i="1"/>
  <c r="AW356" i="1"/>
  <c r="AX356" i="1" s="1"/>
  <c r="AV356" i="1"/>
  <c r="AU356" i="1"/>
  <c r="AT356" i="1"/>
  <c r="AQ356" i="1"/>
  <c r="AP356" i="1"/>
  <c r="AO356" i="1"/>
  <c r="AN356" i="1"/>
  <c r="AK356" i="1"/>
  <c r="AL356" i="1" s="1"/>
  <c r="AJ356" i="1"/>
  <c r="AI356" i="1"/>
  <c r="AH356" i="1"/>
  <c r="AE356" i="1"/>
  <c r="AF356" i="1" s="1"/>
  <c r="AD356" i="1"/>
  <c r="AC356" i="1"/>
  <c r="AB356" i="1"/>
  <c r="Y356" i="1"/>
  <c r="X356" i="1"/>
  <c r="W356" i="1"/>
  <c r="V356" i="1"/>
  <c r="S356" i="1"/>
  <c r="T356" i="1" s="1"/>
  <c r="R356" i="1"/>
  <c r="Q356" i="1"/>
  <c r="P356" i="1"/>
  <c r="M356" i="1"/>
  <c r="N356" i="1" s="1"/>
  <c r="L356" i="1"/>
  <c r="K356" i="1"/>
  <c r="J356" i="1"/>
  <c r="K362" i="1"/>
  <c r="J362" i="1"/>
  <c r="R362" i="1"/>
  <c r="Q362" i="1"/>
  <c r="Y362" i="1"/>
  <c r="X362" i="1"/>
  <c r="W362" i="1"/>
  <c r="V362" i="1"/>
  <c r="J260" i="1"/>
  <c r="K260" i="1"/>
  <c r="L260" i="1"/>
  <c r="M260" i="1"/>
  <c r="N260" i="1"/>
  <c r="P260" i="1"/>
  <c r="Q260" i="1"/>
  <c r="R260" i="1"/>
  <c r="S260" i="1"/>
  <c r="T260" i="1"/>
  <c r="V260" i="1"/>
  <c r="W260" i="1"/>
  <c r="X260" i="1"/>
  <c r="Y260" i="1"/>
  <c r="Z260" i="1"/>
  <c r="AB260" i="1"/>
  <c r="AC260" i="1"/>
  <c r="AD260" i="1"/>
  <c r="AE260" i="1"/>
  <c r="AF260" i="1"/>
  <c r="AH260" i="1"/>
  <c r="AI260" i="1"/>
  <c r="AJ260" i="1"/>
  <c r="AK260" i="1"/>
  <c r="AL260" i="1"/>
  <c r="AN260" i="1"/>
  <c r="AO260" i="1"/>
  <c r="AP260" i="1"/>
  <c r="AQ260" i="1"/>
  <c r="AR260" i="1"/>
  <c r="AT260" i="1"/>
  <c r="AU260" i="1"/>
  <c r="AV260" i="1"/>
  <c r="AW260" i="1"/>
  <c r="AX260" i="1"/>
  <c r="AZ260" i="1"/>
  <c r="BA260" i="1"/>
  <c r="BB260" i="1"/>
  <c r="BC260" i="1"/>
  <c r="BD260" i="1"/>
  <c r="BF260" i="1"/>
  <c r="BG260" i="1"/>
  <c r="BH260" i="1"/>
  <c r="BI260" i="1"/>
  <c r="BJ260" i="1"/>
  <c r="J258" i="1"/>
  <c r="K258" i="1"/>
  <c r="L258" i="1"/>
  <c r="M258" i="1"/>
  <c r="N258" i="1"/>
  <c r="P258" i="1"/>
  <c r="Q258" i="1"/>
  <c r="R258" i="1"/>
  <c r="S258" i="1"/>
  <c r="T258" i="1"/>
  <c r="V258" i="1"/>
  <c r="W258" i="1"/>
  <c r="X258" i="1"/>
  <c r="Y258" i="1"/>
  <c r="Z258" i="1"/>
  <c r="AB258" i="1"/>
  <c r="AC258" i="1"/>
  <c r="AD258" i="1"/>
  <c r="AE258" i="1"/>
  <c r="AF258" i="1"/>
  <c r="AH258" i="1"/>
  <c r="AI258" i="1"/>
  <c r="AJ258" i="1"/>
  <c r="AK258" i="1"/>
  <c r="AL258" i="1"/>
  <c r="AN258" i="1"/>
  <c r="AO258" i="1"/>
  <c r="AP258" i="1"/>
  <c r="AQ258" i="1"/>
  <c r="AR258" i="1"/>
  <c r="AT258" i="1"/>
  <c r="AU258" i="1"/>
  <c r="AV258" i="1"/>
  <c r="AW258" i="1"/>
  <c r="AX258" i="1"/>
  <c r="AZ258" i="1"/>
  <c r="BA258" i="1"/>
  <c r="BB258" i="1"/>
  <c r="BC258" i="1"/>
  <c r="BD258" i="1"/>
  <c r="BF258" i="1"/>
  <c r="BG258" i="1"/>
  <c r="BH258" i="1"/>
  <c r="BI258" i="1"/>
  <c r="BJ258" i="1"/>
  <c r="J256" i="1"/>
  <c r="K256" i="1"/>
  <c r="L256" i="1"/>
  <c r="M256" i="1"/>
  <c r="N256" i="1"/>
  <c r="P256" i="1"/>
  <c r="Q256" i="1"/>
  <c r="R256" i="1"/>
  <c r="S256" i="1"/>
  <c r="T256" i="1"/>
  <c r="V256" i="1"/>
  <c r="W256" i="1"/>
  <c r="X256" i="1"/>
  <c r="Y256" i="1"/>
  <c r="Z256" i="1"/>
  <c r="AB256" i="1"/>
  <c r="AC256" i="1"/>
  <c r="AD256" i="1"/>
  <c r="AE256" i="1"/>
  <c r="AF256" i="1"/>
  <c r="AH256" i="1"/>
  <c r="AI256" i="1"/>
  <c r="AJ256" i="1"/>
  <c r="AK256" i="1"/>
  <c r="AL256" i="1"/>
  <c r="AN256" i="1"/>
  <c r="AO256" i="1"/>
  <c r="AP256" i="1"/>
  <c r="AQ256" i="1"/>
  <c r="AR256" i="1"/>
  <c r="AT256" i="1"/>
  <c r="AU256" i="1"/>
  <c r="AV256" i="1"/>
  <c r="AW256" i="1"/>
  <c r="AX256" i="1"/>
  <c r="AZ256" i="1"/>
  <c r="BA256" i="1"/>
  <c r="BB256" i="1"/>
  <c r="BC256" i="1"/>
  <c r="BD256" i="1"/>
  <c r="BF256" i="1"/>
  <c r="BG256" i="1"/>
  <c r="BH256" i="1"/>
  <c r="BI256" i="1"/>
  <c r="BJ256" i="1"/>
  <c r="J254" i="1"/>
  <c r="K254" i="1"/>
  <c r="L254" i="1"/>
  <c r="M254" i="1"/>
  <c r="N254" i="1"/>
  <c r="P254" i="1"/>
  <c r="Q254" i="1"/>
  <c r="R254" i="1"/>
  <c r="S254" i="1"/>
  <c r="T254" i="1"/>
  <c r="V254" i="1"/>
  <c r="W254" i="1"/>
  <c r="X254" i="1"/>
  <c r="Y254" i="1"/>
  <c r="Z254" i="1"/>
  <c r="AB254" i="1"/>
  <c r="AC254" i="1"/>
  <c r="AD254" i="1"/>
  <c r="AE254" i="1"/>
  <c r="AF254" i="1"/>
  <c r="AH254" i="1"/>
  <c r="AI254" i="1"/>
  <c r="AJ254" i="1"/>
  <c r="AK254" i="1"/>
  <c r="AL254" i="1"/>
  <c r="AN254" i="1"/>
  <c r="AO254" i="1"/>
  <c r="AP254" i="1"/>
  <c r="AQ254" i="1"/>
  <c r="AR254" i="1"/>
  <c r="AT254" i="1"/>
  <c r="AU254" i="1"/>
  <c r="AV254" i="1"/>
  <c r="AW254" i="1"/>
  <c r="AX254" i="1"/>
  <c r="AZ254" i="1"/>
  <c r="BA254" i="1"/>
  <c r="BB254" i="1"/>
  <c r="BC254" i="1"/>
  <c r="BD254" i="1"/>
  <c r="BF254" i="1"/>
  <c r="BG254" i="1"/>
  <c r="BH254" i="1"/>
  <c r="BI254" i="1"/>
  <c r="BJ254" i="1"/>
  <c r="J248" i="1"/>
  <c r="K248" i="1"/>
  <c r="L248" i="1"/>
  <c r="M248" i="1"/>
  <c r="N248" i="1"/>
  <c r="P248" i="1"/>
  <c r="Q248" i="1"/>
  <c r="R248" i="1"/>
  <c r="S248" i="1"/>
  <c r="T248" i="1"/>
  <c r="V248" i="1"/>
  <c r="W248" i="1"/>
  <c r="X248" i="1"/>
  <c r="Y248" i="1"/>
  <c r="Z248" i="1"/>
  <c r="AB248" i="1"/>
  <c r="AC248" i="1"/>
  <c r="AD248" i="1"/>
  <c r="AE248" i="1"/>
  <c r="AF248" i="1"/>
  <c r="AH248" i="1"/>
  <c r="AI248" i="1"/>
  <c r="AJ248" i="1"/>
  <c r="AK248" i="1"/>
  <c r="AL248" i="1"/>
  <c r="AN248" i="1"/>
  <c r="AO248" i="1"/>
  <c r="AP248" i="1"/>
  <c r="AQ248" i="1"/>
  <c r="AR248" i="1"/>
  <c r="AT248" i="1"/>
  <c r="AU248" i="1"/>
  <c r="AV248" i="1"/>
  <c r="AW248" i="1"/>
  <c r="AX248" i="1"/>
  <c r="AZ248" i="1"/>
  <c r="BA248" i="1"/>
  <c r="BB248" i="1"/>
  <c r="BC248" i="1"/>
  <c r="BD248" i="1"/>
  <c r="BF248" i="1"/>
  <c r="BG248" i="1"/>
  <c r="BH248" i="1"/>
  <c r="BI248" i="1"/>
  <c r="BJ248" i="1"/>
  <c r="J246" i="1"/>
  <c r="K246" i="1"/>
  <c r="L246" i="1"/>
  <c r="M246" i="1"/>
  <c r="N246" i="1"/>
  <c r="P246" i="1"/>
  <c r="Q246" i="1"/>
  <c r="R246" i="1"/>
  <c r="S246" i="1"/>
  <c r="T246" i="1"/>
  <c r="V246" i="1"/>
  <c r="W246" i="1"/>
  <c r="X246" i="1"/>
  <c r="Y246" i="1"/>
  <c r="Z246" i="1"/>
  <c r="AB246" i="1"/>
  <c r="AC246" i="1"/>
  <c r="AD246" i="1"/>
  <c r="AE246" i="1"/>
  <c r="AF246" i="1"/>
  <c r="AH246" i="1"/>
  <c r="AI246" i="1"/>
  <c r="AJ246" i="1"/>
  <c r="AK246" i="1"/>
  <c r="AL246" i="1"/>
  <c r="AN246" i="1"/>
  <c r="AO246" i="1"/>
  <c r="AP246" i="1"/>
  <c r="AQ246" i="1"/>
  <c r="AR246" i="1"/>
  <c r="AT246" i="1"/>
  <c r="AU246" i="1"/>
  <c r="AV246" i="1"/>
  <c r="AW246" i="1"/>
  <c r="AX246" i="1"/>
  <c r="AZ246" i="1"/>
  <c r="BA246" i="1"/>
  <c r="BB246" i="1"/>
  <c r="BC246" i="1"/>
  <c r="BD246" i="1"/>
  <c r="BF246" i="1"/>
  <c r="BG246" i="1"/>
  <c r="BH246" i="1"/>
  <c r="BI246" i="1"/>
  <c r="BJ246" i="1"/>
  <c r="J242" i="1"/>
  <c r="K242" i="1"/>
  <c r="L242" i="1"/>
  <c r="M242" i="1"/>
  <c r="N242" i="1"/>
  <c r="P242" i="1"/>
  <c r="Q242" i="1"/>
  <c r="R242" i="1"/>
  <c r="S242" i="1"/>
  <c r="T242" i="1"/>
  <c r="V242" i="1"/>
  <c r="W242" i="1"/>
  <c r="X242" i="1"/>
  <c r="Y242" i="1"/>
  <c r="Z242" i="1"/>
  <c r="AB242" i="1"/>
  <c r="AC242" i="1"/>
  <c r="AD242" i="1"/>
  <c r="AE242" i="1"/>
  <c r="AF242" i="1"/>
  <c r="AH242" i="1"/>
  <c r="AI242" i="1"/>
  <c r="AJ242" i="1"/>
  <c r="AK242" i="1"/>
  <c r="AL242" i="1"/>
  <c r="AN242" i="1"/>
  <c r="AO242" i="1"/>
  <c r="AP242" i="1"/>
  <c r="AQ242" i="1"/>
  <c r="AR242" i="1"/>
  <c r="AT242" i="1"/>
  <c r="AU242" i="1"/>
  <c r="AV242" i="1"/>
  <c r="AW242" i="1"/>
  <c r="AX242" i="1"/>
  <c r="AZ242" i="1"/>
  <c r="BA242" i="1"/>
  <c r="BB242" i="1"/>
  <c r="BC242" i="1"/>
  <c r="BD242" i="1"/>
  <c r="BF242" i="1"/>
  <c r="BG242" i="1"/>
  <c r="BH242" i="1"/>
  <c r="BI242" i="1"/>
  <c r="BJ242" i="1"/>
  <c r="J240" i="1"/>
  <c r="K240" i="1"/>
  <c r="L240" i="1"/>
  <c r="M240" i="1"/>
  <c r="N240" i="1"/>
  <c r="P240" i="1"/>
  <c r="Q240" i="1"/>
  <c r="R240" i="1"/>
  <c r="S240" i="1"/>
  <c r="T240" i="1"/>
  <c r="V240" i="1"/>
  <c r="W240" i="1"/>
  <c r="X240" i="1"/>
  <c r="Y240" i="1"/>
  <c r="Z240" i="1"/>
  <c r="AB240" i="1"/>
  <c r="AC240" i="1"/>
  <c r="AD240" i="1"/>
  <c r="AE240" i="1"/>
  <c r="AF240" i="1"/>
  <c r="AH240" i="1"/>
  <c r="AI240" i="1"/>
  <c r="AJ240" i="1"/>
  <c r="AK240" i="1"/>
  <c r="AL240" i="1"/>
  <c r="AN240" i="1"/>
  <c r="AO240" i="1"/>
  <c r="AP240" i="1"/>
  <c r="AQ240" i="1"/>
  <c r="AR240" i="1"/>
  <c r="AT240" i="1"/>
  <c r="AU240" i="1"/>
  <c r="AV240" i="1"/>
  <c r="AW240" i="1"/>
  <c r="AX240" i="1"/>
  <c r="AZ240" i="1"/>
  <c r="BA240" i="1"/>
  <c r="BB240" i="1"/>
  <c r="BC240" i="1"/>
  <c r="BD240" i="1"/>
  <c r="BF240" i="1"/>
  <c r="BG240" i="1"/>
  <c r="BH240" i="1"/>
  <c r="BI240" i="1"/>
  <c r="BJ240" i="1"/>
  <c r="J238" i="1"/>
  <c r="K238" i="1"/>
  <c r="L238" i="1"/>
  <c r="M238" i="1"/>
  <c r="N238" i="1"/>
  <c r="P238" i="1"/>
  <c r="Q238" i="1"/>
  <c r="R238" i="1"/>
  <c r="S238" i="1"/>
  <c r="T238" i="1"/>
  <c r="V238" i="1"/>
  <c r="W238" i="1"/>
  <c r="X238" i="1"/>
  <c r="Y238" i="1"/>
  <c r="Z238" i="1"/>
  <c r="AB238" i="1"/>
  <c r="AC238" i="1"/>
  <c r="AD238" i="1"/>
  <c r="AE238" i="1"/>
  <c r="AF238" i="1"/>
  <c r="AH238" i="1"/>
  <c r="AI238" i="1"/>
  <c r="AJ238" i="1"/>
  <c r="AK238" i="1"/>
  <c r="AL238" i="1"/>
  <c r="AN238" i="1"/>
  <c r="AO238" i="1"/>
  <c r="AP238" i="1"/>
  <c r="AQ238" i="1"/>
  <c r="AR238" i="1"/>
  <c r="AT238" i="1"/>
  <c r="AU238" i="1"/>
  <c r="AV238" i="1"/>
  <c r="AW238" i="1"/>
  <c r="AX238" i="1"/>
  <c r="AZ238" i="1"/>
  <c r="BA238" i="1"/>
  <c r="BB238" i="1"/>
  <c r="BC238" i="1"/>
  <c r="BD238" i="1"/>
  <c r="BF238" i="1"/>
  <c r="BG238" i="1"/>
  <c r="BH238" i="1"/>
  <c r="BI238" i="1"/>
  <c r="BJ238" i="1"/>
  <c r="J236" i="1"/>
  <c r="K236" i="1"/>
  <c r="L236" i="1"/>
  <c r="M236" i="1"/>
  <c r="N236" i="1"/>
  <c r="P236" i="1"/>
  <c r="Q236" i="1"/>
  <c r="R236" i="1"/>
  <c r="S236" i="1"/>
  <c r="T236" i="1"/>
  <c r="V236" i="1"/>
  <c r="W236" i="1"/>
  <c r="X236" i="1"/>
  <c r="Y236" i="1"/>
  <c r="Z236" i="1"/>
  <c r="AB236" i="1"/>
  <c r="AC236" i="1"/>
  <c r="AD236" i="1"/>
  <c r="AE236" i="1"/>
  <c r="AF236" i="1"/>
  <c r="AH236" i="1"/>
  <c r="AI236" i="1"/>
  <c r="AJ236" i="1"/>
  <c r="AK236" i="1"/>
  <c r="AL236" i="1"/>
  <c r="AN236" i="1"/>
  <c r="AO236" i="1"/>
  <c r="AP236" i="1"/>
  <c r="AQ236" i="1"/>
  <c r="AR236" i="1"/>
  <c r="AT236" i="1"/>
  <c r="AU236" i="1"/>
  <c r="AV236" i="1"/>
  <c r="AW236" i="1"/>
  <c r="AX236" i="1"/>
  <c r="AZ236" i="1"/>
  <c r="BA236" i="1"/>
  <c r="BB236" i="1"/>
  <c r="BC236" i="1"/>
  <c r="BD236" i="1"/>
  <c r="BF236" i="1"/>
  <c r="BG236" i="1"/>
  <c r="BH236" i="1"/>
  <c r="BI236" i="1"/>
  <c r="BJ236" i="1"/>
  <c r="J234" i="1"/>
  <c r="K234" i="1"/>
  <c r="L234" i="1"/>
  <c r="M234" i="1"/>
  <c r="N234" i="1"/>
  <c r="P234" i="1"/>
  <c r="Q234" i="1"/>
  <c r="R234" i="1"/>
  <c r="S234" i="1"/>
  <c r="T234" i="1"/>
  <c r="V234" i="1"/>
  <c r="W234" i="1"/>
  <c r="X234" i="1"/>
  <c r="Y234" i="1"/>
  <c r="Z234" i="1"/>
  <c r="AB234" i="1"/>
  <c r="AC234" i="1"/>
  <c r="AD234" i="1"/>
  <c r="AE234" i="1"/>
  <c r="AF234" i="1"/>
  <c r="AH234" i="1"/>
  <c r="AI234" i="1"/>
  <c r="AJ234" i="1"/>
  <c r="AK234" i="1"/>
  <c r="AL234" i="1"/>
  <c r="AN234" i="1"/>
  <c r="AO234" i="1"/>
  <c r="AP234" i="1"/>
  <c r="AQ234" i="1"/>
  <c r="AR234" i="1"/>
  <c r="AT234" i="1"/>
  <c r="AU234" i="1"/>
  <c r="AV234" i="1"/>
  <c r="AW234" i="1"/>
  <c r="AX234" i="1"/>
  <c r="AZ234" i="1"/>
  <c r="BA234" i="1"/>
  <c r="BB234" i="1"/>
  <c r="BC234" i="1"/>
  <c r="BD234" i="1"/>
  <c r="BF234" i="1"/>
  <c r="BG234" i="1"/>
  <c r="BH234" i="1"/>
  <c r="BI234" i="1"/>
  <c r="BJ234" i="1"/>
  <c r="J232" i="1"/>
  <c r="K232" i="1"/>
  <c r="L232" i="1"/>
  <c r="M232" i="1"/>
  <c r="N232" i="1"/>
  <c r="P232" i="1"/>
  <c r="Q232" i="1"/>
  <c r="R232" i="1"/>
  <c r="S232" i="1"/>
  <c r="T232" i="1"/>
  <c r="V232" i="1"/>
  <c r="W232" i="1"/>
  <c r="X232" i="1"/>
  <c r="Y232" i="1"/>
  <c r="Z232" i="1"/>
  <c r="AB232" i="1"/>
  <c r="AC232" i="1"/>
  <c r="AD232" i="1"/>
  <c r="AE232" i="1"/>
  <c r="AF232" i="1"/>
  <c r="AH232" i="1"/>
  <c r="AI232" i="1"/>
  <c r="AJ232" i="1"/>
  <c r="AK232" i="1"/>
  <c r="AL232" i="1"/>
  <c r="AN232" i="1"/>
  <c r="AO232" i="1"/>
  <c r="AP232" i="1"/>
  <c r="AQ232" i="1"/>
  <c r="AR232" i="1"/>
  <c r="AT232" i="1"/>
  <c r="AU232" i="1"/>
  <c r="AV232" i="1"/>
  <c r="AW232" i="1"/>
  <c r="AX232" i="1"/>
  <c r="AZ232" i="1"/>
  <c r="BA232" i="1"/>
  <c r="BB232" i="1"/>
  <c r="BC232" i="1"/>
  <c r="BD232" i="1"/>
  <c r="BF232" i="1"/>
  <c r="BG232" i="1"/>
  <c r="BH232" i="1"/>
  <c r="BI232" i="1"/>
  <c r="BJ232" i="1"/>
  <c r="J230" i="1"/>
  <c r="K230" i="1"/>
  <c r="L230" i="1"/>
  <c r="M230" i="1"/>
  <c r="N230" i="1"/>
  <c r="P230" i="1"/>
  <c r="Q230" i="1"/>
  <c r="R230" i="1"/>
  <c r="S230" i="1"/>
  <c r="T230" i="1"/>
  <c r="V230" i="1"/>
  <c r="W230" i="1"/>
  <c r="X230" i="1"/>
  <c r="Y230" i="1"/>
  <c r="Z230" i="1"/>
  <c r="AB230" i="1"/>
  <c r="AC230" i="1"/>
  <c r="AD230" i="1"/>
  <c r="AE230" i="1"/>
  <c r="AF230" i="1"/>
  <c r="AH230" i="1"/>
  <c r="AI230" i="1"/>
  <c r="AJ230" i="1"/>
  <c r="AK230" i="1"/>
  <c r="AL230" i="1"/>
  <c r="AN230" i="1"/>
  <c r="AO230" i="1"/>
  <c r="AP230" i="1"/>
  <c r="AQ230" i="1"/>
  <c r="AR230" i="1"/>
  <c r="AT230" i="1"/>
  <c r="AU230" i="1"/>
  <c r="AV230" i="1"/>
  <c r="AW230" i="1"/>
  <c r="AX230" i="1"/>
  <c r="AZ230" i="1"/>
  <c r="BA230" i="1"/>
  <c r="BB230" i="1"/>
  <c r="BC230" i="1"/>
  <c r="BD230" i="1"/>
  <c r="BF230" i="1"/>
  <c r="BG230" i="1"/>
  <c r="BH230" i="1"/>
  <c r="BI230" i="1"/>
  <c r="BJ230" i="1"/>
  <c r="J228" i="1"/>
  <c r="K228" i="1"/>
  <c r="L228" i="1"/>
  <c r="M228" i="1"/>
  <c r="N228" i="1"/>
  <c r="P228" i="1"/>
  <c r="Q228" i="1"/>
  <c r="R228" i="1"/>
  <c r="S228" i="1"/>
  <c r="T228" i="1"/>
  <c r="V228" i="1"/>
  <c r="W228" i="1"/>
  <c r="X228" i="1"/>
  <c r="Y228" i="1"/>
  <c r="Z228" i="1"/>
  <c r="AB228" i="1"/>
  <c r="AC228" i="1"/>
  <c r="AD228" i="1"/>
  <c r="AE228" i="1"/>
  <c r="AF228" i="1"/>
  <c r="AH228" i="1"/>
  <c r="AI228" i="1"/>
  <c r="AJ228" i="1"/>
  <c r="AK228" i="1"/>
  <c r="AL228" i="1"/>
  <c r="AN228" i="1"/>
  <c r="AO228" i="1"/>
  <c r="AP228" i="1"/>
  <c r="AQ228" i="1"/>
  <c r="AR228" i="1"/>
  <c r="AT228" i="1"/>
  <c r="AU228" i="1"/>
  <c r="AV228" i="1"/>
  <c r="AW228" i="1"/>
  <c r="AX228" i="1"/>
  <c r="AZ228" i="1"/>
  <c r="BA228" i="1"/>
  <c r="BB228" i="1"/>
  <c r="BC228" i="1"/>
  <c r="BD228" i="1"/>
  <c r="BF228" i="1"/>
  <c r="BG228" i="1"/>
  <c r="BH228" i="1"/>
  <c r="BI228" i="1"/>
  <c r="BJ228" i="1"/>
  <c r="J226" i="1"/>
  <c r="K226" i="1"/>
  <c r="L226" i="1"/>
  <c r="M226" i="1"/>
  <c r="N226" i="1"/>
  <c r="P226" i="1"/>
  <c r="Q226" i="1"/>
  <c r="R226" i="1"/>
  <c r="S226" i="1"/>
  <c r="T226" i="1"/>
  <c r="V226" i="1"/>
  <c r="W226" i="1"/>
  <c r="X226" i="1"/>
  <c r="Y226" i="1"/>
  <c r="Z226" i="1"/>
  <c r="AB226" i="1"/>
  <c r="AC226" i="1"/>
  <c r="AD226" i="1"/>
  <c r="AE226" i="1"/>
  <c r="AF226" i="1"/>
  <c r="AH226" i="1"/>
  <c r="AI226" i="1"/>
  <c r="AJ226" i="1"/>
  <c r="AK226" i="1"/>
  <c r="AL226" i="1"/>
  <c r="AN226" i="1"/>
  <c r="AO226" i="1"/>
  <c r="AP226" i="1"/>
  <c r="AQ226" i="1"/>
  <c r="AR226" i="1"/>
  <c r="AT226" i="1"/>
  <c r="AU226" i="1"/>
  <c r="AV226" i="1"/>
  <c r="AW226" i="1"/>
  <c r="AX226" i="1"/>
  <c r="AZ226" i="1"/>
  <c r="BA226" i="1"/>
  <c r="BB226" i="1"/>
  <c r="BC226" i="1"/>
  <c r="BD226" i="1"/>
  <c r="BF226" i="1"/>
  <c r="BG226" i="1"/>
  <c r="BH226" i="1"/>
  <c r="BI226" i="1"/>
  <c r="BJ226" i="1"/>
  <c r="J224" i="1"/>
  <c r="K224" i="1"/>
  <c r="L224" i="1"/>
  <c r="M224" i="1"/>
  <c r="N224" i="1"/>
  <c r="P224" i="1"/>
  <c r="Q224" i="1"/>
  <c r="R224" i="1"/>
  <c r="S224" i="1"/>
  <c r="T224" i="1"/>
  <c r="V224" i="1"/>
  <c r="W224" i="1"/>
  <c r="X224" i="1"/>
  <c r="Y224" i="1"/>
  <c r="Z224" i="1"/>
  <c r="AB224" i="1"/>
  <c r="AC224" i="1"/>
  <c r="AD224" i="1"/>
  <c r="AE224" i="1"/>
  <c r="AF224" i="1"/>
  <c r="AH224" i="1"/>
  <c r="AI224" i="1"/>
  <c r="AJ224" i="1"/>
  <c r="AK224" i="1"/>
  <c r="AL224" i="1"/>
  <c r="AN224" i="1"/>
  <c r="AO224" i="1"/>
  <c r="AP224" i="1"/>
  <c r="AQ224" i="1"/>
  <c r="AR224" i="1"/>
  <c r="AT224" i="1"/>
  <c r="AU224" i="1"/>
  <c r="AV224" i="1"/>
  <c r="AW224" i="1"/>
  <c r="AX224" i="1"/>
  <c r="AZ224" i="1"/>
  <c r="BA224" i="1"/>
  <c r="BB224" i="1"/>
  <c r="BC224" i="1"/>
  <c r="BD224" i="1"/>
  <c r="BF224" i="1"/>
  <c r="BG224" i="1"/>
  <c r="BH224" i="1"/>
  <c r="BI224" i="1"/>
  <c r="BJ224" i="1"/>
  <c r="J252" i="1"/>
  <c r="K252" i="1"/>
  <c r="L252" i="1"/>
  <c r="M252" i="1"/>
  <c r="N252" i="1"/>
  <c r="P252" i="1"/>
  <c r="Q252" i="1"/>
  <c r="R252" i="1"/>
  <c r="S252" i="1"/>
  <c r="T252" i="1"/>
  <c r="V252" i="1"/>
  <c r="W252" i="1"/>
  <c r="X252" i="1"/>
  <c r="Y252" i="1"/>
  <c r="Z252" i="1"/>
  <c r="AB252" i="1"/>
  <c r="AC252" i="1"/>
  <c r="AD252" i="1"/>
  <c r="AE252" i="1"/>
  <c r="AF252" i="1"/>
  <c r="AH252" i="1"/>
  <c r="AI252" i="1"/>
  <c r="AJ252" i="1"/>
  <c r="AK252" i="1"/>
  <c r="AL252" i="1"/>
  <c r="AN252" i="1"/>
  <c r="AO252" i="1"/>
  <c r="AP252" i="1"/>
  <c r="AQ252" i="1"/>
  <c r="AR252" i="1"/>
  <c r="AT252" i="1"/>
  <c r="AU252" i="1"/>
  <c r="AV252" i="1"/>
  <c r="AW252" i="1"/>
  <c r="AX252" i="1"/>
  <c r="AZ252" i="1"/>
  <c r="BA252" i="1"/>
  <c r="BB252" i="1"/>
  <c r="BC252" i="1"/>
  <c r="BD252" i="1"/>
  <c r="BF252" i="1"/>
  <c r="BG252" i="1"/>
  <c r="BH252" i="1"/>
  <c r="BI252" i="1"/>
  <c r="BJ252" i="1"/>
  <c r="J250" i="1"/>
  <c r="K250" i="1"/>
  <c r="L250" i="1"/>
  <c r="M250" i="1"/>
  <c r="N250" i="1"/>
  <c r="P250" i="1"/>
  <c r="Q250" i="1"/>
  <c r="R250" i="1"/>
  <c r="S250" i="1"/>
  <c r="T250" i="1"/>
  <c r="V250" i="1"/>
  <c r="W250" i="1"/>
  <c r="X250" i="1"/>
  <c r="Y250" i="1"/>
  <c r="Z250" i="1"/>
  <c r="AB250" i="1"/>
  <c r="AC250" i="1"/>
  <c r="AD250" i="1"/>
  <c r="AE250" i="1"/>
  <c r="AF250" i="1"/>
  <c r="AH250" i="1"/>
  <c r="AI250" i="1"/>
  <c r="AJ250" i="1"/>
  <c r="AK250" i="1"/>
  <c r="AL250" i="1"/>
  <c r="AN250" i="1"/>
  <c r="AO250" i="1"/>
  <c r="AP250" i="1"/>
  <c r="AQ250" i="1"/>
  <c r="AR250" i="1"/>
  <c r="AT250" i="1"/>
  <c r="AU250" i="1"/>
  <c r="AV250" i="1"/>
  <c r="AW250" i="1"/>
  <c r="AX250" i="1"/>
  <c r="AZ250" i="1"/>
  <c r="BA250" i="1"/>
  <c r="BB250" i="1"/>
  <c r="BC250" i="1"/>
  <c r="BD250" i="1"/>
  <c r="BF250" i="1"/>
  <c r="BG250" i="1"/>
  <c r="BH250" i="1"/>
  <c r="BI250" i="1"/>
  <c r="BJ250" i="1"/>
  <c r="J222" i="1"/>
  <c r="K222" i="1"/>
  <c r="L222" i="1"/>
  <c r="M222" i="1"/>
  <c r="N222" i="1"/>
  <c r="P222" i="1"/>
  <c r="Q222" i="1"/>
  <c r="R222" i="1"/>
  <c r="S222" i="1"/>
  <c r="T222" i="1"/>
  <c r="V222" i="1"/>
  <c r="W222" i="1"/>
  <c r="X222" i="1"/>
  <c r="Y222" i="1"/>
  <c r="Z222" i="1"/>
  <c r="AB222" i="1"/>
  <c r="AC222" i="1"/>
  <c r="AD222" i="1"/>
  <c r="AE222" i="1"/>
  <c r="AF222" i="1"/>
  <c r="AH222" i="1"/>
  <c r="AI222" i="1"/>
  <c r="AJ222" i="1"/>
  <c r="AK222" i="1"/>
  <c r="AL222" i="1"/>
  <c r="AN222" i="1"/>
  <c r="AO222" i="1"/>
  <c r="AP222" i="1"/>
  <c r="AQ222" i="1"/>
  <c r="AR222" i="1"/>
  <c r="AT222" i="1"/>
  <c r="AU222" i="1"/>
  <c r="AV222" i="1"/>
  <c r="AW222" i="1"/>
  <c r="AX222" i="1"/>
  <c r="AZ222" i="1"/>
  <c r="BA222" i="1"/>
  <c r="BB222" i="1"/>
  <c r="BC222" i="1"/>
  <c r="BD222" i="1"/>
  <c r="BF222" i="1"/>
  <c r="BG222" i="1"/>
  <c r="BH222" i="1"/>
  <c r="BI222" i="1"/>
  <c r="BJ222" i="1"/>
  <c r="J220" i="1"/>
  <c r="K220" i="1"/>
  <c r="L220" i="1"/>
  <c r="M220" i="1"/>
  <c r="N220" i="1"/>
  <c r="P220" i="1"/>
  <c r="Q220" i="1"/>
  <c r="R220" i="1"/>
  <c r="S220" i="1"/>
  <c r="T220" i="1"/>
  <c r="V220" i="1"/>
  <c r="W220" i="1"/>
  <c r="X220" i="1"/>
  <c r="Y220" i="1"/>
  <c r="Z220" i="1"/>
  <c r="AB220" i="1"/>
  <c r="AC220" i="1"/>
  <c r="AD220" i="1"/>
  <c r="AE220" i="1"/>
  <c r="AF220" i="1"/>
  <c r="AH220" i="1"/>
  <c r="AI220" i="1"/>
  <c r="AJ220" i="1"/>
  <c r="AK220" i="1"/>
  <c r="AL220" i="1"/>
  <c r="AN220" i="1"/>
  <c r="AO220" i="1"/>
  <c r="AP220" i="1"/>
  <c r="AQ220" i="1"/>
  <c r="AR220" i="1"/>
  <c r="AT220" i="1"/>
  <c r="AU220" i="1"/>
  <c r="AV220" i="1"/>
  <c r="AW220" i="1"/>
  <c r="AX220" i="1"/>
  <c r="AZ220" i="1"/>
  <c r="BA220" i="1"/>
  <c r="BB220" i="1"/>
  <c r="BC220" i="1"/>
  <c r="BD220" i="1"/>
  <c r="BF220" i="1"/>
  <c r="BG220" i="1"/>
  <c r="BH220" i="1"/>
  <c r="BI220" i="1"/>
  <c r="BJ220" i="1"/>
  <c r="J218" i="1"/>
  <c r="K218" i="1"/>
  <c r="L218" i="1"/>
  <c r="M218" i="1"/>
  <c r="N218" i="1"/>
  <c r="P218" i="1"/>
  <c r="Q218" i="1"/>
  <c r="R218" i="1"/>
  <c r="S218" i="1"/>
  <c r="T218" i="1"/>
  <c r="V218" i="1"/>
  <c r="W218" i="1"/>
  <c r="X218" i="1"/>
  <c r="Y218" i="1"/>
  <c r="Z218" i="1"/>
  <c r="AB218" i="1"/>
  <c r="AC218" i="1"/>
  <c r="AD218" i="1"/>
  <c r="AE218" i="1"/>
  <c r="AF218" i="1"/>
  <c r="AH218" i="1"/>
  <c r="AI218" i="1"/>
  <c r="AJ218" i="1"/>
  <c r="AK218" i="1"/>
  <c r="AL218" i="1"/>
  <c r="AN218" i="1"/>
  <c r="AO218" i="1"/>
  <c r="AP218" i="1"/>
  <c r="AQ218" i="1"/>
  <c r="AR218" i="1"/>
  <c r="AT218" i="1"/>
  <c r="AU218" i="1"/>
  <c r="AV218" i="1"/>
  <c r="AW218" i="1"/>
  <c r="AX218" i="1"/>
  <c r="AZ218" i="1"/>
  <c r="BA218" i="1"/>
  <c r="BB218" i="1"/>
  <c r="BC218" i="1"/>
  <c r="BD218" i="1"/>
  <c r="BF218" i="1"/>
  <c r="BG218" i="1"/>
  <c r="BH218" i="1"/>
  <c r="BI218" i="1"/>
  <c r="BJ218" i="1"/>
  <c r="J216" i="1"/>
  <c r="K216" i="1"/>
  <c r="L216" i="1"/>
  <c r="M216" i="1"/>
  <c r="N216" i="1"/>
  <c r="P216" i="1"/>
  <c r="Q216" i="1"/>
  <c r="R216" i="1"/>
  <c r="S216" i="1"/>
  <c r="T216" i="1"/>
  <c r="V216" i="1"/>
  <c r="W216" i="1"/>
  <c r="X216" i="1"/>
  <c r="Y216" i="1"/>
  <c r="Z216" i="1"/>
  <c r="AB216" i="1"/>
  <c r="AC216" i="1"/>
  <c r="AD216" i="1"/>
  <c r="AE216" i="1"/>
  <c r="AF216" i="1"/>
  <c r="AH216" i="1"/>
  <c r="AI216" i="1"/>
  <c r="AJ216" i="1"/>
  <c r="AK216" i="1"/>
  <c r="AL216" i="1"/>
  <c r="AN216" i="1"/>
  <c r="AO216" i="1"/>
  <c r="AP216" i="1"/>
  <c r="AQ216" i="1"/>
  <c r="AR216" i="1"/>
  <c r="AT216" i="1"/>
  <c r="AU216" i="1"/>
  <c r="AV216" i="1"/>
  <c r="AW216" i="1"/>
  <c r="AX216" i="1"/>
  <c r="AZ216" i="1"/>
  <c r="BA216" i="1"/>
  <c r="BB216" i="1"/>
  <c r="BC216" i="1"/>
  <c r="BD216" i="1"/>
  <c r="BF216" i="1"/>
  <c r="BG216" i="1"/>
  <c r="BH216" i="1"/>
  <c r="BI216" i="1"/>
  <c r="BJ216" i="1"/>
  <c r="J214" i="1"/>
  <c r="K214" i="1"/>
  <c r="L214" i="1"/>
  <c r="M214" i="1"/>
  <c r="N214" i="1"/>
  <c r="P214" i="1"/>
  <c r="Q214" i="1"/>
  <c r="R214" i="1"/>
  <c r="S214" i="1"/>
  <c r="T214" i="1"/>
  <c r="V214" i="1"/>
  <c r="W214" i="1"/>
  <c r="X214" i="1"/>
  <c r="Y214" i="1"/>
  <c r="Z214" i="1"/>
  <c r="AB214" i="1"/>
  <c r="AC214" i="1"/>
  <c r="AD214" i="1"/>
  <c r="AE214" i="1"/>
  <c r="AF214" i="1"/>
  <c r="AH214" i="1"/>
  <c r="AI214" i="1"/>
  <c r="AJ214" i="1"/>
  <c r="AK214" i="1"/>
  <c r="AL214" i="1"/>
  <c r="AN214" i="1"/>
  <c r="AO214" i="1"/>
  <c r="AP214" i="1"/>
  <c r="AQ214" i="1"/>
  <c r="AR214" i="1"/>
  <c r="AT214" i="1"/>
  <c r="AU214" i="1"/>
  <c r="AV214" i="1"/>
  <c r="AW214" i="1"/>
  <c r="AX214" i="1"/>
  <c r="AZ214" i="1"/>
  <c r="BA214" i="1"/>
  <c r="BB214" i="1"/>
  <c r="BC214" i="1"/>
  <c r="BD214" i="1"/>
  <c r="BF214" i="1"/>
  <c r="BG214" i="1"/>
  <c r="BH214" i="1"/>
  <c r="BI214" i="1"/>
  <c r="BJ214" i="1"/>
  <c r="J212" i="1"/>
  <c r="K212" i="1"/>
  <c r="L212" i="1"/>
  <c r="M212" i="1"/>
  <c r="N212" i="1"/>
  <c r="P212" i="1"/>
  <c r="Q212" i="1"/>
  <c r="R212" i="1"/>
  <c r="S212" i="1"/>
  <c r="T212" i="1"/>
  <c r="V212" i="1"/>
  <c r="W212" i="1"/>
  <c r="X212" i="1"/>
  <c r="Y212" i="1"/>
  <c r="Z212" i="1"/>
  <c r="AB212" i="1"/>
  <c r="AC212" i="1"/>
  <c r="AD212" i="1"/>
  <c r="AE212" i="1"/>
  <c r="AF212" i="1"/>
  <c r="AH212" i="1"/>
  <c r="AI212" i="1"/>
  <c r="AJ212" i="1"/>
  <c r="AK212" i="1"/>
  <c r="AL212" i="1"/>
  <c r="AN212" i="1"/>
  <c r="AO212" i="1"/>
  <c r="AP212" i="1"/>
  <c r="AQ212" i="1"/>
  <c r="AR212" i="1"/>
  <c r="AT212" i="1"/>
  <c r="AU212" i="1"/>
  <c r="AV212" i="1"/>
  <c r="AW212" i="1"/>
  <c r="AX212" i="1"/>
  <c r="AZ212" i="1"/>
  <c r="BA212" i="1"/>
  <c r="BB212" i="1"/>
  <c r="BC212" i="1"/>
  <c r="BD212" i="1"/>
  <c r="BF212" i="1"/>
  <c r="BG212" i="1"/>
  <c r="BH212" i="1"/>
  <c r="BI212" i="1"/>
  <c r="BJ212" i="1"/>
  <c r="J210" i="1"/>
  <c r="K210" i="1"/>
  <c r="L210" i="1"/>
  <c r="M210" i="1"/>
  <c r="N210" i="1"/>
  <c r="P210" i="1"/>
  <c r="Q210" i="1"/>
  <c r="R210" i="1"/>
  <c r="S210" i="1"/>
  <c r="T210" i="1"/>
  <c r="V210" i="1"/>
  <c r="W210" i="1"/>
  <c r="X210" i="1"/>
  <c r="Y210" i="1"/>
  <c r="Z210" i="1"/>
  <c r="AB210" i="1"/>
  <c r="AC210" i="1"/>
  <c r="AD210" i="1"/>
  <c r="AE210" i="1"/>
  <c r="AF210" i="1"/>
  <c r="AH210" i="1"/>
  <c r="AI210" i="1"/>
  <c r="AJ210" i="1"/>
  <c r="AK210" i="1"/>
  <c r="AL210" i="1"/>
  <c r="AN210" i="1"/>
  <c r="AO210" i="1"/>
  <c r="AP210" i="1"/>
  <c r="AQ210" i="1"/>
  <c r="AR210" i="1"/>
  <c r="AT210" i="1"/>
  <c r="AU210" i="1"/>
  <c r="AV210" i="1"/>
  <c r="AW210" i="1"/>
  <c r="AX210" i="1"/>
  <c r="AZ210" i="1"/>
  <c r="BA210" i="1"/>
  <c r="BB210" i="1"/>
  <c r="BC210" i="1"/>
  <c r="BD210" i="1"/>
  <c r="BF210" i="1"/>
  <c r="BG210" i="1"/>
  <c r="BH210" i="1"/>
  <c r="BI210" i="1"/>
  <c r="BJ210" i="1"/>
  <c r="H260" i="1"/>
  <c r="G260" i="1"/>
  <c r="F260" i="1"/>
  <c r="E260" i="1"/>
  <c r="D260" i="1"/>
  <c r="H258" i="1"/>
  <c r="G258" i="1"/>
  <c r="F258" i="1"/>
  <c r="E258" i="1"/>
  <c r="D258" i="1"/>
  <c r="H256" i="1"/>
  <c r="G256" i="1"/>
  <c r="F256" i="1"/>
  <c r="E256" i="1"/>
  <c r="D256" i="1"/>
  <c r="H254" i="1"/>
  <c r="G254" i="1"/>
  <c r="F254" i="1"/>
  <c r="E254" i="1"/>
  <c r="D254" i="1"/>
  <c r="H252" i="1"/>
  <c r="G252" i="1"/>
  <c r="F252" i="1"/>
  <c r="E252" i="1"/>
  <c r="D252" i="1"/>
  <c r="H250" i="1"/>
  <c r="G250" i="1"/>
  <c r="F250" i="1"/>
  <c r="E250" i="1"/>
  <c r="D250" i="1"/>
  <c r="H248" i="1"/>
  <c r="G248" i="1"/>
  <c r="F248" i="1"/>
  <c r="E248" i="1"/>
  <c r="D248" i="1"/>
  <c r="H246" i="1"/>
  <c r="G246" i="1"/>
  <c r="F246" i="1"/>
  <c r="E246" i="1"/>
  <c r="D246" i="1"/>
  <c r="H242" i="1"/>
  <c r="G242" i="1"/>
  <c r="F242" i="1"/>
  <c r="E242" i="1"/>
  <c r="D242" i="1"/>
  <c r="H240" i="1"/>
  <c r="G240" i="1"/>
  <c r="F240" i="1"/>
  <c r="E240" i="1"/>
  <c r="D240" i="1"/>
  <c r="H238" i="1"/>
  <c r="G238" i="1"/>
  <c r="F238" i="1"/>
  <c r="E238" i="1"/>
  <c r="D238" i="1"/>
  <c r="H236" i="1"/>
  <c r="G236" i="1"/>
  <c r="F236" i="1"/>
  <c r="E236" i="1"/>
  <c r="D236" i="1"/>
  <c r="H234" i="1"/>
  <c r="G234" i="1"/>
  <c r="F234" i="1"/>
  <c r="E234" i="1"/>
  <c r="D234" i="1"/>
  <c r="H232" i="1"/>
  <c r="G232" i="1"/>
  <c r="F232" i="1"/>
  <c r="E232" i="1"/>
  <c r="D232" i="1"/>
  <c r="H230" i="1"/>
  <c r="G230" i="1"/>
  <c r="F230" i="1"/>
  <c r="E230" i="1"/>
  <c r="D230" i="1"/>
  <c r="H228" i="1"/>
  <c r="G228" i="1"/>
  <c r="F228" i="1"/>
  <c r="E228" i="1"/>
  <c r="D228" i="1"/>
  <c r="H226" i="1"/>
  <c r="G226" i="1"/>
  <c r="F226" i="1"/>
  <c r="E226" i="1"/>
  <c r="D226" i="1"/>
  <c r="H224" i="1"/>
  <c r="G224" i="1"/>
  <c r="F224" i="1"/>
  <c r="E224" i="1"/>
  <c r="D224" i="1"/>
  <c r="H222" i="1"/>
  <c r="G222" i="1"/>
  <c r="F222" i="1"/>
  <c r="E222" i="1"/>
  <c r="D222" i="1"/>
  <c r="H220" i="1"/>
  <c r="G220" i="1"/>
  <c r="F220" i="1"/>
  <c r="E220" i="1"/>
  <c r="D220" i="1"/>
  <c r="H218" i="1"/>
  <c r="G218" i="1"/>
  <c r="F218" i="1"/>
  <c r="E218" i="1"/>
  <c r="D218" i="1"/>
  <c r="H216" i="1"/>
  <c r="G216" i="1"/>
  <c r="F216" i="1"/>
  <c r="E216" i="1"/>
  <c r="D216" i="1"/>
  <c r="H214" i="1"/>
  <c r="G214" i="1"/>
  <c r="F214" i="1"/>
  <c r="E214" i="1"/>
  <c r="D214" i="1"/>
  <c r="H212" i="1"/>
  <c r="G212" i="1"/>
  <c r="F212" i="1"/>
  <c r="E212" i="1"/>
  <c r="D212" i="1"/>
  <c r="H210" i="1"/>
  <c r="G210" i="1"/>
  <c r="F210" i="1"/>
  <c r="E210" i="1"/>
  <c r="D210" i="1"/>
  <c r="AD206" i="1"/>
  <c r="AE206" i="1" s="1"/>
  <c r="AF206" i="1" s="1"/>
  <c r="AH206" i="1" s="1"/>
  <c r="AI206" i="1" s="1"/>
  <c r="AJ206" i="1" s="1"/>
  <c r="AK206" i="1" s="1"/>
  <c r="AL206" i="1" s="1"/>
  <c r="AN206" i="1" s="1"/>
  <c r="AO206" i="1" s="1"/>
  <c r="AP206" i="1" s="1"/>
  <c r="AQ206" i="1" s="1"/>
  <c r="AR206" i="1" s="1"/>
  <c r="AT206" i="1" s="1"/>
  <c r="AU206" i="1" s="1"/>
  <c r="AV206" i="1" s="1"/>
  <c r="AW206" i="1" s="1"/>
  <c r="AX206" i="1" s="1"/>
  <c r="AZ206" i="1"/>
  <c r="BA206" i="1" s="1"/>
  <c r="BB206" i="1" s="1"/>
  <c r="BC206" i="1" s="1"/>
  <c r="BD206" i="1" s="1"/>
  <c r="BF206" i="1" s="1"/>
  <c r="BG206" i="1" s="1"/>
  <c r="BH206" i="1" s="1"/>
  <c r="BI206" i="1" s="1"/>
  <c r="BJ206" i="1" s="1"/>
  <c r="BL206" i="1" s="1"/>
  <c r="BM206" i="1" s="1"/>
  <c r="BN206" i="1" s="1"/>
  <c r="BO206" i="1" s="1"/>
  <c r="BP206" i="1" s="1"/>
  <c r="BR206" i="1" s="1"/>
  <c r="BS206" i="1" s="1"/>
  <c r="BT206" i="1" s="1"/>
  <c r="BU206" i="1" s="1"/>
  <c r="BV206" i="1" s="1"/>
  <c r="BX206" i="1" s="1"/>
  <c r="BY206" i="1" s="1"/>
  <c r="BZ206" i="1" s="1"/>
  <c r="CA206" i="1" s="1"/>
  <c r="CB206" i="1" s="1"/>
  <c r="CD206" i="1" s="1"/>
  <c r="CE206" i="1" s="1"/>
  <c r="CF206" i="1" s="1"/>
  <c r="CG206" i="1" s="1"/>
  <c r="CH206" i="1" s="1"/>
  <c r="CJ206" i="1" s="1"/>
  <c r="CK206" i="1" s="1"/>
  <c r="CL206" i="1" s="1"/>
  <c r="CM206" i="1" s="1"/>
  <c r="CN206" i="1" s="1"/>
  <c r="AC207" i="1"/>
  <c r="AD207" i="1" s="1"/>
  <c r="AE207" i="1" s="1"/>
  <c r="AF207" i="1" s="1"/>
  <c r="AH207" i="1" s="1"/>
  <c r="AI207" i="1" s="1"/>
  <c r="AJ207" i="1" s="1"/>
  <c r="AK207" i="1" s="1"/>
  <c r="AL207" i="1" s="1"/>
  <c r="AN207" i="1" s="1"/>
  <c r="AO207" i="1" s="1"/>
  <c r="AP207" i="1" s="1"/>
  <c r="AQ207" i="1" s="1"/>
  <c r="AR207" i="1" s="1"/>
  <c r="AT207" i="1" s="1"/>
  <c r="AU207" i="1" s="1"/>
  <c r="AV207" i="1" s="1"/>
  <c r="AW207" i="1" s="1"/>
  <c r="AX207" i="1" s="1"/>
  <c r="AZ207" i="1"/>
  <c r="BA207" i="1" s="1"/>
  <c r="BB207" i="1" s="1"/>
  <c r="BC207" i="1" s="1"/>
  <c r="BD207" i="1" s="1"/>
  <c r="BF207" i="1" s="1"/>
  <c r="BG207" i="1" s="1"/>
  <c r="BH207" i="1" s="1"/>
  <c r="BI207" i="1" s="1"/>
  <c r="BJ207" i="1" s="1"/>
  <c r="BL207" i="1" s="1"/>
  <c r="BM207" i="1" s="1"/>
  <c r="BN207" i="1" s="1"/>
  <c r="BO207" i="1" s="1"/>
  <c r="BP207" i="1" s="1"/>
  <c r="BR207" i="1" s="1"/>
  <c r="BS207" i="1" s="1"/>
  <c r="BT207" i="1" s="1"/>
  <c r="BU207" i="1" s="1"/>
  <c r="BV207" i="1" s="1"/>
  <c r="BX207" i="1" s="1"/>
  <c r="BY207" i="1" s="1"/>
  <c r="BZ207" i="1" s="1"/>
  <c r="CA207" i="1" s="1"/>
  <c r="CB207" i="1" s="1"/>
  <c r="CD207" i="1" s="1"/>
  <c r="CE207" i="1" s="1"/>
  <c r="CF207" i="1" s="1"/>
  <c r="CG207" i="1" s="1"/>
  <c r="CH207" i="1" s="1"/>
  <c r="CJ207" i="1" s="1"/>
  <c r="CK207" i="1" s="1"/>
  <c r="CL207" i="1" s="1"/>
  <c r="CM207" i="1" s="1"/>
  <c r="CN207" i="1" s="1"/>
  <c r="AB261" i="1"/>
  <c r="AC261" i="1" s="1"/>
  <c r="AD261" i="1" s="1"/>
  <c r="AE261" i="1" s="1"/>
  <c r="AF261" i="1" s="1"/>
  <c r="AH261" i="1" s="1"/>
  <c r="AI261" i="1" s="1"/>
  <c r="AJ261" i="1" s="1"/>
  <c r="AK261" i="1" s="1"/>
  <c r="AL261" i="1" s="1"/>
  <c r="AN261" i="1" s="1"/>
  <c r="AO261" i="1" s="1"/>
  <c r="AP261" i="1" s="1"/>
  <c r="AQ261" i="1" s="1"/>
  <c r="AR261" i="1" s="1"/>
  <c r="AT261" i="1" s="1"/>
  <c r="AU261" i="1" s="1"/>
  <c r="AV261" i="1" s="1"/>
  <c r="AW261" i="1" s="1"/>
  <c r="AX261" i="1" s="1"/>
  <c r="AZ261" i="1"/>
  <c r="BA261" i="1" s="1"/>
  <c r="BB261" i="1" s="1"/>
  <c r="BC261" i="1" s="1"/>
  <c r="BD261" i="1" s="1"/>
  <c r="BF261" i="1" s="1"/>
  <c r="BG261" i="1" s="1"/>
  <c r="BH261" i="1" s="1"/>
  <c r="BI261" i="1" s="1"/>
  <c r="BJ261" i="1" s="1"/>
  <c r="BL261" i="1" s="1"/>
  <c r="BM261" i="1" s="1"/>
  <c r="BN261" i="1" s="1"/>
  <c r="BO261" i="1" s="1"/>
  <c r="BP261" i="1" s="1"/>
  <c r="BR261" i="1" s="1"/>
  <c r="BS261" i="1" s="1"/>
  <c r="BT261" i="1" s="1"/>
  <c r="BU261" i="1" s="1"/>
  <c r="BV261" i="1" s="1"/>
  <c r="BX261" i="1" s="1"/>
  <c r="BZ261" i="1"/>
  <c r="CA261" i="1" s="1"/>
  <c r="CB261" i="1" s="1"/>
  <c r="CD261" i="1" s="1"/>
  <c r="CE261" i="1" s="1"/>
  <c r="CF261" i="1" s="1"/>
  <c r="CG261" i="1" s="1"/>
  <c r="CH261" i="1" s="1"/>
  <c r="AB262" i="1"/>
  <c r="AC262" i="1" s="1"/>
  <c r="AD262" i="1" s="1"/>
  <c r="AE262" i="1" s="1"/>
  <c r="AF262" i="1" s="1"/>
  <c r="AH262" i="1" s="1"/>
  <c r="AI262" i="1" s="1"/>
  <c r="AJ262" i="1" s="1"/>
  <c r="AK262" i="1" s="1"/>
  <c r="AL262" i="1" s="1"/>
  <c r="AN262" i="1" s="1"/>
  <c r="AO262" i="1" s="1"/>
  <c r="AP262" i="1" s="1"/>
  <c r="AQ262" i="1" s="1"/>
  <c r="AR262" i="1" s="1"/>
  <c r="AT262" i="1" s="1"/>
  <c r="AU262" i="1" s="1"/>
  <c r="AV262" i="1" s="1"/>
  <c r="AW262" i="1" s="1"/>
  <c r="AX262" i="1" s="1"/>
  <c r="AZ262" i="1"/>
  <c r="BA262" i="1" s="1"/>
  <c r="BB262" i="1" s="1"/>
  <c r="BC262" i="1" s="1"/>
  <c r="BD262" i="1" s="1"/>
  <c r="BF262" i="1" s="1"/>
  <c r="BG262" i="1" s="1"/>
  <c r="BH262" i="1" s="1"/>
  <c r="BI262" i="1" s="1"/>
  <c r="BJ262" i="1" s="1"/>
  <c r="BL262" i="1" s="1"/>
  <c r="BM262" i="1" s="1"/>
  <c r="BN262" i="1" s="1"/>
  <c r="BO262" i="1" s="1"/>
  <c r="BP262" i="1" s="1"/>
  <c r="BR262" i="1" s="1"/>
  <c r="BS262" i="1" s="1"/>
  <c r="BT262" i="1" s="1"/>
  <c r="BU262" i="1" s="1"/>
  <c r="BV262" i="1" s="1"/>
  <c r="BX262" i="1" s="1"/>
  <c r="BY262" i="1" s="1"/>
  <c r="BZ262" i="1" s="1"/>
  <c r="CA262" i="1" s="1"/>
  <c r="CB262" i="1" s="1"/>
  <c r="CD262" i="1" s="1"/>
  <c r="CE262" i="1" s="1"/>
  <c r="CF262" i="1" s="1"/>
  <c r="CG262" i="1" s="1"/>
  <c r="CH262" i="1" s="1"/>
  <c r="AB263" i="1"/>
  <c r="AC263" i="1" s="1"/>
  <c r="AD263" i="1" s="1"/>
  <c r="AE263" i="1" s="1"/>
  <c r="AF263" i="1" s="1"/>
  <c r="AH263" i="1" s="1"/>
  <c r="AI263" i="1" s="1"/>
  <c r="AJ263" i="1" s="1"/>
  <c r="AK263" i="1" s="1"/>
  <c r="AL263" i="1" s="1"/>
  <c r="AN263" i="1" s="1"/>
  <c r="AO263" i="1" s="1"/>
  <c r="AP263" i="1" s="1"/>
  <c r="AQ263" i="1" s="1"/>
  <c r="AR263" i="1" s="1"/>
  <c r="AT263" i="1" s="1"/>
  <c r="AU263" i="1" s="1"/>
  <c r="AV263" i="1" s="1"/>
  <c r="AW263" i="1" s="1"/>
  <c r="AX263" i="1" s="1"/>
  <c r="AZ263" i="1"/>
  <c r="BA263" i="1" s="1"/>
  <c r="BB263" i="1" s="1"/>
  <c r="BC263" i="1" s="1"/>
  <c r="BD263" i="1" s="1"/>
  <c r="BF263" i="1" s="1"/>
  <c r="BG263" i="1" s="1"/>
  <c r="BH263" i="1" s="1"/>
  <c r="BI263" i="1" s="1"/>
  <c r="BJ263" i="1" s="1"/>
  <c r="BL263" i="1" s="1"/>
  <c r="BM263" i="1" s="1"/>
  <c r="BN263" i="1" s="1"/>
  <c r="BO263" i="1" s="1"/>
  <c r="BP263" i="1" s="1"/>
  <c r="BR263" i="1" s="1"/>
  <c r="BS263" i="1" s="1"/>
  <c r="BT263" i="1" s="1"/>
  <c r="BU263" i="1" s="1"/>
  <c r="BV263" i="1" s="1"/>
  <c r="BX263" i="1" s="1"/>
  <c r="BZ263" i="1"/>
  <c r="CA263" i="1" s="1"/>
  <c r="CB263" i="1" s="1"/>
  <c r="CD263" i="1" s="1"/>
  <c r="CE263" i="1" s="1"/>
  <c r="CF263" i="1" s="1"/>
  <c r="CG263" i="1" s="1"/>
  <c r="CH263" i="1" s="1"/>
  <c r="AB264" i="1"/>
  <c r="AC264" i="1" s="1"/>
  <c r="AD264" i="1" s="1"/>
  <c r="AE264" i="1" s="1"/>
  <c r="AF264" i="1" s="1"/>
  <c r="AH264" i="1" s="1"/>
  <c r="AI264" i="1" s="1"/>
  <c r="AJ264" i="1" s="1"/>
  <c r="AK264" i="1" s="1"/>
  <c r="AL264" i="1" s="1"/>
  <c r="AN264" i="1" s="1"/>
  <c r="AO264" i="1" s="1"/>
  <c r="AP264" i="1" s="1"/>
  <c r="AQ264" i="1" s="1"/>
  <c r="AR264" i="1" s="1"/>
  <c r="AT264" i="1" s="1"/>
  <c r="AU264" i="1" s="1"/>
  <c r="AV264" i="1" s="1"/>
  <c r="AW264" i="1" s="1"/>
  <c r="AX264" i="1" s="1"/>
  <c r="AZ264" i="1"/>
  <c r="BA264" i="1" s="1"/>
  <c r="BB264" i="1" s="1"/>
  <c r="BC264" i="1" s="1"/>
  <c r="BD264" i="1" s="1"/>
  <c r="BF264" i="1" s="1"/>
  <c r="BG264" i="1" s="1"/>
  <c r="BH264" i="1" s="1"/>
  <c r="BI264" i="1" s="1"/>
  <c r="BJ264" i="1" s="1"/>
  <c r="BL264" i="1" s="1"/>
  <c r="BM264" i="1" s="1"/>
  <c r="BN264" i="1" s="1"/>
  <c r="BO264" i="1" s="1"/>
  <c r="BP264" i="1" s="1"/>
  <c r="BR264" i="1" s="1"/>
  <c r="BS264" i="1" s="1"/>
  <c r="BT264" i="1" s="1"/>
  <c r="BU264" i="1" s="1"/>
  <c r="BV264" i="1" s="1"/>
  <c r="BX264" i="1" s="1"/>
  <c r="BY264" i="1" s="1"/>
  <c r="BZ264" i="1" s="1"/>
  <c r="CA264" i="1" s="1"/>
  <c r="CB264" i="1" s="1"/>
  <c r="CD264" i="1" s="1"/>
  <c r="CE264" i="1" s="1"/>
  <c r="CF264" i="1" s="1"/>
  <c r="CG264" i="1" s="1"/>
  <c r="CH264" i="1" s="1"/>
  <c r="AB265" i="1"/>
  <c r="AC265" i="1" s="1"/>
  <c r="AD265" i="1" s="1"/>
  <c r="AE265" i="1" s="1"/>
  <c r="AF265" i="1" s="1"/>
  <c r="AH265" i="1" s="1"/>
  <c r="AI265" i="1" s="1"/>
  <c r="AJ265" i="1" s="1"/>
  <c r="AK265" i="1" s="1"/>
  <c r="AL265" i="1" s="1"/>
  <c r="AN265" i="1" s="1"/>
  <c r="AO265" i="1" s="1"/>
  <c r="AP265" i="1" s="1"/>
  <c r="AQ265" i="1" s="1"/>
  <c r="AR265" i="1" s="1"/>
  <c r="AT265" i="1" s="1"/>
  <c r="AU265" i="1" s="1"/>
  <c r="AV265" i="1" s="1"/>
  <c r="AW265" i="1" s="1"/>
  <c r="AX265" i="1" s="1"/>
  <c r="AZ265" i="1"/>
  <c r="BA265" i="1" s="1"/>
  <c r="BB265" i="1" s="1"/>
  <c r="BC265" i="1" s="1"/>
  <c r="BD265" i="1" s="1"/>
  <c r="BF265" i="1" s="1"/>
  <c r="BG265" i="1" s="1"/>
  <c r="BH265" i="1" s="1"/>
  <c r="BI265" i="1" s="1"/>
  <c r="BJ265" i="1" s="1"/>
  <c r="BL265" i="1" s="1"/>
  <c r="BM265" i="1" s="1"/>
  <c r="BN265" i="1" s="1"/>
  <c r="BO265" i="1" s="1"/>
  <c r="BP265" i="1" s="1"/>
  <c r="BR265" i="1" s="1"/>
  <c r="BS265" i="1" s="1"/>
  <c r="BT265" i="1" s="1"/>
  <c r="BU265" i="1" s="1"/>
  <c r="BV265" i="1" s="1"/>
  <c r="BX265" i="1" s="1"/>
  <c r="BY265" i="1" s="1"/>
  <c r="BZ265" i="1" s="1"/>
  <c r="CA265" i="1" s="1"/>
  <c r="CB265" i="1" s="1"/>
  <c r="CD265" i="1" s="1"/>
  <c r="CF265" i="1"/>
  <c r="CG265" i="1" s="1"/>
  <c r="CH265" i="1" s="1"/>
  <c r="AB266" i="1"/>
  <c r="AC266" i="1" s="1"/>
  <c r="AD266" i="1" s="1"/>
  <c r="AE266" i="1" s="1"/>
  <c r="AF266" i="1" s="1"/>
  <c r="AH266" i="1" s="1"/>
  <c r="AI266" i="1" s="1"/>
  <c r="AJ266" i="1" s="1"/>
  <c r="AK266" i="1" s="1"/>
  <c r="AL266" i="1" s="1"/>
  <c r="AN266" i="1" s="1"/>
  <c r="AO266" i="1" s="1"/>
  <c r="AP266" i="1" s="1"/>
  <c r="AQ266" i="1" s="1"/>
  <c r="AR266" i="1" s="1"/>
  <c r="AT266" i="1" s="1"/>
  <c r="AU266" i="1" s="1"/>
  <c r="AV266" i="1" s="1"/>
  <c r="AW266" i="1" s="1"/>
  <c r="AX266" i="1" s="1"/>
  <c r="AZ266" i="1"/>
  <c r="BA266" i="1" s="1"/>
  <c r="BB266" i="1" s="1"/>
  <c r="BC266" i="1" s="1"/>
  <c r="BD266" i="1" s="1"/>
  <c r="BF266" i="1" s="1"/>
  <c r="BG266" i="1" s="1"/>
  <c r="BH266" i="1" s="1"/>
  <c r="BI266" i="1" s="1"/>
  <c r="BJ266" i="1" s="1"/>
  <c r="BL266" i="1" s="1"/>
  <c r="BM266" i="1" s="1"/>
  <c r="BN266" i="1" s="1"/>
  <c r="BO266" i="1" s="1"/>
  <c r="BP266" i="1" s="1"/>
  <c r="BR266" i="1" s="1"/>
  <c r="BS266" i="1" s="1"/>
  <c r="BT266" i="1" s="1"/>
  <c r="BU266" i="1" s="1"/>
  <c r="BV266" i="1" s="1"/>
  <c r="BX266" i="1" s="1"/>
  <c r="BY266" i="1" s="1"/>
  <c r="BZ266" i="1" s="1"/>
  <c r="CA266" i="1" s="1"/>
  <c r="CB266" i="1" s="1"/>
  <c r="CD266" i="1" s="1"/>
  <c r="CE266" i="1" s="1"/>
  <c r="CF266" i="1" s="1"/>
  <c r="CG266" i="1" s="1"/>
  <c r="CH266" i="1" s="1"/>
  <c r="AB267" i="1"/>
  <c r="AC267" i="1" s="1"/>
  <c r="AD267" i="1" s="1"/>
  <c r="AE267" i="1" s="1"/>
  <c r="AF267" i="1" s="1"/>
  <c r="AH267" i="1" s="1"/>
  <c r="AI267" i="1" s="1"/>
  <c r="AJ267" i="1" s="1"/>
  <c r="AK267" i="1" s="1"/>
  <c r="AL267" i="1" s="1"/>
  <c r="AN267" i="1" s="1"/>
  <c r="AO267" i="1" s="1"/>
  <c r="AP267" i="1" s="1"/>
  <c r="AQ267" i="1" s="1"/>
  <c r="AR267" i="1" s="1"/>
  <c r="AT267" i="1" s="1"/>
  <c r="AU267" i="1" s="1"/>
  <c r="AV267" i="1" s="1"/>
  <c r="AW267" i="1" s="1"/>
  <c r="AX267" i="1" s="1"/>
  <c r="AZ267" i="1"/>
  <c r="BA267" i="1" s="1"/>
  <c r="BB267" i="1" s="1"/>
  <c r="BC267" i="1" s="1"/>
  <c r="BD267" i="1" s="1"/>
  <c r="BF267" i="1" s="1"/>
  <c r="BG267" i="1" s="1"/>
  <c r="BH267" i="1" s="1"/>
  <c r="BI267" i="1" s="1"/>
  <c r="BJ267" i="1" s="1"/>
  <c r="BL267" i="1" s="1"/>
  <c r="BM267" i="1" s="1"/>
  <c r="BN267" i="1" s="1"/>
  <c r="BO267" i="1" s="1"/>
  <c r="BP267" i="1" s="1"/>
  <c r="BR267" i="1" s="1"/>
  <c r="BS267" i="1" s="1"/>
  <c r="BT267" i="1" s="1"/>
  <c r="BU267" i="1" s="1"/>
  <c r="BV267" i="1" s="1"/>
  <c r="BX267" i="1" s="1"/>
  <c r="BY267" i="1" s="1"/>
  <c r="BZ267" i="1" s="1"/>
  <c r="CA267" i="1" s="1"/>
  <c r="CB267" i="1" s="1"/>
  <c r="CD267" i="1" s="1"/>
  <c r="CF267" i="1"/>
  <c r="CG267" i="1" s="1"/>
  <c r="CH267" i="1" s="1"/>
  <c r="AB268" i="1"/>
  <c r="AC268" i="1" s="1"/>
  <c r="AD268" i="1" s="1"/>
  <c r="AE268" i="1" s="1"/>
  <c r="AF268" i="1" s="1"/>
  <c r="AH268" i="1" s="1"/>
  <c r="AI268" i="1" s="1"/>
  <c r="AJ268" i="1" s="1"/>
  <c r="AK268" i="1" s="1"/>
  <c r="AL268" i="1" s="1"/>
  <c r="AN268" i="1" s="1"/>
  <c r="AO268" i="1" s="1"/>
  <c r="AP268" i="1" s="1"/>
  <c r="AQ268" i="1" s="1"/>
  <c r="AR268" i="1" s="1"/>
  <c r="AT268" i="1" s="1"/>
  <c r="AU268" i="1" s="1"/>
  <c r="AV268" i="1" s="1"/>
  <c r="AW268" i="1" s="1"/>
  <c r="AX268" i="1" s="1"/>
  <c r="AZ268" i="1"/>
  <c r="BA268" i="1" s="1"/>
  <c r="BB268" i="1" s="1"/>
  <c r="BC268" i="1" s="1"/>
  <c r="BD268" i="1" s="1"/>
  <c r="BF268" i="1" s="1"/>
  <c r="BG268" i="1" s="1"/>
  <c r="BH268" i="1" s="1"/>
  <c r="BI268" i="1" s="1"/>
  <c r="BJ268" i="1" s="1"/>
  <c r="BL268" i="1" s="1"/>
  <c r="BM268" i="1" s="1"/>
  <c r="BN268" i="1" s="1"/>
  <c r="BO268" i="1" s="1"/>
  <c r="BP268" i="1" s="1"/>
  <c r="BR268" i="1" s="1"/>
  <c r="BS268" i="1" s="1"/>
  <c r="BT268" i="1" s="1"/>
  <c r="BU268" i="1" s="1"/>
  <c r="BV268" i="1" s="1"/>
  <c r="BX268" i="1" s="1"/>
  <c r="BY268" i="1" s="1"/>
  <c r="BZ268" i="1" s="1"/>
  <c r="CA268" i="1" s="1"/>
  <c r="CB268" i="1" s="1"/>
  <c r="CD268" i="1" s="1"/>
  <c r="CE268" i="1" s="1"/>
  <c r="CF268" i="1" s="1"/>
  <c r="CG268" i="1" s="1"/>
  <c r="CH268" i="1" s="1"/>
  <c r="AB269" i="1"/>
  <c r="AC269" i="1" s="1"/>
  <c r="AD269" i="1" s="1"/>
  <c r="AE269" i="1" s="1"/>
  <c r="AF269" i="1" s="1"/>
  <c r="AH269" i="1" s="1"/>
  <c r="AI269" i="1" s="1"/>
  <c r="AJ269" i="1" s="1"/>
  <c r="AK269" i="1" s="1"/>
  <c r="AL269" i="1" s="1"/>
  <c r="AN269" i="1" s="1"/>
  <c r="AO269" i="1" s="1"/>
  <c r="AP269" i="1" s="1"/>
  <c r="AQ269" i="1" s="1"/>
  <c r="AR269" i="1" s="1"/>
  <c r="AT269" i="1" s="1"/>
  <c r="AU269" i="1" s="1"/>
  <c r="AV269" i="1" s="1"/>
  <c r="AW269" i="1" s="1"/>
  <c r="AX269" i="1" s="1"/>
  <c r="AZ269" i="1"/>
  <c r="BA269" i="1" s="1"/>
  <c r="BB269" i="1" s="1"/>
  <c r="BC269" i="1" s="1"/>
  <c r="BD269" i="1" s="1"/>
  <c r="BF269" i="1" s="1"/>
  <c r="BG269" i="1" s="1"/>
  <c r="BH269" i="1" s="1"/>
  <c r="BI269" i="1" s="1"/>
  <c r="BJ269" i="1" s="1"/>
  <c r="BL269" i="1" s="1"/>
  <c r="BM269" i="1" s="1"/>
  <c r="BN269" i="1" s="1"/>
  <c r="BO269" i="1" s="1"/>
  <c r="BP269" i="1" s="1"/>
  <c r="BR269" i="1" s="1"/>
  <c r="BS269" i="1" s="1"/>
  <c r="BT269" i="1" s="1"/>
  <c r="BU269" i="1" s="1"/>
  <c r="BV269" i="1" s="1"/>
  <c r="BX269" i="1" s="1"/>
  <c r="BY269" i="1" s="1"/>
  <c r="BZ269" i="1" s="1"/>
  <c r="CA269" i="1" s="1"/>
  <c r="CB269" i="1" s="1"/>
  <c r="CD269" i="1" s="1"/>
  <c r="CE269" i="1" s="1"/>
  <c r="CF269" i="1" s="1"/>
  <c r="CG269" i="1" s="1"/>
  <c r="CH269" i="1" s="1"/>
  <c r="AB270" i="1"/>
  <c r="AC270" i="1" s="1"/>
  <c r="AD270" i="1" s="1"/>
  <c r="AE270" i="1" s="1"/>
  <c r="AF270" i="1" s="1"/>
  <c r="AH270" i="1" s="1"/>
  <c r="AI270" i="1" s="1"/>
  <c r="AJ270" i="1" s="1"/>
  <c r="AK270" i="1" s="1"/>
  <c r="AL270" i="1" s="1"/>
  <c r="AN270" i="1" s="1"/>
  <c r="AO270" i="1" s="1"/>
  <c r="AP270" i="1" s="1"/>
  <c r="AQ270" i="1" s="1"/>
  <c r="AR270" i="1" s="1"/>
  <c r="AT270" i="1" s="1"/>
  <c r="AU270" i="1" s="1"/>
  <c r="AV270" i="1" s="1"/>
  <c r="AW270" i="1" s="1"/>
  <c r="AX270" i="1" s="1"/>
  <c r="AZ270" i="1"/>
  <c r="BA270" i="1" s="1"/>
  <c r="BB270" i="1" s="1"/>
  <c r="BC270" i="1" s="1"/>
  <c r="BD270" i="1" s="1"/>
  <c r="BF270" i="1" s="1"/>
  <c r="BG270" i="1" s="1"/>
  <c r="BH270" i="1" s="1"/>
  <c r="BI270" i="1" s="1"/>
  <c r="BJ270" i="1" s="1"/>
  <c r="BL270" i="1" s="1"/>
  <c r="BM270" i="1" s="1"/>
  <c r="BN270" i="1" s="1"/>
  <c r="BO270" i="1" s="1"/>
  <c r="BP270" i="1" s="1"/>
  <c r="BR270" i="1" s="1"/>
  <c r="BS270" i="1" s="1"/>
  <c r="BT270" i="1" s="1"/>
  <c r="BU270" i="1" s="1"/>
  <c r="BV270" i="1" s="1"/>
  <c r="BX270" i="1" s="1"/>
  <c r="BY270" i="1" s="1"/>
  <c r="BZ270" i="1" s="1"/>
  <c r="CA270" i="1" s="1"/>
  <c r="CB270" i="1" s="1"/>
  <c r="CD270" i="1" s="1"/>
  <c r="CE270" i="1" s="1"/>
  <c r="CF270" i="1" s="1"/>
  <c r="CG270" i="1" s="1"/>
  <c r="CH270" i="1" s="1"/>
  <c r="AB271" i="1"/>
  <c r="AC271" i="1" s="1"/>
  <c r="AD271" i="1" s="1"/>
  <c r="AE271" i="1" s="1"/>
  <c r="AF271" i="1" s="1"/>
  <c r="AH271" i="1" s="1"/>
  <c r="AI271" i="1" s="1"/>
  <c r="AJ271" i="1" s="1"/>
  <c r="AK271" i="1" s="1"/>
  <c r="AL271" i="1" s="1"/>
  <c r="AN271" i="1" s="1"/>
  <c r="AO271" i="1" s="1"/>
  <c r="AP271" i="1" s="1"/>
  <c r="AQ271" i="1" s="1"/>
  <c r="AR271" i="1" s="1"/>
  <c r="AT271" i="1" s="1"/>
  <c r="AU271" i="1" s="1"/>
  <c r="AV271" i="1" s="1"/>
  <c r="AW271" i="1" s="1"/>
  <c r="AX271" i="1" s="1"/>
  <c r="AZ271" i="1"/>
  <c r="BA271" i="1" s="1"/>
  <c r="BB271" i="1" s="1"/>
  <c r="BC271" i="1" s="1"/>
  <c r="BD271" i="1" s="1"/>
  <c r="BF271" i="1" s="1"/>
  <c r="BG271" i="1" s="1"/>
  <c r="BH271" i="1" s="1"/>
  <c r="BI271" i="1" s="1"/>
  <c r="BJ271" i="1" s="1"/>
  <c r="BL271" i="1" s="1"/>
  <c r="BM271" i="1" s="1"/>
  <c r="BN271" i="1" s="1"/>
  <c r="BO271" i="1" s="1"/>
  <c r="BP271" i="1" s="1"/>
  <c r="BR271" i="1" s="1"/>
  <c r="BS271" i="1" s="1"/>
  <c r="BT271" i="1" s="1"/>
  <c r="BU271" i="1" s="1"/>
  <c r="BV271" i="1" s="1"/>
  <c r="BX271" i="1" s="1"/>
  <c r="BY271" i="1" s="1"/>
  <c r="BZ271" i="1" s="1"/>
  <c r="CA271" i="1" s="1"/>
  <c r="CB271" i="1" s="1"/>
  <c r="CD271" i="1" s="1"/>
  <c r="CE271" i="1" s="1"/>
  <c r="CF271" i="1" s="1"/>
  <c r="CG271" i="1" s="1"/>
  <c r="CH271" i="1" s="1"/>
  <c r="AB272" i="1"/>
  <c r="AC272" i="1" s="1"/>
  <c r="AD272" i="1" s="1"/>
  <c r="AE272" i="1" s="1"/>
  <c r="AF272" i="1" s="1"/>
  <c r="AH272" i="1" s="1"/>
  <c r="AI272" i="1" s="1"/>
  <c r="AJ272" i="1" s="1"/>
  <c r="AK272" i="1" s="1"/>
  <c r="AL272" i="1" s="1"/>
  <c r="AN272" i="1" s="1"/>
  <c r="AO272" i="1" s="1"/>
  <c r="AP272" i="1" s="1"/>
  <c r="AQ272" i="1" s="1"/>
  <c r="AR272" i="1" s="1"/>
  <c r="AT272" i="1" s="1"/>
  <c r="AU272" i="1" s="1"/>
  <c r="AV272" i="1" s="1"/>
  <c r="AW272" i="1" s="1"/>
  <c r="AX272" i="1" s="1"/>
  <c r="AZ272" i="1"/>
  <c r="BA272" i="1" s="1"/>
  <c r="BB272" i="1" s="1"/>
  <c r="BC272" i="1" s="1"/>
  <c r="BD272" i="1" s="1"/>
  <c r="BF272" i="1" s="1"/>
  <c r="BG272" i="1" s="1"/>
  <c r="BH272" i="1" s="1"/>
  <c r="BI272" i="1" s="1"/>
  <c r="BJ272" i="1" s="1"/>
  <c r="BL272" i="1" s="1"/>
  <c r="BM272" i="1" s="1"/>
  <c r="BN272" i="1" s="1"/>
  <c r="BO272" i="1" s="1"/>
  <c r="BP272" i="1" s="1"/>
  <c r="BR272" i="1" s="1"/>
  <c r="BS272" i="1" s="1"/>
  <c r="BT272" i="1" s="1"/>
  <c r="BU272" i="1" s="1"/>
  <c r="BV272" i="1" s="1"/>
  <c r="BX272" i="1" s="1"/>
  <c r="BY272" i="1" s="1"/>
  <c r="BZ272" i="1" s="1"/>
  <c r="CA272" i="1" s="1"/>
  <c r="CB272" i="1" s="1"/>
  <c r="CD272" i="1" s="1"/>
  <c r="CE272" i="1" s="1"/>
  <c r="CF272" i="1" s="1"/>
  <c r="CG272" i="1" s="1"/>
  <c r="CH272" i="1" s="1"/>
  <c r="AB273" i="1"/>
  <c r="AC273" i="1" s="1"/>
  <c r="AD273" i="1" s="1"/>
  <c r="AE273" i="1" s="1"/>
  <c r="AF273" i="1" s="1"/>
  <c r="AH273" i="1" s="1"/>
  <c r="AI273" i="1" s="1"/>
  <c r="AJ273" i="1" s="1"/>
  <c r="AK273" i="1" s="1"/>
  <c r="AL273" i="1" s="1"/>
  <c r="AN273" i="1" s="1"/>
  <c r="AO273" i="1" s="1"/>
  <c r="AP273" i="1" s="1"/>
  <c r="AQ273" i="1" s="1"/>
  <c r="AR273" i="1" s="1"/>
  <c r="AT273" i="1" s="1"/>
  <c r="AU273" i="1" s="1"/>
  <c r="AV273" i="1" s="1"/>
  <c r="AW273" i="1" s="1"/>
  <c r="AX273" i="1" s="1"/>
  <c r="AZ273" i="1"/>
  <c r="BA273" i="1" s="1"/>
  <c r="BB273" i="1" s="1"/>
  <c r="BC273" i="1" s="1"/>
  <c r="BD273" i="1" s="1"/>
  <c r="BF273" i="1" s="1"/>
  <c r="BG273" i="1" s="1"/>
  <c r="BH273" i="1" s="1"/>
  <c r="BI273" i="1" s="1"/>
  <c r="BJ273" i="1" s="1"/>
  <c r="BL273" i="1" s="1"/>
  <c r="BM273" i="1" s="1"/>
  <c r="BN273" i="1" s="1"/>
  <c r="BO273" i="1" s="1"/>
  <c r="BP273" i="1" s="1"/>
  <c r="BR273" i="1" s="1"/>
  <c r="BS273" i="1" s="1"/>
  <c r="BT273" i="1" s="1"/>
  <c r="BU273" i="1" s="1"/>
  <c r="BV273" i="1" s="1"/>
  <c r="BX273" i="1" s="1"/>
  <c r="BY273" i="1" s="1"/>
  <c r="BZ273" i="1" s="1"/>
  <c r="CA273" i="1" s="1"/>
  <c r="CB273" i="1" s="1"/>
  <c r="CD273" i="1" s="1"/>
  <c r="CE273" i="1" s="1"/>
  <c r="CF273" i="1" s="1"/>
  <c r="CG273" i="1" s="1"/>
  <c r="CH273" i="1" s="1"/>
  <c r="AB274" i="1"/>
  <c r="AC274" i="1" s="1"/>
  <c r="AD274" i="1" s="1"/>
  <c r="AE274" i="1" s="1"/>
  <c r="AF274" i="1" s="1"/>
  <c r="AH274" i="1" s="1"/>
  <c r="AI274" i="1" s="1"/>
  <c r="AJ274" i="1" s="1"/>
  <c r="AK274" i="1" s="1"/>
  <c r="AL274" i="1" s="1"/>
  <c r="AN274" i="1" s="1"/>
  <c r="AO274" i="1" s="1"/>
  <c r="AP274" i="1" s="1"/>
  <c r="AQ274" i="1" s="1"/>
  <c r="AR274" i="1" s="1"/>
  <c r="AT274" i="1" s="1"/>
  <c r="AU274" i="1" s="1"/>
  <c r="AV274" i="1" s="1"/>
  <c r="AW274" i="1" s="1"/>
  <c r="AX274" i="1" s="1"/>
  <c r="AZ274" i="1"/>
  <c r="BA274" i="1" s="1"/>
  <c r="BB274" i="1" s="1"/>
  <c r="BC274" i="1" s="1"/>
  <c r="BD274" i="1" s="1"/>
  <c r="BF274" i="1" s="1"/>
  <c r="BG274" i="1" s="1"/>
  <c r="BH274" i="1" s="1"/>
  <c r="BI274" i="1" s="1"/>
  <c r="BJ274" i="1" s="1"/>
  <c r="BL274" i="1" s="1"/>
  <c r="BM274" i="1" s="1"/>
  <c r="BN274" i="1" s="1"/>
  <c r="BO274" i="1" s="1"/>
  <c r="BP274" i="1" s="1"/>
  <c r="BR274" i="1" s="1"/>
  <c r="BS274" i="1" s="1"/>
  <c r="BT274" i="1" s="1"/>
  <c r="BU274" i="1" s="1"/>
  <c r="BV274" i="1" s="1"/>
  <c r="BX274" i="1" s="1"/>
  <c r="BY274" i="1" s="1"/>
  <c r="BZ274" i="1" s="1"/>
  <c r="CA274" i="1" s="1"/>
  <c r="CB274" i="1" s="1"/>
  <c r="CD274" i="1" s="1"/>
  <c r="CE274" i="1" s="1"/>
  <c r="CF274" i="1" s="1"/>
  <c r="CG274" i="1" s="1"/>
  <c r="CH274" i="1" s="1"/>
  <c r="AB275" i="1"/>
  <c r="AC275" i="1" s="1"/>
  <c r="AD275" i="1" s="1"/>
  <c r="AE275" i="1" s="1"/>
  <c r="AF275" i="1" s="1"/>
  <c r="AH275" i="1" s="1"/>
  <c r="AI275" i="1" s="1"/>
  <c r="AJ275" i="1" s="1"/>
  <c r="AK275" i="1" s="1"/>
  <c r="AL275" i="1" s="1"/>
  <c r="AN275" i="1" s="1"/>
  <c r="AO275" i="1" s="1"/>
  <c r="AP275" i="1" s="1"/>
  <c r="AQ275" i="1" s="1"/>
  <c r="AR275" i="1" s="1"/>
  <c r="AT275" i="1" s="1"/>
  <c r="AU275" i="1" s="1"/>
  <c r="AV275" i="1" s="1"/>
  <c r="AW275" i="1" s="1"/>
  <c r="AX275" i="1" s="1"/>
  <c r="AZ275" i="1"/>
  <c r="BA275" i="1" s="1"/>
  <c r="BB275" i="1" s="1"/>
  <c r="BC275" i="1" s="1"/>
  <c r="BD275" i="1" s="1"/>
  <c r="BF275" i="1" s="1"/>
  <c r="BG275" i="1" s="1"/>
  <c r="BH275" i="1" s="1"/>
  <c r="BI275" i="1" s="1"/>
  <c r="BJ275" i="1" s="1"/>
  <c r="BL275" i="1" s="1"/>
  <c r="BM275" i="1" s="1"/>
  <c r="BN275" i="1" s="1"/>
  <c r="BO275" i="1" s="1"/>
  <c r="BP275" i="1" s="1"/>
  <c r="BR275" i="1" s="1"/>
  <c r="BS275" i="1" s="1"/>
  <c r="BT275" i="1" s="1"/>
  <c r="BU275" i="1" s="1"/>
  <c r="BV275" i="1" s="1"/>
  <c r="BX275" i="1" s="1"/>
  <c r="BY275" i="1" s="1"/>
  <c r="BZ275" i="1" s="1"/>
  <c r="CA275" i="1" s="1"/>
  <c r="CB275" i="1" s="1"/>
  <c r="CD275" i="1" s="1"/>
  <c r="CE275" i="1" s="1"/>
  <c r="CF275" i="1" s="1"/>
  <c r="CG275" i="1" s="1"/>
  <c r="CH275" i="1" s="1"/>
  <c r="AB276" i="1"/>
  <c r="AC276" i="1" s="1"/>
  <c r="AD276" i="1" s="1"/>
  <c r="AE276" i="1" s="1"/>
  <c r="AF276" i="1" s="1"/>
  <c r="AH276" i="1" s="1"/>
  <c r="AI276" i="1" s="1"/>
  <c r="AJ276" i="1" s="1"/>
  <c r="AK276" i="1" s="1"/>
  <c r="AL276" i="1" s="1"/>
  <c r="AN276" i="1" s="1"/>
  <c r="AO276" i="1" s="1"/>
  <c r="AP276" i="1" s="1"/>
  <c r="AQ276" i="1" s="1"/>
  <c r="AR276" i="1" s="1"/>
  <c r="AT276" i="1" s="1"/>
  <c r="AU276" i="1" s="1"/>
  <c r="AV276" i="1" s="1"/>
  <c r="AW276" i="1" s="1"/>
  <c r="AX276" i="1" s="1"/>
  <c r="AZ276" i="1"/>
  <c r="BA276" i="1" s="1"/>
  <c r="BB276" i="1" s="1"/>
  <c r="BC276" i="1" s="1"/>
  <c r="BD276" i="1" s="1"/>
  <c r="BF276" i="1" s="1"/>
  <c r="BG276" i="1" s="1"/>
  <c r="BH276" i="1" s="1"/>
  <c r="BI276" i="1" s="1"/>
  <c r="BJ276" i="1" s="1"/>
  <c r="BL276" i="1" s="1"/>
  <c r="BM276" i="1" s="1"/>
  <c r="BN276" i="1" s="1"/>
  <c r="BO276" i="1" s="1"/>
  <c r="BP276" i="1" s="1"/>
  <c r="BR276" i="1" s="1"/>
  <c r="BS276" i="1" s="1"/>
  <c r="BT276" i="1" s="1"/>
  <c r="BU276" i="1" s="1"/>
  <c r="BV276" i="1" s="1"/>
  <c r="BX276" i="1" s="1"/>
  <c r="BY276" i="1" s="1"/>
  <c r="BZ276" i="1" s="1"/>
  <c r="CA276" i="1" s="1"/>
  <c r="CB276" i="1" s="1"/>
  <c r="CD276" i="1" s="1"/>
  <c r="CE276" i="1" s="1"/>
  <c r="CF276" i="1" s="1"/>
  <c r="CG276" i="1" s="1"/>
  <c r="CH276" i="1" s="1"/>
  <c r="AB277" i="1"/>
  <c r="AC277" i="1" s="1"/>
  <c r="AD277" i="1" s="1"/>
  <c r="AE277" i="1" s="1"/>
  <c r="AF277" i="1" s="1"/>
  <c r="AH277" i="1" s="1"/>
  <c r="AI277" i="1" s="1"/>
  <c r="AJ277" i="1" s="1"/>
  <c r="AK277" i="1" s="1"/>
  <c r="AL277" i="1" s="1"/>
  <c r="AN277" i="1" s="1"/>
  <c r="AO277" i="1" s="1"/>
  <c r="AP277" i="1" s="1"/>
  <c r="AQ277" i="1" s="1"/>
  <c r="AR277" i="1" s="1"/>
  <c r="AT277" i="1" s="1"/>
  <c r="AU277" i="1" s="1"/>
  <c r="AV277" i="1" s="1"/>
  <c r="AW277" i="1" s="1"/>
  <c r="AX277" i="1" s="1"/>
  <c r="AZ277" i="1"/>
  <c r="BA277" i="1" s="1"/>
  <c r="BB277" i="1" s="1"/>
  <c r="BC277" i="1" s="1"/>
  <c r="BD277" i="1" s="1"/>
  <c r="BF277" i="1" s="1"/>
  <c r="BG277" i="1" s="1"/>
  <c r="BH277" i="1" s="1"/>
  <c r="BI277" i="1" s="1"/>
  <c r="BJ277" i="1" s="1"/>
  <c r="BL277" i="1" s="1"/>
  <c r="BM277" i="1" s="1"/>
  <c r="BN277" i="1" s="1"/>
  <c r="BO277" i="1" s="1"/>
  <c r="BP277" i="1" s="1"/>
  <c r="BR277" i="1" s="1"/>
  <c r="BS277" i="1" s="1"/>
  <c r="BT277" i="1" s="1"/>
  <c r="BU277" i="1" s="1"/>
  <c r="BV277" i="1" s="1"/>
  <c r="BX277" i="1" s="1"/>
  <c r="BY277" i="1" s="1"/>
  <c r="BZ277" i="1" s="1"/>
  <c r="CA277" i="1" s="1"/>
  <c r="CB277" i="1" s="1"/>
  <c r="CD277" i="1" s="1"/>
  <c r="CE277" i="1" s="1"/>
  <c r="CF277" i="1" s="1"/>
  <c r="CG277" i="1" s="1"/>
  <c r="CH277" i="1" s="1"/>
  <c r="AB278" i="1"/>
  <c r="AC278" i="1" s="1"/>
  <c r="AD278" i="1" s="1"/>
  <c r="AE278" i="1" s="1"/>
  <c r="AF278" i="1" s="1"/>
  <c r="AH278" i="1" s="1"/>
  <c r="AI278" i="1" s="1"/>
  <c r="AJ278" i="1" s="1"/>
  <c r="AK278" i="1" s="1"/>
  <c r="AL278" i="1" s="1"/>
  <c r="AN278" i="1" s="1"/>
  <c r="AO278" i="1" s="1"/>
  <c r="AP278" i="1" s="1"/>
  <c r="AQ278" i="1" s="1"/>
  <c r="AR278" i="1" s="1"/>
  <c r="AT278" i="1" s="1"/>
  <c r="AU278" i="1" s="1"/>
  <c r="AV278" i="1" s="1"/>
  <c r="AW278" i="1" s="1"/>
  <c r="AX278" i="1" s="1"/>
  <c r="AZ278" i="1"/>
  <c r="BA278" i="1" s="1"/>
  <c r="BB278" i="1" s="1"/>
  <c r="BC278" i="1" s="1"/>
  <c r="BD278" i="1" s="1"/>
  <c r="BF278" i="1" s="1"/>
  <c r="BG278" i="1" s="1"/>
  <c r="BH278" i="1" s="1"/>
  <c r="BI278" i="1" s="1"/>
  <c r="BJ278" i="1" s="1"/>
  <c r="BL278" i="1" s="1"/>
  <c r="BM278" i="1" s="1"/>
  <c r="BN278" i="1" s="1"/>
  <c r="BO278" i="1" s="1"/>
  <c r="BP278" i="1" s="1"/>
  <c r="BR278" i="1" s="1"/>
  <c r="BS278" i="1" s="1"/>
  <c r="BT278" i="1" s="1"/>
  <c r="BU278" i="1" s="1"/>
  <c r="BV278" i="1" s="1"/>
  <c r="BX278" i="1" s="1"/>
  <c r="BY278" i="1" s="1"/>
  <c r="BZ278" i="1" s="1"/>
  <c r="CA278" i="1" s="1"/>
  <c r="CB278" i="1" s="1"/>
  <c r="CD278" i="1" s="1"/>
  <c r="CE278" i="1" s="1"/>
  <c r="CF278" i="1" s="1"/>
  <c r="CG278" i="1" s="1"/>
  <c r="CH278" i="1" s="1"/>
  <c r="AB279" i="1"/>
  <c r="AC279" i="1" s="1"/>
  <c r="AD279" i="1" s="1"/>
  <c r="AE279" i="1" s="1"/>
  <c r="AF279" i="1" s="1"/>
  <c r="AH279" i="1" s="1"/>
  <c r="AI279" i="1" s="1"/>
  <c r="AJ279" i="1" s="1"/>
  <c r="AK279" i="1" s="1"/>
  <c r="AL279" i="1" s="1"/>
  <c r="AN279" i="1" s="1"/>
  <c r="AO279" i="1" s="1"/>
  <c r="AP279" i="1" s="1"/>
  <c r="AQ279" i="1" s="1"/>
  <c r="AR279" i="1" s="1"/>
  <c r="AT279" i="1" s="1"/>
  <c r="AU279" i="1" s="1"/>
  <c r="AV279" i="1" s="1"/>
  <c r="AW279" i="1" s="1"/>
  <c r="AX279" i="1" s="1"/>
  <c r="AZ279" i="1"/>
  <c r="BA279" i="1" s="1"/>
  <c r="BB279" i="1" s="1"/>
  <c r="BC279" i="1" s="1"/>
  <c r="BD279" i="1" s="1"/>
  <c r="BF279" i="1" s="1"/>
  <c r="BG279" i="1" s="1"/>
  <c r="BH279" i="1" s="1"/>
  <c r="BI279" i="1" s="1"/>
  <c r="BJ279" i="1" s="1"/>
  <c r="BL279" i="1" s="1"/>
  <c r="BM279" i="1" s="1"/>
  <c r="BN279" i="1" s="1"/>
  <c r="BO279" i="1" s="1"/>
  <c r="BP279" i="1" s="1"/>
  <c r="BR279" i="1" s="1"/>
  <c r="BS279" i="1" s="1"/>
  <c r="BT279" i="1" s="1"/>
  <c r="BU279" i="1" s="1"/>
  <c r="BV279" i="1" s="1"/>
  <c r="BX279" i="1" s="1"/>
  <c r="BY279" i="1" s="1"/>
  <c r="BZ279" i="1" s="1"/>
  <c r="CA279" i="1" s="1"/>
  <c r="CB279" i="1" s="1"/>
  <c r="CD279" i="1" s="1"/>
  <c r="CE279" i="1" s="1"/>
  <c r="CF279" i="1" s="1"/>
  <c r="CG279" i="1" s="1"/>
  <c r="CH279" i="1" s="1"/>
  <c r="AB280" i="1"/>
  <c r="AC280" i="1" s="1"/>
  <c r="AD280" i="1" s="1"/>
  <c r="AE280" i="1" s="1"/>
  <c r="AF280" i="1" s="1"/>
  <c r="AH280" i="1" s="1"/>
  <c r="AI280" i="1" s="1"/>
  <c r="AJ280" i="1" s="1"/>
  <c r="AK280" i="1" s="1"/>
  <c r="AL280" i="1" s="1"/>
  <c r="AN280" i="1" s="1"/>
  <c r="AO280" i="1" s="1"/>
  <c r="AP280" i="1" s="1"/>
  <c r="AQ280" i="1" s="1"/>
  <c r="AR280" i="1" s="1"/>
  <c r="AT280" i="1" s="1"/>
  <c r="AU280" i="1" s="1"/>
  <c r="AV280" i="1" s="1"/>
  <c r="AW280" i="1" s="1"/>
  <c r="AX280" i="1" s="1"/>
  <c r="AZ280" i="1"/>
  <c r="BA280" i="1" s="1"/>
  <c r="BB280" i="1" s="1"/>
  <c r="BC280" i="1" s="1"/>
  <c r="BD280" i="1" s="1"/>
  <c r="BF280" i="1" s="1"/>
  <c r="BG280" i="1" s="1"/>
  <c r="BH280" i="1" s="1"/>
  <c r="BI280" i="1" s="1"/>
  <c r="BJ280" i="1" s="1"/>
  <c r="BL280" i="1" s="1"/>
  <c r="BM280" i="1" s="1"/>
  <c r="BN280" i="1" s="1"/>
  <c r="BO280" i="1" s="1"/>
  <c r="BP280" i="1" s="1"/>
  <c r="BR280" i="1" s="1"/>
  <c r="BS280" i="1" s="1"/>
  <c r="BT280" i="1" s="1"/>
  <c r="BU280" i="1" s="1"/>
  <c r="BV280" i="1" s="1"/>
  <c r="BX280" i="1" s="1"/>
  <c r="BY280" i="1" s="1"/>
  <c r="BZ280" i="1" s="1"/>
  <c r="CA280" i="1" s="1"/>
  <c r="CB280" i="1" s="1"/>
  <c r="CD280" i="1" s="1"/>
  <c r="CE280" i="1" s="1"/>
  <c r="CF280" i="1" s="1"/>
  <c r="CG280" i="1" s="1"/>
  <c r="CH280" i="1" s="1"/>
  <c r="AB281" i="1"/>
  <c r="AC281" i="1" s="1"/>
  <c r="AD281" i="1" s="1"/>
  <c r="AE281" i="1" s="1"/>
  <c r="AF281" i="1" s="1"/>
  <c r="AH281" i="1" s="1"/>
  <c r="AI281" i="1" s="1"/>
  <c r="AJ281" i="1" s="1"/>
  <c r="AK281" i="1" s="1"/>
  <c r="AL281" i="1" s="1"/>
  <c r="AN281" i="1" s="1"/>
  <c r="AO281" i="1" s="1"/>
  <c r="AP281" i="1" s="1"/>
  <c r="AQ281" i="1" s="1"/>
  <c r="AR281" i="1" s="1"/>
  <c r="AT281" i="1" s="1"/>
  <c r="AU281" i="1" s="1"/>
  <c r="AV281" i="1" s="1"/>
  <c r="AW281" i="1" s="1"/>
  <c r="AX281" i="1" s="1"/>
  <c r="AZ281" i="1"/>
  <c r="BA281" i="1" s="1"/>
  <c r="BB281" i="1" s="1"/>
  <c r="BC281" i="1" s="1"/>
  <c r="BD281" i="1" s="1"/>
  <c r="BF281" i="1" s="1"/>
  <c r="BG281" i="1" s="1"/>
  <c r="BH281" i="1" s="1"/>
  <c r="BI281" i="1" s="1"/>
  <c r="BJ281" i="1" s="1"/>
  <c r="BL281" i="1" s="1"/>
  <c r="BM281" i="1" s="1"/>
  <c r="BN281" i="1" s="1"/>
  <c r="BO281" i="1" s="1"/>
  <c r="BP281" i="1" s="1"/>
  <c r="BR281" i="1" s="1"/>
  <c r="BS281" i="1" s="1"/>
  <c r="BT281" i="1" s="1"/>
  <c r="BU281" i="1" s="1"/>
  <c r="BV281" i="1" s="1"/>
  <c r="BX281" i="1" s="1"/>
  <c r="BY281" i="1" s="1"/>
  <c r="BZ281" i="1" s="1"/>
  <c r="CA281" i="1" s="1"/>
  <c r="CB281" i="1" s="1"/>
  <c r="CD281" i="1" s="1"/>
  <c r="CE281" i="1" s="1"/>
  <c r="CF281" i="1" s="1"/>
  <c r="CG281" i="1" s="1"/>
  <c r="CH281" i="1" s="1"/>
  <c r="AB282" i="1"/>
  <c r="AC282" i="1" s="1"/>
  <c r="AD282" i="1" s="1"/>
  <c r="AE282" i="1" s="1"/>
  <c r="AF282" i="1" s="1"/>
  <c r="AH282" i="1" s="1"/>
  <c r="AI282" i="1" s="1"/>
  <c r="AJ282" i="1" s="1"/>
  <c r="AK282" i="1" s="1"/>
  <c r="AL282" i="1" s="1"/>
  <c r="AN282" i="1" s="1"/>
  <c r="AO282" i="1" s="1"/>
  <c r="AP282" i="1" s="1"/>
  <c r="AQ282" i="1" s="1"/>
  <c r="AR282" i="1" s="1"/>
  <c r="AT282" i="1" s="1"/>
  <c r="AU282" i="1" s="1"/>
  <c r="AV282" i="1" s="1"/>
  <c r="AW282" i="1" s="1"/>
  <c r="AX282" i="1" s="1"/>
  <c r="AZ282" i="1"/>
  <c r="BA282" i="1" s="1"/>
  <c r="BB282" i="1" s="1"/>
  <c r="BC282" i="1" s="1"/>
  <c r="BD282" i="1" s="1"/>
  <c r="BF282" i="1" s="1"/>
  <c r="BG282" i="1" s="1"/>
  <c r="BH282" i="1" s="1"/>
  <c r="BI282" i="1" s="1"/>
  <c r="BJ282" i="1" s="1"/>
  <c r="BL282" i="1" s="1"/>
  <c r="BM282" i="1" s="1"/>
  <c r="BN282" i="1" s="1"/>
  <c r="BO282" i="1" s="1"/>
  <c r="BP282" i="1" s="1"/>
  <c r="BR282" i="1" s="1"/>
  <c r="BS282" i="1" s="1"/>
  <c r="BT282" i="1" s="1"/>
  <c r="BU282" i="1" s="1"/>
  <c r="BV282" i="1" s="1"/>
  <c r="BX282" i="1" s="1"/>
  <c r="BY282" i="1" s="1"/>
  <c r="BZ282" i="1" s="1"/>
  <c r="CA282" i="1" s="1"/>
  <c r="CB282" i="1" s="1"/>
  <c r="CD282" i="1" s="1"/>
  <c r="CE282" i="1" s="1"/>
  <c r="CF282" i="1" s="1"/>
  <c r="CG282" i="1" s="1"/>
  <c r="CH282" i="1" s="1"/>
  <c r="AB283" i="1"/>
  <c r="AC283" i="1" s="1"/>
  <c r="AD283" i="1" s="1"/>
  <c r="AE283" i="1" s="1"/>
  <c r="AF283" i="1" s="1"/>
  <c r="AH283" i="1" s="1"/>
  <c r="AI283" i="1" s="1"/>
  <c r="AJ283" i="1" s="1"/>
  <c r="AK283" i="1" s="1"/>
  <c r="AL283" i="1" s="1"/>
  <c r="AN283" i="1" s="1"/>
  <c r="AO283" i="1" s="1"/>
  <c r="AP283" i="1" s="1"/>
  <c r="AQ283" i="1" s="1"/>
  <c r="AR283" i="1" s="1"/>
  <c r="AT283" i="1" s="1"/>
  <c r="AU283" i="1" s="1"/>
  <c r="AV283" i="1" s="1"/>
  <c r="AW283" i="1" s="1"/>
  <c r="AX283" i="1" s="1"/>
  <c r="AZ283" i="1"/>
  <c r="BA283" i="1" s="1"/>
  <c r="BB283" i="1" s="1"/>
  <c r="BC283" i="1" s="1"/>
  <c r="BD283" i="1" s="1"/>
  <c r="BF283" i="1" s="1"/>
  <c r="BG283" i="1" s="1"/>
  <c r="BH283" i="1" s="1"/>
  <c r="BI283" i="1" s="1"/>
  <c r="BJ283" i="1" s="1"/>
  <c r="BL283" i="1" s="1"/>
  <c r="BM283" i="1" s="1"/>
  <c r="BN283" i="1" s="1"/>
  <c r="BO283" i="1" s="1"/>
  <c r="BP283" i="1" s="1"/>
  <c r="BR283" i="1" s="1"/>
  <c r="BS283" i="1" s="1"/>
  <c r="BT283" i="1" s="1"/>
  <c r="BU283" i="1" s="1"/>
  <c r="BV283" i="1" s="1"/>
  <c r="BX283" i="1" s="1"/>
  <c r="BY283" i="1" s="1"/>
  <c r="BZ283" i="1" s="1"/>
  <c r="CA283" i="1" s="1"/>
  <c r="CB283" i="1" s="1"/>
  <c r="CD283" i="1" s="1"/>
  <c r="CE283" i="1" s="1"/>
  <c r="CF283" i="1" s="1"/>
  <c r="CG283" i="1" s="1"/>
  <c r="CH283" i="1" s="1"/>
  <c r="AB284" i="1"/>
  <c r="AC284" i="1" s="1"/>
  <c r="AD284" i="1" s="1"/>
  <c r="AE284" i="1" s="1"/>
  <c r="AF284" i="1" s="1"/>
  <c r="AH284" i="1" s="1"/>
  <c r="AI284" i="1" s="1"/>
  <c r="AJ284" i="1" s="1"/>
  <c r="AK284" i="1" s="1"/>
  <c r="AL284" i="1" s="1"/>
  <c r="AN284" i="1" s="1"/>
  <c r="AO284" i="1" s="1"/>
  <c r="AP284" i="1" s="1"/>
  <c r="AQ284" i="1" s="1"/>
  <c r="AR284" i="1" s="1"/>
  <c r="AT284" i="1" s="1"/>
  <c r="AU284" i="1" s="1"/>
  <c r="AV284" i="1" s="1"/>
  <c r="AW284" i="1" s="1"/>
  <c r="AX284" i="1" s="1"/>
  <c r="AZ284" i="1"/>
  <c r="BA284" i="1" s="1"/>
  <c r="BB284" i="1" s="1"/>
  <c r="BC284" i="1" s="1"/>
  <c r="BD284" i="1" s="1"/>
  <c r="BF284" i="1" s="1"/>
  <c r="BG284" i="1" s="1"/>
  <c r="BH284" i="1" s="1"/>
  <c r="BI284" i="1" s="1"/>
  <c r="BJ284" i="1" s="1"/>
  <c r="BL284" i="1" s="1"/>
  <c r="BM284" i="1" s="1"/>
  <c r="BN284" i="1" s="1"/>
  <c r="BO284" i="1" s="1"/>
  <c r="BP284" i="1" s="1"/>
  <c r="BR284" i="1" s="1"/>
  <c r="BS284" i="1" s="1"/>
  <c r="BT284" i="1" s="1"/>
  <c r="BU284" i="1" s="1"/>
  <c r="BV284" i="1" s="1"/>
  <c r="BX284" i="1" s="1"/>
  <c r="BY284" i="1" s="1"/>
  <c r="BZ284" i="1" s="1"/>
  <c r="CA284" i="1" s="1"/>
  <c r="CB284" i="1" s="1"/>
  <c r="CD284" i="1" s="1"/>
  <c r="CE284" i="1" s="1"/>
  <c r="CF284" i="1" s="1"/>
  <c r="CG284" i="1" s="1"/>
  <c r="CH284" i="1" s="1"/>
  <c r="AB285" i="1"/>
  <c r="AC285" i="1" s="1"/>
  <c r="AD285" i="1" s="1"/>
  <c r="AE285" i="1" s="1"/>
  <c r="AF285" i="1" s="1"/>
  <c r="AH285" i="1" s="1"/>
  <c r="AI285" i="1" s="1"/>
  <c r="AJ285" i="1" s="1"/>
  <c r="AK285" i="1" s="1"/>
  <c r="AL285" i="1" s="1"/>
  <c r="AN285" i="1" s="1"/>
  <c r="AO285" i="1" s="1"/>
  <c r="AP285" i="1" s="1"/>
  <c r="AQ285" i="1" s="1"/>
  <c r="AR285" i="1" s="1"/>
  <c r="AT285" i="1" s="1"/>
  <c r="AU285" i="1" s="1"/>
  <c r="AV285" i="1" s="1"/>
  <c r="AW285" i="1" s="1"/>
  <c r="AX285" i="1" s="1"/>
  <c r="AZ285" i="1"/>
  <c r="BA285" i="1" s="1"/>
  <c r="BB285" i="1" s="1"/>
  <c r="BC285" i="1" s="1"/>
  <c r="BD285" i="1" s="1"/>
  <c r="BF285" i="1" s="1"/>
  <c r="BG285" i="1" s="1"/>
  <c r="BH285" i="1" s="1"/>
  <c r="BI285" i="1" s="1"/>
  <c r="BJ285" i="1" s="1"/>
  <c r="BL285" i="1" s="1"/>
  <c r="BM285" i="1" s="1"/>
  <c r="BN285" i="1" s="1"/>
  <c r="BO285" i="1" s="1"/>
  <c r="BP285" i="1" s="1"/>
  <c r="BR285" i="1" s="1"/>
  <c r="BS285" i="1" s="1"/>
  <c r="BT285" i="1" s="1"/>
  <c r="BU285" i="1" s="1"/>
  <c r="BV285" i="1" s="1"/>
  <c r="BX285" i="1" s="1"/>
  <c r="BY285" i="1" s="1"/>
  <c r="BZ285" i="1" s="1"/>
  <c r="CA285" i="1" s="1"/>
  <c r="CB285" i="1" s="1"/>
  <c r="CD285" i="1" s="1"/>
  <c r="CE285" i="1" s="1"/>
  <c r="CF285" i="1" s="1"/>
  <c r="CG285" i="1" s="1"/>
  <c r="CH285" i="1" s="1"/>
  <c r="AB286" i="1"/>
  <c r="AC286" i="1" s="1"/>
  <c r="AD286" i="1" s="1"/>
  <c r="AE286" i="1" s="1"/>
  <c r="AF286" i="1" s="1"/>
  <c r="AH286" i="1" s="1"/>
  <c r="AI286" i="1" s="1"/>
  <c r="AJ286" i="1" s="1"/>
  <c r="AK286" i="1" s="1"/>
  <c r="AL286" i="1" s="1"/>
  <c r="AN286" i="1" s="1"/>
  <c r="AO286" i="1" s="1"/>
  <c r="AP286" i="1" s="1"/>
  <c r="AQ286" i="1" s="1"/>
  <c r="AR286" i="1" s="1"/>
  <c r="AT286" i="1" s="1"/>
  <c r="AU286" i="1" s="1"/>
  <c r="AV286" i="1" s="1"/>
  <c r="AW286" i="1" s="1"/>
  <c r="AX286" i="1" s="1"/>
  <c r="AZ286" i="1"/>
  <c r="BA286" i="1" s="1"/>
  <c r="BB286" i="1" s="1"/>
  <c r="BC286" i="1" s="1"/>
  <c r="BD286" i="1" s="1"/>
  <c r="BF286" i="1" s="1"/>
  <c r="BG286" i="1" s="1"/>
  <c r="BH286" i="1" s="1"/>
  <c r="BI286" i="1" s="1"/>
  <c r="BJ286" i="1" s="1"/>
  <c r="BL286" i="1" s="1"/>
  <c r="BM286" i="1" s="1"/>
  <c r="BN286" i="1" s="1"/>
  <c r="BO286" i="1" s="1"/>
  <c r="BP286" i="1" s="1"/>
  <c r="BR286" i="1" s="1"/>
  <c r="BS286" i="1" s="1"/>
  <c r="BT286" i="1" s="1"/>
  <c r="BU286" i="1" s="1"/>
  <c r="BV286" i="1" s="1"/>
  <c r="BX286" i="1" s="1"/>
  <c r="BY286" i="1" s="1"/>
  <c r="BZ286" i="1" s="1"/>
  <c r="CA286" i="1" s="1"/>
  <c r="CB286" i="1" s="1"/>
  <c r="CD286" i="1" s="1"/>
  <c r="CE286" i="1" s="1"/>
  <c r="CF286" i="1" s="1"/>
  <c r="CG286" i="1" s="1"/>
  <c r="CH286" i="1" s="1"/>
  <c r="AB287" i="1"/>
  <c r="AC287" i="1" s="1"/>
  <c r="AD287" i="1" s="1"/>
  <c r="AE287" i="1" s="1"/>
  <c r="AF287" i="1" s="1"/>
  <c r="AH287" i="1" s="1"/>
  <c r="AI287" i="1" s="1"/>
  <c r="AJ287" i="1" s="1"/>
  <c r="AK287" i="1" s="1"/>
  <c r="AL287" i="1" s="1"/>
  <c r="AN287" i="1" s="1"/>
  <c r="AO287" i="1" s="1"/>
  <c r="AP287" i="1" s="1"/>
  <c r="AQ287" i="1" s="1"/>
  <c r="AR287" i="1" s="1"/>
  <c r="AT287" i="1" s="1"/>
  <c r="AU287" i="1" s="1"/>
  <c r="AV287" i="1" s="1"/>
  <c r="AW287" i="1" s="1"/>
  <c r="AX287" i="1" s="1"/>
  <c r="AZ287" i="1"/>
  <c r="BA287" i="1" s="1"/>
  <c r="BB287" i="1" s="1"/>
  <c r="BC287" i="1" s="1"/>
  <c r="BD287" i="1" s="1"/>
  <c r="BF287" i="1" s="1"/>
  <c r="BG287" i="1" s="1"/>
  <c r="BH287" i="1" s="1"/>
  <c r="BI287" i="1" s="1"/>
  <c r="BJ287" i="1" s="1"/>
  <c r="BL287" i="1" s="1"/>
  <c r="BM287" i="1" s="1"/>
  <c r="BN287" i="1" s="1"/>
  <c r="BO287" i="1" s="1"/>
  <c r="BP287" i="1" s="1"/>
  <c r="BR287" i="1" s="1"/>
  <c r="BS287" i="1" s="1"/>
  <c r="BT287" i="1" s="1"/>
  <c r="BU287" i="1" s="1"/>
  <c r="BV287" i="1" s="1"/>
  <c r="BX287" i="1" s="1"/>
  <c r="BY287" i="1" s="1"/>
  <c r="BZ287" i="1" s="1"/>
  <c r="CA287" i="1" s="1"/>
  <c r="CB287" i="1" s="1"/>
  <c r="CD287" i="1" s="1"/>
  <c r="CE287" i="1" s="1"/>
  <c r="CF287" i="1" s="1"/>
  <c r="CG287" i="1" s="1"/>
  <c r="CH287" i="1" s="1"/>
  <c r="AB288" i="1"/>
  <c r="AC288" i="1" s="1"/>
  <c r="AD288" i="1" s="1"/>
  <c r="AE288" i="1" s="1"/>
  <c r="AF288" i="1" s="1"/>
  <c r="AH288" i="1" s="1"/>
  <c r="AI288" i="1" s="1"/>
  <c r="AJ288" i="1" s="1"/>
  <c r="AK288" i="1" s="1"/>
  <c r="AL288" i="1" s="1"/>
  <c r="AN288" i="1" s="1"/>
  <c r="AO288" i="1" s="1"/>
  <c r="AP288" i="1" s="1"/>
  <c r="AQ288" i="1" s="1"/>
  <c r="AR288" i="1" s="1"/>
  <c r="AT288" i="1" s="1"/>
  <c r="AU288" i="1" s="1"/>
  <c r="AV288" i="1" s="1"/>
  <c r="AW288" i="1" s="1"/>
  <c r="AX288" i="1" s="1"/>
  <c r="AZ288" i="1"/>
  <c r="BA288" i="1" s="1"/>
  <c r="BB288" i="1" s="1"/>
  <c r="BC288" i="1" s="1"/>
  <c r="BD288" i="1" s="1"/>
  <c r="BF288" i="1" s="1"/>
  <c r="BG288" i="1" s="1"/>
  <c r="BH288" i="1" s="1"/>
  <c r="BI288" i="1" s="1"/>
  <c r="BJ288" i="1" s="1"/>
  <c r="BL288" i="1" s="1"/>
  <c r="BM288" i="1" s="1"/>
  <c r="BN288" i="1" s="1"/>
  <c r="BO288" i="1" s="1"/>
  <c r="BP288" i="1" s="1"/>
  <c r="BR288" i="1" s="1"/>
  <c r="BS288" i="1" s="1"/>
  <c r="BT288" i="1" s="1"/>
  <c r="BU288" i="1" s="1"/>
  <c r="BV288" i="1" s="1"/>
  <c r="BX288" i="1" s="1"/>
  <c r="BY288" i="1" s="1"/>
  <c r="BZ288" i="1" s="1"/>
  <c r="CA288" i="1" s="1"/>
  <c r="CB288" i="1" s="1"/>
  <c r="CD288" i="1" s="1"/>
  <c r="CE288" i="1" s="1"/>
  <c r="CF288" i="1" s="1"/>
  <c r="CG288" i="1" s="1"/>
  <c r="CH288" i="1" s="1"/>
  <c r="AB289" i="1"/>
  <c r="AC289" i="1" s="1"/>
  <c r="AD289" i="1" s="1"/>
  <c r="AE289" i="1" s="1"/>
  <c r="AF289" i="1" s="1"/>
  <c r="AH289" i="1" s="1"/>
  <c r="AI289" i="1" s="1"/>
  <c r="AJ289" i="1" s="1"/>
  <c r="AK289" i="1" s="1"/>
  <c r="AL289" i="1" s="1"/>
  <c r="AN289" i="1" s="1"/>
  <c r="AO289" i="1" s="1"/>
  <c r="AP289" i="1" s="1"/>
  <c r="AQ289" i="1" s="1"/>
  <c r="AR289" i="1" s="1"/>
  <c r="AT289" i="1" s="1"/>
  <c r="AU289" i="1" s="1"/>
  <c r="AV289" i="1" s="1"/>
  <c r="AW289" i="1" s="1"/>
  <c r="AX289" i="1" s="1"/>
  <c r="AZ289" i="1"/>
  <c r="BA289" i="1" s="1"/>
  <c r="BB289" i="1" s="1"/>
  <c r="BC289" i="1" s="1"/>
  <c r="BD289" i="1" s="1"/>
  <c r="BF289" i="1" s="1"/>
  <c r="BG289" i="1" s="1"/>
  <c r="BH289" i="1" s="1"/>
  <c r="BI289" i="1" s="1"/>
  <c r="BJ289" i="1" s="1"/>
  <c r="BL289" i="1" s="1"/>
  <c r="BM289" i="1" s="1"/>
  <c r="BN289" i="1" s="1"/>
  <c r="BO289" i="1" s="1"/>
  <c r="BP289" i="1" s="1"/>
  <c r="BR289" i="1" s="1"/>
  <c r="BS289" i="1" s="1"/>
  <c r="BT289" i="1" s="1"/>
  <c r="BU289" i="1" s="1"/>
  <c r="BV289" i="1" s="1"/>
  <c r="BX289" i="1" s="1"/>
  <c r="BY289" i="1" s="1"/>
  <c r="BZ289" i="1" s="1"/>
  <c r="CA289" i="1" s="1"/>
  <c r="CB289" i="1" s="1"/>
  <c r="CD289" i="1" s="1"/>
  <c r="CE289" i="1" s="1"/>
  <c r="CF289" i="1" s="1"/>
  <c r="CG289" i="1" s="1"/>
  <c r="CH289" i="1" s="1"/>
  <c r="AB290" i="1"/>
  <c r="AC290" i="1" s="1"/>
  <c r="AD290" i="1" s="1"/>
  <c r="AE290" i="1" s="1"/>
  <c r="AF290" i="1" s="1"/>
  <c r="AH290" i="1" s="1"/>
  <c r="AI290" i="1" s="1"/>
  <c r="AJ290" i="1" s="1"/>
  <c r="AK290" i="1" s="1"/>
  <c r="AL290" i="1" s="1"/>
  <c r="AN290" i="1" s="1"/>
  <c r="AO290" i="1" s="1"/>
  <c r="AP290" i="1" s="1"/>
  <c r="AQ290" i="1" s="1"/>
  <c r="AR290" i="1" s="1"/>
  <c r="AT290" i="1" s="1"/>
  <c r="AU290" i="1" s="1"/>
  <c r="AV290" i="1" s="1"/>
  <c r="AW290" i="1" s="1"/>
  <c r="AX290" i="1" s="1"/>
  <c r="AZ290" i="1"/>
  <c r="BA290" i="1" s="1"/>
  <c r="BB290" i="1" s="1"/>
  <c r="BC290" i="1" s="1"/>
  <c r="BD290" i="1" s="1"/>
  <c r="BF290" i="1" s="1"/>
  <c r="BG290" i="1" s="1"/>
  <c r="BH290" i="1" s="1"/>
  <c r="BI290" i="1" s="1"/>
  <c r="BJ290" i="1" s="1"/>
  <c r="BL290" i="1" s="1"/>
  <c r="BM290" i="1" s="1"/>
  <c r="BN290" i="1" s="1"/>
  <c r="BO290" i="1" s="1"/>
  <c r="BP290" i="1" s="1"/>
  <c r="BR290" i="1" s="1"/>
  <c r="BS290" i="1" s="1"/>
  <c r="BT290" i="1" s="1"/>
  <c r="BU290" i="1" s="1"/>
  <c r="BV290" i="1" s="1"/>
  <c r="BX290" i="1" s="1"/>
  <c r="BY290" i="1" s="1"/>
  <c r="BZ290" i="1" s="1"/>
  <c r="CA290" i="1" s="1"/>
  <c r="CB290" i="1" s="1"/>
  <c r="CD290" i="1" s="1"/>
  <c r="CE290" i="1" s="1"/>
  <c r="CF290" i="1" s="1"/>
  <c r="CG290" i="1" s="1"/>
  <c r="CH290" i="1" s="1"/>
  <c r="AB291" i="1"/>
  <c r="AC291" i="1" s="1"/>
  <c r="AD291" i="1" s="1"/>
  <c r="AE291" i="1" s="1"/>
  <c r="AF291" i="1" s="1"/>
  <c r="AH291" i="1" s="1"/>
  <c r="AI291" i="1" s="1"/>
  <c r="AJ291" i="1" s="1"/>
  <c r="AK291" i="1" s="1"/>
  <c r="AL291" i="1" s="1"/>
  <c r="AN291" i="1" s="1"/>
  <c r="AO291" i="1" s="1"/>
  <c r="AP291" i="1" s="1"/>
  <c r="AQ291" i="1" s="1"/>
  <c r="AR291" i="1" s="1"/>
  <c r="AT291" i="1" s="1"/>
  <c r="AU291" i="1" s="1"/>
  <c r="AV291" i="1" s="1"/>
  <c r="AW291" i="1" s="1"/>
  <c r="AX291" i="1" s="1"/>
  <c r="AZ291" i="1"/>
  <c r="BA291" i="1" s="1"/>
  <c r="BB291" i="1" s="1"/>
  <c r="BC291" i="1" s="1"/>
  <c r="BD291" i="1" s="1"/>
  <c r="BF291" i="1" s="1"/>
  <c r="BG291" i="1" s="1"/>
  <c r="BH291" i="1" s="1"/>
  <c r="BI291" i="1" s="1"/>
  <c r="BJ291" i="1" s="1"/>
  <c r="BL291" i="1" s="1"/>
  <c r="BM291" i="1" s="1"/>
  <c r="BN291" i="1" s="1"/>
  <c r="BO291" i="1" s="1"/>
  <c r="BP291" i="1" s="1"/>
  <c r="BR291" i="1" s="1"/>
  <c r="BS291" i="1" s="1"/>
  <c r="BT291" i="1" s="1"/>
  <c r="BU291" i="1" s="1"/>
  <c r="BV291" i="1" s="1"/>
  <c r="BX291" i="1" s="1"/>
  <c r="BY291" i="1" s="1"/>
  <c r="BZ291" i="1" s="1"/>
  <c r="CA291" i="1" s="1"/>
  <c r="CB291" i="1" s="1"/>
  <c r="CD291" i="1" s="1"/>
  <c r="CE291" i="1" s="1"/>
  <c r="CF291" i="1" s="1"/>
  <c r="CG291" i="1" s="1"/>
  <c r="CH291" i="1" s="1"/>
  <c r="AB292" i="1"/>
  <c r="AC292" i="1" s="1"/>
  <c r="AD292" i="1" s="1"/>
  <c r="AE292" i="1" s="1"/>
  <c r="AF292" i="1" s="1"/>
  <c r="AH292" i="1" s="1"/>
  <c r="AI292" i="1" s="1"/>
  <c r="AJ292" i="1" s="1"/>
  <c r="AK292" i="1" s="1"/>
  <c r="AL292" i="1" s="1"/>
  <c r="AN292" i="1" s="1"/>
  <c r="AO292" i="1" s="1"/>
  <c r="AP292" i="1" s="1"/>
  <c r="AQ292" i="1" s="1"/>
  <c r="AR292" i="1" s="1"/>
  <c r="AT292" i="1" s="1"/>
  <c r="AU292" i="1" s="1"/>
  <c r="AV292" i="1" s="1"/>
  <c r="AW292" i="1" s="1"/>
  <c r="AX292" i="1" s="1"/>
  <c r="AZ292" i="1"/>
  <c r="BA292" i="1" s="1"/>
  <c r="BB292" i="1" s="1"/>
  <c r="BC292" i="1" s="1"/>
  <c r="BD292" i="1" s="1"/>
  <c r="BF292" i="1" s="1"/>
  <c r="BG292" i="1" s="1"/>
  <c r="BH292" i="1" s="1"/>
  <c r="BI292" i="1" s="1"/>
  <c r="BJ292" i="1" s="1"/>
  <c r="BL292" i="1" s="1"/>
  <c r="BM292" i="1" s="1"/>
  <c r="BN292" i="1" s="1"/>
  <c r="BO292" i="1" s="1"/>
  <c r="BP292" i="1" s="1"/>
  <c r="BR292" i="1" s="1"/>
  <c r="BS292" i="1" s="1"/>
  <c r="BT292" i="1" s="1"/>
  <c r="BU292" i="1" s="1"/>
  <c r="BV292" i="1" s="1"/>
  <c r="BX292" i="1" s="1"/>
  <c r="BY292" i="1" s="1"/>
  <c r="BZ292" i="1" s="1"/>
  <c r="CA292" i="1" s="1"/>
  <c r="CB292" i="1" s="1"/>
  <c r="CD292" i="1" s="1"/>
  <c r="CE292" i="1" s="1"/>
  <c r="CF292" i="1" s="1"/>
  <c r="CG292" i="1" s="1"/>
  <c r="CH292" i="1" s="1"/>
  <c r="AB293" i="1"/>
  <c r="AC293" i="1" s="1"/>
  <c r="AD293" i="1" s="1"/>
  <c r="AE293" i="1" s="1"/>
  <c r="AF293" i="1" s="1"/>
  <c r="AH293" i="1" s="1"/>
  <c r="AI293" i="1" s="1"/>
  <c r="AJ293" i="1" s="1"/>
  <c r="AK293" i="1" s="1"/>
  <c r="AL293" i="1" s="1"/>
  <c r="AN293" i="1" s="1"/>
  <c r="AO293" i="1" s="1"/>
  <c r="AP293" i="1" s="1"/>
  <c r="AQ293" i="1" s="1"/>
  <c r="AR293" i="1" s="1"/>
  <c r="AT293" i="1" s="1"/>
  <c r="AU293" i="1" s="1"/>
  <c r="AV293" i="1" s="1"/>
  <c r="AW293" i="1" s="1"/>
  <c r="AX293" i="1" s="1"/>
  <c r="AZ293" i="1"/>
  <c r="BA293" i="1" s="1"/>
  <c r="BB293" i="1" s="1"/>
  <c r="BC293" i="1" s="1"/>
  <c r="BD293" i="1" s="1"/>
  <c r="BF293" i="1" s="1"/>
  <c r="BG293" i="1" s="1"/>
  <c r="BH293" i="1" s="1"/>
  <c r="BI293" i="1" s="1"/>
  <c r="BJ293" i="1" s="1"/>
  <c r="BL293" i="1" s="1"/>
  <c r="BM293" i="1" s="1"/>
  <c r="BN293" i="1" s="1"/>
  <c r="BO293" i="1" s="1"/>
  <c r="BP293" i="1" s="1"/>
  <c r="BR293" i="1" s="1"/>
  <c r="BS293" i="1" s="1"/>
  <c r="BT293" i="1" s="1"/>
  <c r="BU293" i="1" s="1"/>
  <c r="BV293" i="1" s="1"/>
  <c r="BX293" i="1" s="1"/>
  <c r="BY293" i="1" s="1"/>
  <c r="BZ293" i="1" s="1"/>
  <c r="CA293" i="1" s="1"/>
  <c r="CB293" i="1" s="1"/>
  <c r="CD293" i="1" s="1"/>
  <c r="CE293" i="1" s="1"/>
  <c r="CF293" i="1" s="1"/>
  <c r="CG293" i="1" s="1"/>
  <c r="CH293" i="1" s="1"/>
  <c r="AB294" i="1"/>
  <c r="AC294" i="1" s="1"/>
  <c r="AD294" i="1" s="1"/>
  <c r="AE294" i="1" s="1"/>
  <c r="AF294" i="1" s="1"/>
  <c r="AH294" i="1" s="1"/>
  <c r="AI294" i="1" s="1"/>
  <c r="AJ294" i="1" s="1"/>
  <c r="AK294" i="1" s="1"/>
  <c r="AL294" i="1" s="1"/>
  <c r="AN294" i="1" s="1"/>
  <c r="AO294" i="1" s="1"/>
  <c r="AP294" i="1" s="1"/>
  <c r="AQ294" i="1" s="1"/>
  <c r="AR294" i="1" s="1"/>
  <c r="AT294" i="1" s="1"/>
  <c r="AU294" i="1" s="1"/>
  <c r="AV294" i="1" s="1"/>
  <c r="AW294" i="1" s="1"/>
  <c r="AX294" i="1" s="1"/>
  <c r="AZ294" i="1"/>
  <c r="BA294" i="1" s="1"/>
  <c r="BB294" i="1" s="1"/>
  <c r="BC294" i="1" s="1"/>
  <c r="BD294" i="1" s="1"/>
  <c r="BF294" i="1" s="1"/>
  <c r="BG294" i="1" s="1"/>
  <c r="BH294" i="1" s="1"/>
  <c r="BI294" i="1" s="1"/>
  <c r="BJ294" i="1" s="1"/>
  <c r="BL294" i="1" s="1"/>
  <c r="BM294" i="1" s="1"/>
  <c r="BN294" i="1" s="1"/>
  <c r="BO294" i="1" s="1"/>
  <c r="BP294" i="1" s="1"/>
  <c r="BR294" i="1" s="1"/>
  <c r="BS294" i="1" s="1"/>
  <c r="BT294" i="1" s="1"/>
  <c r="BU294" i="1" s="1"/>
  <c r="BV294" i="1" s="1"/>
  <c r="BX294" i="1" s="1"/>
  <c r="BY294" i="1" s="1"/>
  <c r="BZ294" i="1" s="1"/>
  <c r="CA294" i="1" s="1"/>
  <c r="CB294" i="1" s="1"/>
  <c r="CD294" i="1" s="1"/>
  <c r="CE294" i="1" s="1"/>
  <c r="CF294" i="1" s="1"/>
  <c r="CG294" i="1" s="1"/>
  <c r="CH294" i="1" s="1"/>
  <c r="AB295" i="1"/>
  <c r="AC295" i="1" s="1"/>
  <c r="AD295" i="1" s="1"/>
  <c r="AE295" i="1" s="1"/>
  <c r="AF295" i="1" s="1"/>
  <c r="AH295" i="1" s="1"/>
  <c r="AI295" i="1" s="1"/>
  <c r="AJ295" i="1" s="1"/>
  <c r="AK295" i="1" s="1"/>
  <c r="AL295" i="1" s="1"/>
  <c r="AN295" i="1" s="1"/>
  <c r="AO295" i="1" s="1"/>
  <c r="AP295" i="1" s="1"/>
  <c r="AQ295" i="1" s="1"/>
  <c r="AR295" i="1" s="1"/>
  <c r="AT295" i="1" s="1"/>
  <c r="AU295" i="1" s="1"/>
  <c r="AV295" i="1" s="1"/>
  <c r="AW295" i="1" s="1"/>
  <c r="AX295" i="1" s="1"/>
  <c r="AZ295" i="1"/>
  <c r="BA295" i="1" s="1"/>
  <c r="BB295" i="1" s="1"/>
  <c r="BC295" i="1" s="1"/>
  <c r="BD295" i="1" s="1"/>
  <c r="BF295" i="1" s="1"/>
  <c r="BG295" i="1" s="1"/>
  <c r="BH295" i="1" s="1"/>
  <c r="BI295" i="1" s="1"/>
  <c r="BJ295" i="1" s="1"/>
  <c r="BL295" i="1" s="1"/>
  <c r="BM295" i="1" s="1"/>
  <c r="BN295" i="1" s="1"/>
  <c r="BO295" i="1" s="1"/>
  <c r="BP295" i="1" s="1"/>
  <c r="BR295" i="1" s="1"/>
  <c r="BS295" i="1" s="1"/>
  <c r="BT295" i="1" s="1"/>
  <c r="BU295" i="1" s="1"/>
  <c r="BV295" i="1" s="1"/>
  <c r="BX295" i="1" s="1"/>
  <c r="BY295" i="1" s="1"/>
  <c r="BZ295" i="1" s="1"/>
  <c r="CA295" i="1" s="1"/>
  <c r="CB295" i="1" s="1"/>
  <c r="CD295" i="1" s="1"/>
  <c r="CE295" i="1" s="1"/>
  <c r="CF295" i="1" s="1"/>
  <c r="CG295" i="1" s="1"/>
  <c r="CH295" i="1" s="1"/>
  <c r="AB296" i="1"/>
  <c r="AC296" i="1" s="1"/>
  <c r="AD296" i="1" s="1"/>
  <c r="AE296" i="1" s="1"/>
  <c r="AF296" i="1" s="1"/>
  <c r="AH296" i="1" s="1"/>
  <c r="AI296" i="1" s="1"/>
  <c r="AJ296" i="1" s="1"/>
  <c r="AK296" i="1" s="1"/>
  <c r="AL296" i="1" s="1"/>
  <c r="AN296" i="1" s="1"/>
  <c r="AO296" i="1" s="1"/>
  <c r="AP296" i="1" s="1"/>
  <c r="AQ296" i="1" s="1"/>
  <c r="AR296" i="1" s="1"/>
  <c r="AT296" i="1" s="1"/>
  <c r="AU296" i="1" s="1"/>
  <c r="AV296" i="1" s="1"/>
  <c r="AW296" i="1" s="1"/>
  <c r="AX296" i="1" s="1"/>
  <c r="AZ296" i="1"/>
  <c r="BA296" i="1" s="1"/>
  <c r="BB296" i="1" s="1"/>
  <c r="BC296" i="1" s="1"/>
  <c r="BD296" i="1" s="1"/>
  <c r="BF296" i="1" s="1"/>
  <c r="BG296" i="1" s="1"/>
  <c r="BH296" i="1" s="1"/>
  <c r="BI296" i="1" s="1"/>
  <c r="BJ296" i="1" s="1"/>
  <c r="BL296" i="1" s="1"/>
  <c r="BM296" i="1" s="1"/>
  <c r="BN296" i="1" s="1"/>
  <c r="BO296" i="1" s="1"/>
  <c r="BP296" i="1" s="1"/>
  <c r="BR296" i="1" s="1"/>
  <c r="BS296" i="1" s="1"/>
  <c r="BT296" i="1" s="1"/>
  <c r="BU296" i="1" s="1"/>
  <c r="BV296" i="1" s="1"/>
  <c r="BX296" i="1" s="1"/>
  <c r="BY296" i="1" s="1"/>
  <c r="BZ296" i="1" s="1"/>
  <c r="CA296" i="1" s="1"/>
  <c r="CB296" i="1" s="1"/>
  <c r="CD296" i="1" s="1"/>
  <c r="CE296" i="1" s="1"/>
  <c r="CF296" i="1" s="1"/>
  <c r="CG296" i="1" s="1"/>
  <c r="CH296" i="1" s="1"/>
  <c r="AB297" i="1"/>
  <c r="AC297" i="1" s="1"/>
  <c r="AD297" i="1" s="1"/>
  <c r="AE297" i="1" s="1"/>
  <c r="AF297" i="1" s="1"/>
  <c r="AH297" i="1" s="1"/>
  <c r="AI297" i="1" s="1"/>
  <c r="AJ297" i="1" s="1"/>
  <c r="AK297" i="1" s="1"/>
  <c r="AL297" i="1" s="1"/>
  <c r="AN297" i="1" s="1"/>
  <c r="AO297" i="1" s="1"/>
  <c r="AP297" i="1" s="1"/>
  <c r="AQ297" i="1" s="1"/>
  <c r="AR297" i="1" s="1"/>
  <c r="AT297" i="1" s="1"/>
  <c r="AU297" i="1" s="1"/>
  <c r="AV297" i="1" s="1"/>
  <c r="AW297" i="1" s="1"/>
  <c r="AX297" i="1" s="1"/>
  <c r="AZ297" i="1"/>
  <c r="BA297" i="1" s="1"/>
  <c r="BB297" i="1" s="1"/>
  <c r="BC297" i="1" s="1"/>
  <c r="BD297" i="1" s="1"/>
  <c r="BF297" i="1" s="1"/>
  <c r="BG297" i="1" s="1"/>
  <c r="BH297" i="1" s="1"/>
  <c r="BI297" i="1" s="1"/>
  <c r="BJ297" i="1" s="1"/>
  <c r="BL297" i="1" s="1"/>
  <c r="BM297" i="1" s="1"/>
  <c r="BN297" i="1" s="1"/>
  <c r="BO297" i="1" s="1"/>
  <c r="BP297" i="1" s="1"/>
  <c r="BR297" i="1" s="1"/>
  <c r="BS297" i="1" s="1"/>
  <c r="BT297" i="1" s="1"/>
  <c r="BU297" i="1" s="1"/>
  <c r="BV297" i="1" s="1"/>
  <c r="BX297" i="1" s="1"/>
  <c r="BY297" i="1" s="1"/>
  <c r="BZ297" i="1" s="1"/>
  <c r="CA297" i="1" s="1"/>
  <c r="CB297" i="1" s="1"/>
  <c r="CD297" i="1" s="1"/>
  <c r="CE297" i="1" s="1"/>
  <c r="CF297" i="1" s="1"/>
  <c r="CG297" i="1" s="1"/>
  <c r="CH297" i="1" s="1"/>
  <c r="AB298" i="1"/>
  <c r="AC298" i="1" s="1"/>
  <c r="AD298" i="1" s="1"/>
  <c r="AE298" i="1" s="1"/>
  <c r="AF298" i="1" s="1"/>
  <c r="AH298" i="1" s="1"/>
  <c r="AI298" i="1" s="1"/>
  <c r="AJ298" i="1" s="1"/>
  <c r="AK298" i="1" s="1"/>
  <c r="AL298" i="1" s="1"/>
  <c r="AN298" i="1" s="1"/>
  <c r="AO298" i="1" s="1"/>
  <c r="AP298" i="1" s="1"/>
  <c r="AQ298" i="1" s="1"/>
  <c r="AR298" i="1" s="1"/>
  <c r="AT298" i="1" s="1"/>
  <c r="AU298" i="1" s="1"/>
  <c r="AV298" i="1" s="1"/>
  <c r="AW298" i="1" s="1"/>
  <c r="AX298" i="1" s="1"/>
  <c r="AZ298" i="1"/>
  <c r="BA298" i="1" s="1"/>
  <c r="BB298" i="1" s="1"/>
  <c r="BC298" i="1" s="1"/>
  <c r="BD298" i="1" s="1"/>
  <c r="BF298" i="1" s="1"/>
  <c r="BG298" i="1" s="1"/>
  <c r="BH298" i="1" s="1"/>
  <c r="BI298" i="1" s="1"/>
  <c r="BJ298" i="1" s="1"/>
  <c r="BL298" i="1" s="1"/>
  <c r="BM298" i="1" s="1"/>
  <c r="BN298" i="1" s="1"/>
  <c r="BO298" i="1" s="1"/>
  <c r="BP298" i="1" s="1"/>
  <c r="BR298" i="1" s="1"/>
  <c r="BS298" i="1" s="1"/>
  <c r="BT298" i="1" s="1"/>
  <c r="BU298" i="1" s="1"/>
  <c r="BV298" i="1" s="1"/>
  <c r="BX298" i="1" s="1"/>
  <c r="BY298" i="1" s="1"/>
  <c r="BZ298" i="1" s="1"/>
  <c r="CA298" i="1" s="1"/>
  <c r="CB298" i="1" s="1"/>
  <c r="CD298" i="1" s="1"/>
  <c r="CE298" i="1" s="1"/>
  <c r="CF298" i="1" s="1"/>
  <c r="CG298" i="1" s="1"/>
  <c r="CH298" i="1" s="1"/>
  <c r="AB299" i="1"/>
  <c r="AC299" i="1" s="1"/>
  <c r="AD299" i="1" s="1"/>
  <c r="AE299" i="1" s="1"/>
  <c r="AF299" i="1" s="1"/>
  <c r="AH299" i="1" s="1"/>
  <c r="AI299" i="1" s="1"/>
  <c r="AJ299" i="1" s="1"/>
  <c r="AK299" i="1" s="1"/>
  <c r="AL299" i="1" s="1"/>
  <c r="AN299" i="1" s="1"/>
  <c r="AO299" i="1" s="1"/>
  <c r="AP299" i="1" s="1"/>
  <c r="AQ299" i="1" s="1"/>
  <c r="AR299" i="1" s="1"/>
  <c r="AT299" i="1" s="1"/>
  <c r="AU299" i="1" s="1"/>
  <c r="AV299" i="1" s="1"/>
  <c r="AW299" i="1" s="1"/>
  <c r="AX299" i="1" s="1"/>
  <c r="AZ299" i="1"/>
  <c r="BA299" i="1" s="1"/>
  <c r="BB299" i="1" s="1"/>
  <c r="BC299" i="1" s="1"/>
  <c r="BD299" i="1" s="1"/>
  <c r="BF299" i="1" s="1"/>
  <c r="BG299" i="1" s="1"/>
  <c r="BH299" i="1" s="1"/>
  <c r="BI299" i="1" s="1"/>
  <c r="BJ299" i="1" s="1"/>
  <c r="BL299" i="1" s="1"/>
  <c r="BM299" i="1" s="1"/>
  <c r="BN299" i="1" s="1"/>
  <c r="BO299" i="1" s="1"/>
  <c r="BP299" i="1" s="1"/>
  <c r="BR299" i="1" s="1"/>
  <c r="BS299" i="1" s="1"/>
  <c r="BT299" i="1" s="1"/>
  <c r="BU299" i="1" s="1"/>
  <c r="BV299" i="1" s="1"/>
  <c r="BX299" i="1" s="1"/>
  <c r="BY299" i="1" s="1"/>
  <c r="BZ299" i="1" s="1"/>
  <c r="CA299" i="1" s="1"/>
  <c r="CB299" i="1" s="1"/>
  <c r="CD299" i="1" s="1"/>
  <c r="CE299" i="1" s="1"/>
  <c r="CF299" i="1" s="1"/>
  <c r="CG299" i="1" s="1"/>
  <c r="CH299" i="1" s="1"/>
  <c r="AB300" i="1"/>
  <c r="AC300" i="1" s="1"/>
  <c r="AD300" i="1" s="1"/>
  <c r="AE300" i="1" s="1"/>
  <c r="AF300" i="1" s="1"/>
  <c r="AH300" i="1" s="1"/>
  <c r="AI300" i="1" s="1"/>
  <c r="AJ300" i="1" s="1"/>
  <c r="AK300" i="1" s="1"/>
  <c r="AL300" i="1" s="1"/>
  <c r="AN300" i="1" s="1"/>
  <c r="AO300" i="1" s="1"/>
  <c r="AP300" i="1" s="1"/>
  <c r="AQ300" i="1" s="1"/>
  <c r="AR300" i="1" s="1"/>
  <c r="AT300" i="1" s="1"/>
  <c r="AU300" i="1" s="1"/>
  <c r="AV300" i="1" s="1"/>
  <c r="AW300" i="1" s="1"/>
  <c r="AX300" i="1" s="1"/>
  <c r="AZ300" i="1"/>
  <c r="BA300" i="1" s="1"/>
  <c r="BB300" i="1" s="1"/>
  <c r="BC300" i="1" s="1"/>
  <c r="BD300" i="1" s="1"/>
  <c r="BF300" i="1" s="1"/>
  <c r="BG300" i="1" s="1"/>
  <c r="BH300" i="1" s="1"/>
  <c r="BI300" i="1" s="1"/>
  <c r="BJ300" i="1" s="1"/>
  <c r="BL300" i="1" s="1"/>
  <c r="BM300" i="1" s="1"/>
  <c r="BN300" i="1" s="1"/>
  <c r="BO300" i="1" s="1"/>
  <c r="BP300" i="1" s="1"/>
  <c r="BR300" i="1" s="1"/>
  <c r="BS300" i="1" s="1"/>
  <c r="BT300" i="1" s="1"/>
  <c r="BU300" i="1" s="1"/>
  <c r="BV300" i="1" s="1"/>
  <c r="BX300" i="1" s="1"/>
  <c r="BY300" i="1" s="1"/>
  <c r="BZ300" i="1" s="1"/>
  <c r="CA300" i="1" s="1"/>
  <c r="CB300" i="1" s="1"/>
  <c r="CD300" i="1" s="1"/>
  <c r="CE300" i="1" s="1"/>
  <c r="CF300" i="1" s="1"/>
  <c r="CG300" i="1" s="1"/>
  <c r="CH300" i="1" s="1"/>
  <c r="AB301" i="1"/>
  <c r="AC301" i="1" s="1"/>
  <c r="AD301" i="1" s="1"/>
  <c r="AE301" i="1" s="1"/>
  <c r="AF301" i="1" s="1"/>
  <c r="AH301" i="1" s="1"/>
  <c r="AI301" i="1" s="1"/>
  <c r="AJ301" i="1" s="1"/>
  <c r="AK301" i="1" s="1"/>
  <c r="AL301" i="1" s="1"/>
  <c r="AN301" i="1" s="1"/>
  <c r="AO301" i="1" s="1"/>
  <c r="AP301" i="1" s="1"/>
  <c r="AQ301" i="1" s="1"/>
  <c r="AR301" i="1" s="1"/>
  <c r="AT301" i="1" s="1"/>
  <c r="AU301" i="1" s="1"/>
  <c r="AV301" i="1" s="1"/>
  <c r="AW301" i="1" s="1"/>
  <c r="AX301" i="1" s="1"/>
  <c r="AZ301" i="1"/>
  <c r="BA301" i="1" s="1"/>
  <c r="BB301" i="1" s="1"/>
  <c r="BC301" i="1" s="1"/>
  <c r="BD301" i="1" s="1"/>
  <c r="BF301" i="1" s="1"/>
  <c r="BG301" i="1" s="1"/>
  <c r="BH301" i="1" s="1"/>
  <c r="BI301" i="1" s="1"/>
  <c r="BJ301" i="1" s="1"/>
  <c r="BL301" i="1" s="1"/>
  <c r="BM301" i="1" s="1"/>
  <c r="BN301" i="1" s="1"/>
  <c r="BO301" i="1" s="1"/>
  <c r="BP301" i="1" s="1"/>
  <c r="BR301" i="1" s="1"/>
  <c r="BS301" i="1" s="1"/>
  <c r="BT301" i="1" s="1"/>
  <c r="BU301" i="1" s="1"/>
  <c r="BV301" i="1" s="1"/>
  <c r="BX301" i="1" s="1"/>
  <c r="BY301" i="1" s="1"/>
  <c r="BZ301" i="1" s="1"/>
  <c r="CA301" i="1" s="1"/>
  <c r="CB301" i="1" s="1"/>
  <c r="CD301" i="1" s="1"/>
  <c r="CE301" i="1" s="1"/>
  <c r="CF301" i="1" s="1"/>
  <c r="CG301" i="1" s="1"/>
  <c r="CH301" i="1" s="1"/>
  <c r="AB302" i="1"/>
  <c r="AC302" i="1" s="1"/>
  <c r="AD302" i="1" s="1"/>
  <c r="AE302" i="1" s="1"/>
  <c r="AF302" i="1" s="1"/>
  <c r="AH302" i="1" s="1"/>
  <c r="AI302" i="1" s="1"/>
  <c r="AJ302" i="1" s="1"/>
  <c r="AK302" i="1" s="1"/>
  <c r="AL302" i="1" s="1"/>
  <c r="AN302" i="1" s="1"/>
  <c r="AO302" i="1" s="1"/>
  <c r="AP302" i="1" s="1"/>
  <c r="AQ302" i="1" s="1"/>
  <c r="AR302" i="1" s="1"/>
  <c r="AT302" i="1" s="1"/>
  <c r="AU302" i="1" s="1"/>
  <c r="AV302" i="1" s="1"/>
  <c r="AW302" i="1" s="1"/>
  <c r="AX302" i="1" s="1"/>
  <c r="AZ302" i="1"/>
  <c r="BA302" i="1" s="1"/>
  <c r="BB302" i="1" s="1"/>
  <c r="BC302" i="1" s="1"/>
  <c r="BD302" i="1" s="1"/>
  <c r="BF302" i="1" s="1"/>
  <c r="BG302" i="1" s="1"/>
  <c r="BH302" i="1" s="1"/>
  <c r="BI302" i="1" s="1"/>
  <c r="BJ302" i="1" s="1"/>
  <c r="BL302" i="1" s="1"/>
  <c r="BM302" i="1" s="1"/>
  <c r="BN302" i="1" s="1"/>
  <c r="BO302" i="1" s="1"/>
  <c r="BP302" i="1" s="1"/>
  <c r="BR302" i="1" s="1"/>
  <c r="BS302" i="1" s="1"/>
  <c r="BT302" i="1" s="1"/>
  <c r="BU302" i="1" s="1"/>
  <c r="BV302" i="1" s="1"/>
  <c r="BX302" i="1" s="1"/>
  <c r="BY302" i="1" s="1"/>
  <c r="BZ302" i="1" s="1"/>
  <c r="CA302" i="1" s="1"/>
  <c r="CB302" i="1" s="1"/>
  <c r="CD302" i="1" s="1"/>
  <c r="CE302" i="1" s="1"/>
  <c r="CF302" i="1" s="1"/>
  <c r="CG302" i="1" s="1"/>
  <c r="CH302" i="1" s="1"/>
  <c r="AB303" i="1"/>
  <c r="AC303" i="1" s="1"/>
  <c r="AD303" i="1" s="1"/>
  <c r="AE303" i="1" s="1"/>
  <c r="AF303" i="1" s="1"/>
  <c r="AH303" i="1" s="1"/>
  <c r="AI303" i="1" s="1"/>
  <c r="AJ303" i="1" s="1"/>
  <c r="AK303" i="1" s="1"/>
  <c r="AL303" i="1" s="1"/>
  <c r="AN303" i="1" s="1"/>
  <c r="AO303" i="1" s="1"/>
  <c r="AP303" i="1" s="1"/>
  <c r="AQ303" i="1" s="1"/>
  <c r="AR303" i="1" s="1"/>
  <c r="AT303" i="1" s="1"/>
  <c r="AU303" i="1" s="1"/>
  <c r="AV303" i="1" s="1"/>
  <c r="AW303" i="1" s="1"/>
  <c r="AX303" i="1" s="1"/>
  <c r="AZ303" i="1"/>
  <c r="BA303" i="1" s="1"/>
  <c r="BB303" i="1" s="1"/>
  <c r="BC303" i="1" s="1"/>
  <c r="BD303" i="1" s="1"/>
  <c r="BF303" i="1" s="1"/>
  <c r="BG303" i="1" s="1"/>
  <c r="BH303" i="1" s="1"/>
  <c r="BI303" i="1" s="1"/>
  <c r="BJ303" i="1" s="1"/>
  <c r="BL303" i="1" s="1"/>
  <c r="BM303" i="1" s="1"/>
  <c r="BN303" i="1" s="1"/>
  <c r="BO303" i="1" s="1"/>
  <c r="BP303" i="1" s="1"/>
  <c r="BR303" i="1" s="1"/>
  <c r="BS303" i="1" s="1"/>
  <c r="BT303" i="1" s="1"/>
  <c r="BU303" i="1" s="1"/>
  <c r="BV303" i="1" s="1"/>
  <c r="BX303" i="1" s="1"/>
  <c r="BY303" i="1" s="1"/>
  <c r="BZ303" i="1" s="1"/>
  <c r="CA303" i="1" s="1"/>
  <c r="CB303" i="1" s="1"/>
  <c r="CD303" i="1" s="1"/>
  <c r="CE303" i="1" s="1"/>
  <c r="CF303" i="1" s="1"/>
  <c r="CG303" i="1" s="1"/>
  <c r="CH303" i="1" s="1"/>
  <c r="AB304" i="1"/>
  <c r="AC304" i="1" s="1"/>
  <c r="AD304" i="1" s="1"/>
  <c r="AE304" i="1" s="1"/>
  <c r="AF304" i="1" s="1"/>
  <c r="AH304" i="1" s="1"/>
  <c r="AI304" i="1" s="1"/>
  <c r="AJ304" i="1" s="1"/>
  <c r="AK304" i="1" s="1"/>
  <c r="AL304" i="1" s="1"/>
  <c r="AN304" i="1" s="1"/>
  <c r="AO304" i="1" s="1"/>
  <c r="AP304" i="1" s="1"/>
  <c r="AQ304" i="1" s="1"/>
  <c r="AR304" i="1" s="1"/>
  <c r="AT304" i="1" s="1"/>
  <c r="AU304" i="1" s="1"/>
  <c r="AV304" i="1" s="1"/>
  <c r="AW304" i="1" s="1"/>
  <c r="AX304" i="1" s="1"/>
  <c r="AZ304" i="1"/>
  <c r="BA304" i="1" s="1"/>
  <c r="BB304" i="1" s="1"/>
  <c r="BC304" i="1" s="1"/>
  <c r="BD304" i="1" s="1"/>
  <c r="BF304" i="1" s="1"/>
  <c r="BG304" i="1" s="1"/>
  <c r="BH304" i="1" s="1"/>
  <c r="BI304" i="1" s="1"/>
  <c r="BJ304" i="1" s="1"/>
  <c r="BL304" i="1" s="1"/>
  <c r="BM304" i="1" s="1"/>
  <c r="BN304" i="1" s="1"/>
  <c r="BO304" i="1" s="1"/>
  <c r="BP304" i="1" s="1"/>
  <c r="BR304" i="1" s="1"/>
  <c r="BS304" i="1" s="1"/>
  <c r="BT304" i="1" s="1"/>
  <c r="BU304" i="1" s="1"/>
  <c r="BV304" i="1" s="1"/>
  <c r="BX304" i="1" s="1"/>
  <c r="BY304" i="1" s="1"/>
  <c r="BZ304" i="1" s="1"/>
  <c r="CA304" i="1" s="1"/>
  <c r="CB304" i="1" s="1"/>
  <c r="CD304" i="1" s="1"/>
  <c r="CE304" i="1" s="1"/>
  <c r="CF304" i="1" s="1"/>
  <c r="CG304" i="1" s="1"/>
  <c r="CH304" i="1" s="1"/>
  <c r="AB305" i="1"/>
  <c r="AC305" i="1" s="1"/>
  <c r="AD305" i="1" s="1"/>
  <c r="AE305" i="1" s="1"/>
  <c r="AF305" i="1" s="1"/>
  <c r="AH305" i="1" s="1"/>
  <c r="AI305" i="1" s="1"/>
  <c r="AJ305" i="1" s="1"/>
  <c r="AK305" i="1" s="1"/>
  <c r="AL305" i="1" s="1"/>
  <c r="AN305" i="1" s="1"/>
  <c r="AO305" i="1" s="1"/>
  <c r="AP305" i="1" s="1"/>
  <c r="AQ305" i="1" s="1"/>
  <c r="AR305" i="1" s="1"/>
  <c r="AT305" i="1" s="1"/>
  <c r="AU305" i="1" s="1"/>
  <c r="AV305" i="1" s="1"/>
  <c r="AW305" i="1" s="1"/>
  <c r="AX305" i="1" s="1"/>
  <c r="AZ305" i="1"/>
  <c r="BA305" i="1" s="1"/>
  <c r="BB305" i="1" s="1"/>
  <c r="BC305" i="1" s="1"/>
  <c r="BD305" i="1" s="1"/>
  <c r="BF305" i="1" s="1"/>
  <c r="BG305" i="1" s="1"/>
  <c r="BH305" i="1" s="1"/>
  <c r="BI305" i="1" s="1"/>
  <c r="BJ305" i="1" s="1"/>
  <c r="BL305" i="1" s="1"/>
  <c r="BM305" i="1" s="1"/>
  <c r="BN305" i="1" s="1"/>
  <c r="BO305" i="1" s="1"/>
  <c r="BP305" i="1" s="1"/>
  <c r="BR305" i="1" s="1"/>
  <c r="BS305" i="1" s="1"/>
  <c r="BT305" i="1" s="1"/>
  <c r="BU305" i="1" s="1"/>
  <c r="BV305" i="1" s="1"/>
  <c r="BX305" i="1" s="1"/>
  <c r="BY305" i="1" s="1"/>
  <c r="BZ305" i="1" s="1"/>
  <c r="CA305" i="1" s="1"/>
  <c r="CB305" i="1" s="1"/>
  <c r="CD305" i="1" s="1"/>
  <c r="CE305" i="1" s="1"/>
  <c r="CF305" i="1" s="1"/>
  <c r="CG305" i="1" s="1"/>
  <c r="CH305" i="1" s="1"/>
  <c r="AB306" i="1"/>
  <c r="AC306" i="1" s="1"/>
  <c r="AD306" i="1" s="1"/>
  <c r="AE306" i="1" s="1"/>
  <c r="AF306" i="1" s="1"/>
  <c r="AH306" i="1" s="1"/>
  <c r="AI306" i="1" s="1"/>
  <c r="AJ306" i="1" s="1"/>
  <c r="AK306" i="1" s="1"/>
  <c r="AL306" i="1" s="1"/>
  <c r="AN306" i="1" s="1"/>
  <c r="AO306" i="1" s="1"/>
  <c r="AP306" i="1" s="1"/>
  <c r="AQ306" i="1" s="1"/>
  <c r="AR306" i="1" s="1"/>
  <c r="AT306" i="1" s="1"/>
  <c r="AU306" i="1" s="1"/>
  <c r="AV306" i="1" s="1"/>
  <c r="AW306" i="1" s="1"/>
  <c r="AX306" i="1" s="1"/>
  <c r="AZ306" i="1"/>
  <c r="BA306" i="1" s="1"/>
  <c r="BB306" i="1" s="1"/>
  <c r="BC306" i="1" s="1"/>
  <c r="BD306" i="1" s="1"/>
  <c r="BF306" i="1" s="1"/>
  <c r="BG306" i="1" s="1"/>
  <c r="BH306" i="1" s="1"/>
  <c r="BI306" i="1" s="1"/>
  <c r="BJ306" i="1" s="1"/>
  <c r="BL306" i="1" s="1"/>
  <c r="BM306" i="1" s="1"/>
  <c r="BN306" i="1" s="1"/>
  <c r="BO306" i="1" s="1"/>
  <c r="BP306" i="1" s="1"/>
  <c r="BR306" i="1" s="1"/>
  <c r="BS306" i="1" s="1"/>
  <c r="BT306" i="1" s="1"/>
  <c r="BU306" i="1" s="1"/>
  <c r="BV306" i="1" s="1"/>
  <c r="BX306" i="1" s="1"/>
  <c r="BY306" i="1" s="1"/>
  <c r="BZ306" i="1" s="1"/>
  <c r="CA306" i="1" s="1"/>
  <c r="CB306" i="1" s="1"/>
  <c r="CD306" i="1" s="1"/>
  <c r="CE306" i="1" s="1"/>
  <c r="CF306" i="1" s="1"/>
  <c r="CG306" i="1" s="1"/>
  <c r="CH306" i="1" s="1"/>
  <c r="AB307" i="1"/>
  <c r="AC307" i="1" s="1"/>
  <c r="AD307" i="1" s="1"/>
  <c r="AE307" i="1" s="1"/>
  <c r="AF307" i="1" s="1"/>
  <c r="AH307" i="1" s="1"/>
  <c r="AI307" i="1" s="1"/>
  <c r="AJ307" i="1" s="1"/>
  <c r="AK307" i="1" s="1"/>
  <c r="AL307" i="1" s="1"/>
  <c r="AN307" i="1" s="1"/>
  <c r="AO307" i="1" s="1"/>
  <c r="AP307" i="1" s="1"/>
  <c r="AQ307" i="1" s="1"/>
  <c r="AR307" i="1" s="1"/>
  <c r="AT307" i="1" s="1"/>
  <c r="AU307" i="1" s="1"/>
  <c r="AV307" i="1" s="1"/>
  <c r="AW307" i="1" s="1"/>
  <c r="AX307" i="1" s="1"/>
  <c r="AZ307" i="1"/>
  <c r="BA307" i="1" s="1"/>
  <c r="BB307" i="1" s="1"/>
  <c r="BC307" i="1" s="1"/>
  <c r="BD307" i="1" s="1"/>
  <c r="BF307" i="1" s="1"/>
  <c r="BG307" i="1" s="1"/>
  <c r="BH307" i="1" s="1"/>
  <c r="BI307" i="1" s="1"/>
  <c r="BJ307" i="1" s="1"/>
  <c r="BL307" i="1" s="1"/>
  <c r="BM307" i="1" s="1"/>
  <c r="BN307" i="1" s="1"/>
  <c r="BO307" i="1" s="1"/>
  <c r="BP307" i="1" s="1"/>
  <c r="BR307" i="1" s="1"/>
  <c r="BS307" i="1" s="1"/>
  <c r="BT307" i="1" s="1"/>
  <c r="BU307" i="1" s="1"/>
  <c r="BV307" i="1" s="1"/>
  <c r="BX307" i="1" s="1"/>
  <c r="BY307" i="1" s="1"/>
  <c r="BZ307" i="1" s="1"/>
  <c r="CA307" i="1" s="1"/>
  <c r="CB307" i="1" s="1"/>
  <c r="CD307" i="1" s="1"/>
  <c r="CE307" i="1" s="1"/>
  <c r="CF307" i="1" s="1"/>
  <c r="CG307" i="1" s="1"/>
  <c r="CH307" i="1" s="1"/>
  <c r="AB308" i="1"/>
  <c r="AC308" i="1" s="1"/>
  <c r="AD308" i="1" s="1"/>
  <c r="AE308" i="1" s="1"/>
  <c r="AF308" i="1" s="1"/>
  <c r="AH308" i="1" s="1"/>
  <c r="AI308" i="1" s="1"/>
  <c r="AJ308" i="1" s="1"/>
  <c r="AK308" i="1" s="1"/>
  <c r="AL308" i="1" s="1"/>
  <c r="AN308" i="1" s="1"/>
  <c r="AO308" i="1" s="1"/>
  <c r="AP308" i="1" s="1"/>
  <c r="AQ308" i="1" s="1"/>
  <c r="AR308" i="1" s="1"/>
  <c r="AT308" i="1" s="1"/>
  <c r="AU308" i="1" s="1"/>
  <c r="AV308" i="1" s="1"/>
  <c r="AW308" i="1" s="1"/>
  <c r="AX308" i="1" s="1"/>
  <c r="AZ308" i="1"/>
  <c r="BA308" i="1" s="1"/>
  <c r="BB308" i="1" s="1"/>
  <c r="BC308" i="1" s="1"/>
  <c r="BD308" i="1" s="1"/>
  <c r="BF308" i="1" s="1"/>
  <c r="BG308" i="1" s="1"/>
  <c r="BH308" i="1" s="1"/>
  <c r="BI308" i="1" s="1"/>
  <c r="BJ308" i="1" s="1"/>
  <c r="BL308" i="1" s="1"/>
  <c r="BM308" i="1" s="1"/>
  <c r="BN308" i="1" s="1"/>
  <c r="BO308" i="1" s="1"/>
  <c r="BP308" i="1" s="1"/>
  <c r="BR308" i="1" s="1"/>
  <c r="BS308" i="1" s="1"/>
  <c r="BT308" i="1" s="1"/>
  <c r="BU308" i="1" s="1"/>
  <c r="BV308" i="1" s="1"/>
  <c r="BX308" i="1" s="1"/>
  <c r="BY308" i="1" s="1"/>
  <c r="BZ308" i="1" s="1"/>
  <c r="CA308" i="1" s="1"/>
  <c r="CB308" i="1" s="1"/>
  <c r="CD308" i="1" s="1"/>
  <c r="CE308" i="1" s="1"/>
  <c r="CF308" i="1" s="1"/>
  <c r="CG308" i="1" s="1"/>
  <c r="CH308" i="1" s="1"/>
  <c r="AB309" i="1"/>
  <c r="AC309" i="1" s="1"/>
  <c r="AD309" i="1" s="1"/>
  <c r="AE309" i="1" s="1"/>
  <c r="AF309" i="1" s="1"/>
  <c r="AH309" i="1" s="1"/>
  <c r="AI309" i="1" s="1"/>
  <c r="AJ309" i="1" s="1"/>
  <c r="AK309" i="1" s="1"/>
  <c r="AL309" i="1" s="1"/>
  <c r="AN309" i="1" s="1"/>
  <c r="AO309" i="1" s="1"/>
  <c r="AP309" i="1" s="1"/>
  <c r="AQ309" i="1" s="1"/>
  <c r="AR309" i="1" s="1"/>
  <c r="AT309" i="1" s="1"/>
  <c r="AU309" i="1" s="1"/>
  <c r="AV309" i="1" s="1"/>
  <c r="AW309" i="1" s="1"/>
  <c r="AX309" i="1" s="1"/>
  <c r="AZ309" i="1"/>
  <c r="BA309" i="1" s="1"/>
  <c r="BB309" i="1" s="1"/>
  <c r="BC309" i="1" s="1"/>
  <c r="BD309" i="1" s="1"/>
  <c r="BF309" i="1" s="1"/>
  <c r="BG309" i="1" s="1"/>
  <c r="BH309" i="1" s="1"/>
  <c r="BI309" i="1" s="1"/>
  <c r="BJ309" i="1" s="1"/>
  <c r="BL309" i="1" s="1"/>
  <c r="BM309" i="1" s="1"/>
  <c r="BN309" i="1" s="1"/>
  <c r="BO309" i="1" s="1"/>
  <c r="BP309" i="1" s="1"/>
  <c r="BR309" i="1" s="1"/>
  <c r="BS309" i="1" s="1"/>
  <c r="BT309" i="1" s="1"/>
  <c r="BU309" i="1" s="1"/>
  <c r="BV309" i="1" s="1"/>
  <c r="BX309" i="1" s="1"/>
  <c r="BY309" i="1" s="1"/>
  <c r="BZ309" i="1" s="1"/>
  <c r="CA309" i="1" s="1"/>
  <c r="CB309" i="1" s="1"/>
  <c r="CD309" i="1" s="1"/>
  <c r="CE309" i="1" s="1"/>
  <c r="CF309" i="1" s="1"/>
  <c r="CG309" i="1" s="1"/>
  <c r="CH309" i="1" s="1"/>
  <c r="AB310" i="1"/>
  <c r="AC310" i="1" s="1"/>
  <c r="AD310" i="1" s="1"/>
  <c r="AE310" i="1" s="1"/>
  <c r="AF310" i="1" s="1"/>
  <c r="AH310" i="1" s="1"/>
  <c r="AI310" i="1" s="1"/>
  <c r="AJ310" i="1" s="1"/>
  <c r="AK310" i="1" s="1"/>
  <c r="AL310" i="1" s="1"/>
  <c r="AN310" i="1" s="1"/>
  <c r="AO310" i="1" s="1"/>
  <c r="AP310" i="1" s="1"/>
  <c r="AQ310" i="1" s="1"/>
  <c r="AR310" i="1" s="1"/>
  <c r="AT310" i="1" s="1"/>
  <c r="AU310" i="1" s="1"/>
  <c r="AV310" i="1" s="1"/>
  <c r="AW310" i="1" s="1"/>
  <c r="AX310" i="1" s="1"/>
  <c r="AZ310" i="1"/>
  <c r="BA310" i="1" s="1"/>
  <c r="BB310" i="1" s="1"/>
  <c r="BC310" i="1" s="1"/>
  <c r="BD310" i="1" s="1"/>
  <c r="BF310" i="1" s="1"/>
  <c r="BG310" i="1" s="1"/>
  <c r="BH310" i="1" s="1"/>
  <c r="BI310" i="1" s="1"/>
  <c r="BJ310" i="1" s="1"/>
  <c r="BL310" i="1" s="1"/>
  <c r="BM310" i="1" s="1"/>
  <c r="BN310" i="1" s="1"/>
  <c r="BO310" i="1" s="1"/>
  <c r="BP310" i="1" s="1"/>
  <c r="BR310" i="1" s="1"/>
  <c r="BS310" i="1" s="1"/>
  <c r="BT310" i="1" s="1"/>
  <c r="BU310" i="1" s="1"/>
  <c r="BV310" i="1" s="1"/>
  <c r="BX310" i="1" s="1"/>
  <c r="BY310" i="1" s="1"/>
  <c r="BZ310" i="1" s="1"/>
  <c r="CA310" i="1" s="1"/>
  <c r="CB310" i="1" s="1"/>
  <c r="CD310" i="1" s="1"/>
  <c r="CE310" i="1" s="1"/>
  <c r="CF310" i="1" s="1"/>
  <c r="CG310" i="1" s="1"/>
  <c r="CH310" i="1" s="1"/>
  <c r="AB311" i="1"/>
  <c r="AC311" i="1" s="1"/>
  <c r="AD311" i="1" s="1"/>
  <c r="AE311" i="1" s="1"/>
  <c r="AF311" i="1" s="1"/>
  <c r="AH311" i="1" s="1"/>
  <c r="AI311" i="1" s="1"/>
  <c r="AJ311" i="1" s="1"/>
  <c r="AK311" i="1" s="1"/>
  <c r="AL311" i="1" s="1"/>
  <c r="AN311" i="1" s="1"/>
  <c r="AO311" i="1" s="1"/>
  <c r="AP311" i="1" s="1"/>
  <c r="AQ311" i="1" s="1"/>
  <c r="AR311" i="1" s="1"/>
  <c r="AT311" i="1" s="1"/>
  <c r="AU311" i="1" s="1"/>
  <c r="AV311" i="1" s="1"/>
  <c r="AW311" i="1" s="1"/>
  <c r="AX311" i="1" s="1"/>
  <c r="AZ311" i="1"/>
  <c r="BA311" i="1" s="1"/>
  <c r="BB311" i="1" s="1"/>
  <c r="BC311" i="1" s="1"/>
  <c r="BD311" i="1" s="1"/>
  <c r="BF311" i="1" s="1"/>
  <c r="BG311" i="1" s="1"/>
  <c r="BH311" i="1" s="1"/>
  <c r="BI311" i="1" s="1"/>
  <c r="BJ311" i="1" s="1"/>
  <c r="BL311" i="1" s="1"/>
  <c r="BM311" i="1" s="1"/>
  <c r="BN311" i="1" s="1"/>
  <c r="BO311" i="1" s="1"/>
  <c r="BP311" i="1" s="1"/>
  <c r="BR311" i="1" s="1"/>
  <c r="BS311" i="1" s="1"/>
  <c r="BT311" i="1" s="1"/>
  <c r="BU311" i="1" s="1"/>
  <c r="BV311" i="1" s="1"/>
  <c r="BX311" i="1" s="1"/>
  <c r="BY311" i="1" s="1"/>
  <c r="BZ311" i="1" s="1"/>
  <c r="CA311" i="1" s="1"/>
  <c r="CB311" i="1" s="1"/>
  <c r="CD311" i="1" s="1"/>
  <c r="CE311" i="1" s="1"/>
  <c r="CF311" i="1" s="1"/>
  <c r="CG311" i="1" s="1"/>
  <c r="CH311" i="1" s="1"/>
  <c r="AB312" i="1"/>
  <c r="AC312" i="1" s="1"/>
  <c r="AD312" i="1" s="1"/>
  <c r="AE312" i="1" s="1"/>
  <c r="AF312" i="1" s="1"/>
  <c r="AH312" i="1" s="1"/>
  <c r="AI312" i="1" s="1"/>
  <c r="AJ312" i="1" s="1"/>
  <c r="AK312" i="1" s="1"/>
  <c r="AL312" i="1" s="1"/>
  <c r="AN312" i="1" s="1"/>
  <c r="AO312" i="1" s="1"/>
  <c r="AP312" i="1" s="1"/>
  <c r="AQ312" i="1" s="1"/>
  <c r="AR312" i="1" s="1"/>
  <c r="AT312" i="1" s="1"/>
  <c r="AU312" i="1" s="1"/>
  <c r="AV312" i="1" s="1"/>
  <c r="AW312" i="1" s="1"/>
  <c r="AX312" i="1" s="1"/>
  <c r="AZ312" i="1"/>
  <c r="BA312" i="1" s="1"/>
  <c r="BB312" i="1" s="1"/>
  <c r="BC312" i="1" s="1"/>
  <c r="BD312" i="1" s="1"/>
  <c r="BF312" i="1" s="1"/>
  <c r="BG312" i="1" s="1"/>
  <c r="BH312" i="1" s="1"/>
  <c r="BI312" i="1" s="1"/>
  <c r="BJ312" i="1" s="1"/>
  <c r="BL312" i="1" s="1"/>
  <c r="BM312" i="1" s="1"/>
  <c r="BN312" i="1" s="1"/>
  <c r="BO312" i="1" s="1"/>
  <c r="BP312" i="1" s="1"/>
  <c r="BR312" i="1" s="1"/>
  <c r="BS312" i="1" s="1"/>
  <c r="BT312" i="1" s="1"/>
  <c r="BU312" i="1" s="1"/>
  <c r="BV312" i="1" s="1"/>
  <c r="BX312" i="1" s="1"/>
  <c r="BY312" i="1" s="1"/>
  <c r="BZ312" i="1" s="1"/>
  <c r="CA312" i="1" s="1"/>
  <c r="CB312" i="1" s="1"/>
  <c r="CD312" i="1" s="1"/>
  <c r="CE312" i="1" s="1"/>
  <c r="CF312" i="1" s="1"/>
  <c r="CG312" i="1" s="1"/>
  <c r="CH312" i="1" s="1"/>
  <c r="AB313" i="1"/>
  <c r="AC313" i="1" s="1"/>
  <c r="AD313" i="1" s="1"/>
  <c r="AE313" i="1" s="1"/>
  <c r="AF313" i="1" s="1"/>
  <c r="AH313" i="1" s="1"/>
  <c r="AI313" i="1" s="1"/>
  <c r="AJ313" i="1" s="1"/>
  <c r="AK313" i="1" s="1"/>
  <c r="AL313" i="1" s="1"/>
  <c r="AN313" i="1" s="1"/>
  <c r="AO313" i="1" s="1"/>
  <c r="AP313" i="1" s="1"/>
  <c r="AQ313" i="1" s="1"/>
  <c r="AR313" i="1" s="1"/>
  <c r="AT313" i="1" s="1"/>
  <c r="AU313" i="1" s="1"/>
  <c r="AV313" i="1" s="1"/>
  <c r="AW313" i="1" s="1"/>
  <c r="AX313" i="1" s="1"/>
  <c r="AZ313" i="1"/>
  <c r="BA313" i="1" s="1"/>
  <c r="BB313" i="1" s="1"/>
  <c r="BC313" i="1" s="1"/>
  <c r="BD313" i="1" s="1"/>
  <c r="BF313" i="1" s="1"/>
  <c r="BG313" i="1" s="1"/>
  <c r="BH313" i="1" s="1"/>
  <c r="BI313" i="1" s="1"/>
  <c r="BJ313" i="1" s="1"/>
  <c r="BL313" i="1" s="1"/>
  <c r="BM313" i="1" s="1"/>
  <c r="BN313" i="1" s="1"/>
  <c r="BO313" i="1" s="1"/>
  <c r="BP313" i="1" s="1"/>
  <c r="BR313" i="1" s="1"/>
  <c r="BS313" i="1" s="1"/>
  <c r="BT313" i="1" s="1"/>
  <c r="BU313" i="1" s="1"/>
  <c r="BV313" i="1" s="1"/>
  <c r="BX313" i="1" s="1"/>
  <c r="BY313" i="1" s="1"/>
  <c r="BZ313" i="1" s="1"/>
  <c r="CA313" i="1" s="1"/>
  <c r="CB313" i="1" s="1"/>
  <c r="CD313" i="1" s="1"/>
  <c r="CE313" i="1" s="1"/>
  <c r="CF313" i="1" s="1"/>
  <c r="CG313" i="1" s="1"/>
  <c r="CH313" i="1" s="1"/>
  <c r="AB314" i="1"/>
  <c r="AC314" i="1" s="1"/>
  <c r="AD314" i="1" s="1"/>
  <c r="AE314" i="1" s="1"/>
  <c r="AF314" i="1" s="1"/>
  <c r="AH314" i="1" s="1"/>
  <c r="AI314" i="1" s="1"/>
  <c r="AJ314" i="1" s="1"/>
  <c r="AK314" i="1" s="1"/>
  <c r="AL314" i="1" s="1"/>
  <c r="AN314" i="1" s="1"/>
  <c r="AO314" i="1" s="1"/>
  <c r="AP314" i="1" s="1"/>
  <c r="AQ314" i="1" s="1"/>
  <c r="AR314" i="1" s="1"/>
  <c r="AT314" i="1" s="1"/>
  <c r="AU314" i="1" s="1"/>
  <c r="AV314" i="1" s="1"/>
  <c r="AW314" i="1" s="1"/>
  <c r="AX314" i="1" s="1"/>
  <c r="AZ314" i="1"/>
  <c r="BA314" i="1" s="1"/>
  <c r="BB314" i="1" s="1"/>
  <c r="BC314" i="1" s="1"/>
  <c r="BD314" i="1" s="1"/>
  <c r="BF314" i="1" s="1"/>
  <c r="BG314" i="1" s="1"/>
  <c r="BH314" i="1" s="1"/>
  <c r="BI314" i="1" s="1"/>
  <c r="BJ314" i="1" s="1"/>
  <c r="BL314" i="1" s="1"/>
  <c r="BM314" i="1" s="1"/>
  <c r="BN314" i="1" s="1"/>
  <c r="BO314" i="1" s="1"/>
  <c r="BP314" i="1" s="1"/>
  <c r="BR314" i="1" s="1"/>
  <c r="BS314" i="1" s="1"/>
  <c r="BT314" i="1" s="1"/>
  <c r="BU314" i="1" s="1"/>
  <c r="BV314" i="1" s="1"/>
  <c r="BX314" i="1" s="1"/>
  <c r="BY314" i="1" s="1"/>
  <c r="BZ314" i="1" s="1"/>
  <c r="CA314" i="1" s="1"/>
  <c r="CB314" i="1" s="1"/>
  <c r="CD314" i="1" s="1"/>
  <c r="CE314" i="1" s="1"/>
  <c r="CF314" i="1" s="1"/>
  <c r="CG314" i="1" s="1"/>
  <c r="CH314" i="1" s="1"/>
  <c r="AB315" i="1"/>
  <c r="AC315" i="1" s="1"/>
  <c r="AD315" i="1" s="1"/>
  <c r="AE315" i="1" s="1"/>
  <c r="AF315" i="1" s="1"/>
  <c r="AH315" i="1" s="1"/>
  <c r="AI315" i="1" s="1"/>
  <c r="AJ315" i="1" s="1"/>
  <c r="AK315" i="1" s="1"/>
  <c r="AL315" i="1" s="1"/>
  <c r="AN315" i="1" s="1"/>
  <c r="AO315" i="1" s="1"/>
  <c r="AP315" i="1" s="1"/>
  <c r="AQ315" i="1" s="1"/>
  <c r="AR315" i="1" s="1"/>
  <c r="AT315" i="1" s="1"/>
  <c r="AU315" i="1" s="1"/>
  <c r="AV315" i="1" s="1"/>
  <c r="AW315" i="1" s="1"/>
  <c r="AX315" i="1" s="1"/>
  <c r="AZ315" i="1"/>
  <c r="BA315" i="1" s="1"/>
  <c r="BB315" i="1" s="1"/>
  <c r="BC315" i="1" s="1"/>
  <c r="BD315" i="1" s="1"/>
  <c r="BF315" i="1" s="1"/>
  <c r="BG315" i="1" s="1"/>
  <c r="BH315" i="1" s="1"/>
  <c r="BI315" i="1" s="1"/>
  <c r="BJ315" i="1" s="1"/>
  <c r="BL315" i="1" s="1"/>
  <c r="BM315" i="1" s="1"/>
  <c r="BN315" i="1" s="1"/>
  <c r="BO315" i="1" s="1"/>
  <c r="BP315" i="1" s="1"/>
  <c r="BR315" i="1" s="1"/>
  <c r="BS315" i="1" s="1"/>
  <c r="BT315" i="1" s="1"/>
  <c r="BU315" i="1" s="1"/>
  <c r="BV315" i="1" s="1"/>
  <c r="BX315" i="1" s="1"/>
  <c r="BY315" i="1" s="1"/>
  <c r="BZ315" i="1" s="1"/>
  <c r="CA315" i="1" s="1"/>
  <c r="CB315" i="1" s="1"/>
  <c r="CD315" i="1" s="1"/>
  <c r="CE315" i="1" s="1"/>
  <c r="CF315" i="1" s="1"/>
  <c r="CG315" i="1" s="1"/>
  <c r="CH315" i="1" s="1"/>
  <c r="AB316" i="1"/>
  <c r="AC316" i="1" s="1"/>
  <c r="AD316" i="1" s="1"/>
  <c r="AE316" i="1" s="1"/>
  <c r="AF316" i="1" s="1"/>
  <c r="AH316" i="1" s="1"/>
  <c r="AI316" i="1" s="1"/>
  <c r="AJ316" i="1" s="1"/>
  <c r="AK316" i="1" s="1"/>
  <c r="AL316" i="1" s="1"/>
  <c r="AN316" i="1" s="1"/>
  <c r="AO316" i="1" s="1"/>
  <c r="AP316" i="1" s="1"/>
  <c r="AQ316" i="1" s="1"/>
  <c r="AR316" i="1" s="1"/>
  <c r="AT316" i="1" s="1"/>
  <c r="AU316" i="1" s="1"/>
  <c r="AV316" i="1" s="1"/>
  <c r="AW316" i="1" s="1"/>
  <c r="AX316" i="1" s="1"/>
  <c r="AZ316" i="1"/>
  <c r="BA316" i="1" s="1"/>
  <c r="BB316" i="1" s="1"/>
  <c r="BC316" i="1" s="1"/>
  <c r="BD316" i="1" s="1"/>
  <c r="BF316" i="1" s="1"/>
  <c r="BG316" i="1" s="1"/>
  <c r="BH316" i="1" s="1"/>
  <c r="BI316" i="1" s="1"/>
  <c r="BJ316" i="1" s="1"/>
  <c r="BL316" i="1" s="1"/>
  <c r="BM316" i="1" s="1"/>
  <c r="BN316" i="1" s="1"/>
  <c r="BO316" i="1" s="1"/>
  <c r="BP316" i="1" s="1"/>
  <c r="BR316" i="1" s="1"/>
  <c r="BS316" i="1" s="1"/>
  <c r="BT316" i="1" s="1"/>
  <c r="BU316" i="1" s="1"/>
  <c r="BV316" i="1" s="1"/>
  <c r="BX316" i="1" s="1"/>
  <c r="BY316" i="1" s="1"/>
  <c r="BZ316" i="1" s="1"/>
  <c r="CA316" i="1" s="1"/>
  <c r="CB316" i="1" s="1"/>
  <c r="CD316" i="1" s="1"/>
  <c r="CE316" i="1" s="1"/>
  <c r="CF316" i="1" s="1"/>
  <c r="CG316" i="1" s="1"/>
  <c r="CH316" i="1" s="1"/>
  <c r="AB317" i="1"/>
  <c r="AC317" i="1" s="1"/>
  <c r="AD317" i="1" s="1"/>
  <c r="AE317" i="1" s="1"/>
  <c r="AF317" i="1" s="1"/>
  <c r="AH317" i="1" s="1"/>
  <c r="AI317" i="1" s="1"/>
  <c r="AJ317" i="1" s="1"/>
  <c r="AK317" i="1" s="1"/>
  <c r="AL317" i="1" s="1"/>
  <c r="AN317" i="1" s="1"/>
  <c r="AO317" i="1" s="1"/>
  <c r="AP317" i="1" s="1"/>
  <c r="AQ317" i="1" s="1"/>
  <c r="AR317" i="1" s="1"/>
  <c r="AT317" i="1" s="1"/>
  <c r="AU317" i="1" s="1"/>
  <c r="AV317" i="1" s="1"/>
  <c r="AW317" i="1" s="1"/>
  <c r="AX317" i="1" s="1"/>
  <c r="AZ317" i="1"/>
  <c r="BA317" i="1" s="1"/>
  <c r="BB317" i="1" s="1"/>
  <c r="BC317" i="1" s="1"/>
  <c r="BD317" i="1" s="1"/>
  <c r="BF317" i="1" s="1"/>
  <c r="BG317" i="1" s="1"/>
  <c r="BH317" i="1" s="1"/>
  <c r="BI317" i="1" s="1"/>
  <c r="BJ317" i="1" s="1"/>
  <c r="BL317" i="1" s="1"/>
  <c r="BM317" i="1" s="1"/>
  <c r="BN317" i="1" s="1"/>
  <c r="BO317" i="1" s="1"/>
  <c r="BP317" i="1" s="1"/>
  <c r="BR317" i="1" s="1"/>
  <c r="BS317" i="1" s="1"/>
  <c r="BT317" i="1" s="1"/>
  <c r="BU317" i="1" s="1"/>
  <c r="BV317" i="1" s="1"/>
  <c r="BX317" i="1" s="1"/>
  <c r="BY317" i="1" s="1"/>
  <c r="BZ317" i="1" s="1"/>
  <c r="CA317" i="1" s="1"/>
  <c r="CB317" i="1" s="1"/>
  <c r="CD317" i="1" s="1"/>
  <c r="CE317" i="1" s="1"/>
  <c r="CF317" i="1" s="1"/>
  <c r="CG317" i="1" s="1"/>
  <c r="CH317" i="1" s="1"/>
  <c r="AB318" i="1"/>
  <c r="AC318" i="1" s="1"/>
  <c r="AD318" i="1" s="1"/>
  <c r="AE318" i="1" s="1"/>
  <c r="AF318" i="1" s="1"/>
  <c r="AH318" i="1" s="1"/>
  <c r="AI318" i="1" s="1"/>
  <c r="AJ318" i="1" s="1"/>
  <c r="AK318" i="1" s="1"/>
  <c r="AL318" i="1" s="1"/>
  <c r="AN318" i="1" s="1"/>
  <c r="AO318" i="1" s="1"/>
  <c r="AP318" i="1" s="1"/>
  <c r="AQ318" i="1" s="1"/>
  <c r="AR318" i="1" s="1"/>
  <c r="AT318" i="1" s="1"/>
  <c r="AU318" i="1" s="1"/>
  <c r="AV318" i="1" s="1"/>
  <c r="AW318" i="1" s="1"/>
  <c r="AX318" i="1" s="1"/>
  <c r="AZ318" i="1"/>
  <c r="BA318" i="1" s="1"/>
  <c r="BB318" i="1" s="1"/>
  <c r="BC318" i="1" s="1"/>
  <c r="BD318" i="1" s="1"/>
  <c r="BF318" i="1" s="1"/>
  <c r="BG318" i="1" s="1"/>
  <c r="BH318" i="1" s="1"/>
  <c r="BI318" i="1" s="1"/>
  <c r="BJ318" i="1" s="1"/>
  <c r="BL318" i="1" s="1"/>
  <c r="BM318" i="1" s="1"/>
  <c r="BN318" i="1" s="1"/>
  <c r="BO318" i="1" s="1"/>
  <c r="BP318" i="1" s="1"/>
  <c r="BR318" i="1" s="1"/>
  <c r="BS318" i="1" s="1"/>
  <c r="BT318" i="1" s="1"/>
  <c r="BU318" i="1" s="1"/>
  <c r="BV318" i="1" s="1"/>
  <c r="BX318" i="1" s="1"/>
  <c r="BY318" i="1" s="1"/>
  <c r="BZ318" i="1" s="1"/>
  <c r="CA318" i="1" s="1"/>
  <c r="CB318" i="1" s="1"/>
  <c r="CD318" i="1" s="1"/>
  <c r="CE318" i="1" s="1"/>
  <c r="CF318" i="1" s="1"/>
  <c r="CG318" i="1" s="1"/>
  <c r="CH318" i="1" s="1"/>
  <c r="AB319" i="1"/>
  <c r="AC319" i="1" s="1"/>
  <c r="AD319" i="1" s="1"/>
  <c r="AE319" i="1" s="1"/>
  <c r="AF319" i="1" s="1"/>
  <c r="AH319" i="1" s="1"/>
  <c r="AI319" i="1" s="1"/>
  <c r="AJ319" i="1" s="1"/>
  <c r="AK319" i="1" s="1"/>
  <c r="AL319" i="1" s="1"/>
  <c r="AN319" i="1" s="1"/>
  <c r="AO319" i="1" s="1"/>
  <c r="AP319" i="1" s="1"/>
  <c r="AQ319" i="1" s="1"/>
  <c r="AR319" i="1" s="1"/>
  <c r="AT319" i="1" s="1"/>
  <c r="AU319" i="1" s="1"/>
  <c r="AV319" i="1" s="1"/>
  <c r="AW319" i="1" s="1"/>
  <c r="AX319" i="1" s="1"/>
  <c r="AZ319" i="1"/>
  <c r="BA319" i="1" s="1"/>
  <c r="BB319" i="1" s="1"/>
  <c r="BC319" i="1" s="1"/>
  <c r="BD319" i="1" s="1"/>
  <c r="BF319" i="1" s="1"/>
  <c r="BG319" i="1" s="1"/>
  <c r="BH319" i="1" s="1"/>
  <c r="BI319" i="1" s="1"/>
  <c r="BJ319" i="1" s="1"/>
  <c r="BL319" i="1" s="1"/>
  <c r="BM319" i="1" s="1"/>
  <c r="BN319" i="1" s="1"/>
  <c r="BO319" i="1" s="1"/>
  <c r="BP319" i="1" s="1"/>
  <c r="BR319" i="1" s="1"/>
  <c r="BS319" i="1" s="1"/>
  <c r="BT319" i="1" s="1"/>
  <c r="BU319" i="1" s="1"/>
  <c r="BV319" i="1" s="1"/>
  <c r="BX319" i="1" s="1"/>
  <c r="BY319" i="1" s="1"/>
  <c r="BZ319" i="1" s="1"/>
  <c r="CA319" i="1" s="1"/>
  <c r="CB319" i="1" s="1"/>
  <c r="CD319" i="1" s="1"/>
  <c r="CE319" i="1" s="1"/>
  <c r="CF319" i="1" s="1"/>
  <c r="CG319" i="1" s="1"/>
  <c r="CH319" i="1" s="1"/>
  <c r="AB320" i="1"/>
  <c r="AC320" i="1" s="1"/>
  <c r="AD320" i="1" s="1"/>
  <c r="AE320" i="1" s="1"/>
  <c r="AF320" i="1" s="1"/>
  <c r="AH320" i="1" s="1"/>
  <c r="AI320" i="1" s="1"/>
  <c r="AJ320" i="1" s="1"/>
  <c r="AK320" i="1" s="1"/>
  <c r="AL320" i="1" s="1"/>
  <c r="AN320" i="1" s="1"/>
  <c r="AO320" i="1" s="1"/>
  <c r="AP320" i="1" s="1"/>
  <c r="AQ320" i="1" s="1"/>
  <c r="AR320" i="1" s="1"/>
  <c r="AT320" i="1" s="1"/>
  <c r="AU320" i="1" s="1"/>
  <c r="AV320" i="1" s="1"/>
  <c r="AW320" i="1" s="1"/>
  <c r="AX320" i="1" s="1"/>
  <c r="AZ320" i="1"/>
  <c r="BA320" i="1" s="1"/>
  <c r="BB320" i="1" s="1"/>
  <c r="BC320" i="1" s="1"/>
  <c r="BD320" i="1" s="1"/>
  <c r="BF320" i="1" s="1"/>
  <c r="BG320" i="1" s="1"/>
  <c r="BH320" i="1" s="1"/>
  <c r="BI320" i="1" s="1"/>
  <c r="BJ320" i="1" s="1"/>
  <c r="BL320" i="1" s="1"/>
  <c r="BM320" i="1" s="1"/>
  <c r="BN320" i="1" s="1"/>
  <c r="BO320" i="1" s="1"/>
  <c r="BP320" i="1" s="1"/>
  <c r="BR320" i="1" s="1"/>
  <c r="BS320" i="1" s="1"/>
  <c r="BT320" i="1" s="1"/>
  <c r="BU320" i="1" s="1"/>
  <c r="BV320" i="1" s="1"/>
  <c r="BX320" i="1" s="1"/>
  <c r="BY320" i="1" s="1"/>
  <c r="BZ320" i="1" s="1"/>
  <c r="CA320" i="1" s="1"/>
  <c r="CB320" i="1" s="1"/>
  <c r="CD320" i="1" s="1"/>
  <c r="CE320" i="1" s="1"/>
  <c r="CF320" i="1" s="1"/>
  <c r="CG320" i="1" s="1"/>
  <c r="CH320" i="1" s="1"/>
  <c r="AB321" i="1"/>
  <c r="AC321" i="1" s="1"/>
  <c r="AD321" i="1" s="1"/>
  <c r="AE321" i="1" s="1"/>
  <c r="AF321" i="1" s="1"/>
  <c r="AH321" i="1" s="1"/>
  <c r="AI321" i="1" s="1"/>
  <c r="AJ321" i="1" s="1"/>
  <c r="AK321" i="1" s="1"/>
  <c r="AL321" i="1" s="1"/>
  <c r="AN321" i="1" s="1"/>
  <c r="AO321" i="1" s="1"/>
  <c r="AP321" i="1" s="1"/>
  <c r="AQ321" i="1" s="1"/>
  <c r="AR321" i="1" s="1"/>
  <c r="AT321" i="1" s="1"/>
  <c r="AU321" i="1" s="1"/>
  <c r="AV321" i="1" s="1"/>
  <c r="AW321" i="1" s="1"/>
  <c r="AX321" i="1" s="1"/>
  <c r="AZ321" i="1"/>
  <c r="BA321" i="1" s="1"/>
  <c r="BB321" i="1" s="1"/>
  <c r="BC321" i="1" s="1"/>
  <c r="BD321" i="1" s="1"/>
  <c r="BF321" i="1" s="1"/>
  <c r="BG321" i="1" s="1"/>
  <c r="BH321" i="1" s="1"/>
  <c r="BI321" i="1" s="1"/>
  <c r="BJ321" i="1" s="1"/>
  <c r="BL321" i="1" s="1"/>
  <c r="BM321" i="1" s="1"/>
  <c r="BN321" i="1" s="1"/>
  <c r="BO321" i="1" s="1"/>
  <c r="BP321" i="1" s="1"/>
  <c r="BR321" i="1" s="1"/>
  <c r="BS321" i="1" s="1"/>
  <c r="BT321" i="1" s="1"/>
  <c r="BU321" i="1" s="1"/>
  <c r="BV321" i="1" s="1"/>
  <c r="BX321" i="1" s="1"/>
  <c r="BY321" i="1" s="1"/>
  <c r="BZ321" i="1" s="1"/>
  <c r="CA321" i="1" s="1"/>
  <c r="CB321" i="1" s="1"/>
  <c r="CD321" i="1" s="1"/>
  <c r="CE321" i="1" s="1"/>
  <c r="CF321" i="1" s="1"/>
  <c r="CG321" i="1" s="1"/>
  <c r="CH321" i="1" s="1"/>
  <c r="AB322" i="1"/>
  <c r="AC322" i="1" s="1"/>
  <c r="AD322" i="1" s="1"/>
  <c r="AE322" i="1" s="1"/>
  <c r="AF322" i="1" s="1"/>
  <c r="AH322" i="1" s="1"/>
  <c r="AI322" i="1" s="1"/>
  <c r="AJ322" i="1" s="1"/>
  <c r="AK322" i="1" s="1"/>
  <c r="AL322" i="1" s="1"/>
  <c r="AN322" i="1" s="1"/>
  <c r="AO322" i="1" s="1"/>
  <c r="AP322" i="1" s="1"/>
  <c r="AQ322" i="1" s="1"/>
  <c r="AR322" i="1" s="1"/>
  <c r="AT322" i="1" s="1"/>
  <c r="AU322" i="1" s="1"/>
  <c r="AV322" i="1" s="1"/>
  <c r="AW322" i="1" s="1"/>
  <c r="AX322" i="1" s="1"/>
  <c r="AZ322" i="1"/>
  <c r="BA322" i="1" s="1"/>
  <c r="BB322" i="1" s="1"/>
  <c r="BC322" i="1" s="1"/>
  <c r="BD322" i="1" s="1"/>
  <c r="BF322" i="1" s="1"/>
  <c r="BG322" i="1" s="1"/>
  <c r="BH322" i="1" s="1"/>
  <c r="BI322" i="1" s="1"/>
  <c r="BJ322" i="1" s="1"/>
  <c r="BL322" i="1" s="1"/>
  <c r="BM322" i="1" s="1"/>
  <c r="BN322" i="1" s="1"/>
  <c r="BO322" i="1" s="1"/>
  <c r="BP322" i="1" s="1"/>
  <c r="BR322" i="1" s="1"/>
  <c r="BS322" i="1" s="1"/>
  <c r="BT322" i="1" s="1"/>
  <c r="BU322" i="1" s="1"/>
  <c r="BV322" i="1" s="1"/>
  <c r="BX322" i="1" s="1"/>
  <c r="BY322" i="1" s="1"/>
  <c r="BZ322" i="1" s="1"/>
  <c r="CA322" i="1" s="1"/>
  <c r="CB322" i="1" s="1"/>
  <c r="CD322" i="1" s="1"/>
  <c r="CE322" i="1" s="1"/>
  <c r="CF322" i="1" s="1"/>
  <c r="CG322" i="1" s="1"/>
  <c r="CH322" i="1" s="1"/>
  <c r="AB323" i="1"/>
  <c r="AC323" i="1" s="1"/>
  <c r="AD323" i="1" s="1"/>
  <c r="AE323" i="1" s="1"/>
  <c r="AF323" i="1" s="1"/>
  <c r="AH323" i="1" s="1"/>
  <c r="AI323" i="1" s="1"/>
  <c r="AJ323" i="1" s="1"/>
  <c r="AK323" i="1" s="1"/>
  <c r="AL323" i="1" s="1"/>
  <c r="AN323" i="1" s="1"/>
  <c r="AO323" i="1" s="1"/>
  <c r="AP323" i="1" s="1"/>
  <c r="AQ323" i="1" s="1"/>
  <c r="AR323" i="1" s="1"/>
  <c r="AT323" i="1" s="1"/>
  <c r="AU323" i="1" s="1"/>
  <c r="AV323" i="1" s="1"/>
  <c r="AW323" i="1" s="1"/>
  <c r="AX323" i="1" s="1"/>
  <c r="AZ323" i="1"/>
  <c r="BA323" i="1" s="1"/>
  <c r="BB323" i="1" s="1"/>
  <c r="BC323" i="1" s="1"/>
  <c r="BD323" i="1" s="1"/>
  <c r="BF323" i="1" s="1"/>
  <c r="BG323" i="1" s="1"/>
  <c r="BH323" i="1" s="1"/>
  <c r="BI323" i="1" s="1"/>
  <c r="BJ323" i="1" s="1"/>
  <c r="BL323" i="1" s="1"/>
  <c r="BM323" i="1" s="1"/>
  <c r="BN323" i="1" s="1"/>
  <c r="BO323" i="1" s="1"/>
  <c r="BP323" i="1" s="1"/>
  <c r="BR323" i="1" s="1"/>
  <c r="BS323" i="1" s="1"/>
  <c r="BT323" i="1" s="1"/>
  <c r="BU323" i="1" s="1"/>
  <c r="BV323" i="1" s="1"/>
  <c r="BX323" i="1" s="1"/>
  <c r="BY323" i="1" s="1"/>
  <c r="BZ323" i="1" s="1"/>
  <c r="CA323" i="1" s="1"/>
  <c r="CB323" i="1" s="1"/>
  <c r="CD323" i="1" s="1"/>
  <c r="CE323" i="1" s="1"/>
  <c r="CF323" i="1" s="1"/>
  <c r="CG323" i="1" s="1"/>
  <c r="CH323" i="1" s="1"/>
  <c r="AB324" i="1"/>
  <c r="AC324" i="1" s="1"/>
  <c r="AD324" i="1" s="1"/>
  <c r="AE324" i="1" s="1"/>
  <c r="AF324" i="1" s="1"/>
  <c r="AH324" i="1" s="1"/>
  <c r="AI324" i="1" s="1"/>
  <c r="AJ324" i="1" s="1"/>
  <c r="AK324" i="1" s="1"/>
  <c r="AL324" i="1" s="1"/>
  <c r="AN324" i="1" s="1"/>
  <c r="AO324" i="1" s="1"/>
  <c r="AP324" i="1" s="1"/>
  <c r="AQ324" i="1" s="1"/>
  <c r="AR324" i="1" s="1"/>
  <c r="AT324" i="1" s="1"/>
  <c r="AU324" i="1" s="1"/>
  <c r="AV324" i="1" s="1"/>
  <c r="AW324" i="1" s="1"/>
  <c r="AX324" i="1" s="1"/>
  <c r="AZ324" i="1"/>
  <c r="BA324" i="1" s="1"/>
  <c r="BB324" i="1" s="1"/>
  <c r="BC324" i="1" s="1"/>
  <c r="BD324" i="1" s="1"/>
  <c r="BF324" i="1" s="1"/>
  <c r="BG324" i="1" s="1"/>
  <c r="BH324" i="1" s="1"/>
  <c r="BI324" i="1" s="1"/>
  <c r="BJ324" i="1" s="1"/>
  <c r="BL324" i="1" s="1"/>
  <c r="BM324" i="1" s="1"/>
  <c r="BN324" i="1" s="1"/>
  <c r="BO324" i="1" s="1"/>
  <c r="BP324" i="1" s="1"/>
  <c r="BR324" i="1" s="1"/>
  <c r="BS324" i="1" s="1"/>
  <c r="BT324" i="1" s="1"/>
  <c r="BU324" i="1" s="1"/>
  <c r="BV324" i="1" s="1"/>
  <c r="BX324" i="1" s="1"/>
  <c r="BY324" i="1" s="1"/>
  <c r="BZ324" i="1" s="1"/>
  <c r="CA324" i="1" s="1"/>
  <c r="CB324" i="1" s="1"/>
  <c r="CD324" i="1" s="1"/>
  <c r="CE324" i="1" s="1"/>
  <c r="CF324" i="1" s="1"/>
  <c r="CG324" i="1" s="1"/>
  <c r="CH324" i="1" s="1"/>
  <c r="AB325" i="1"/>
  <c r="AC325" i="1" s="1"/>
  <c r="AD325" i="1" s="1"/>
  <c r="AE325" i="1" s="1"/>
  <c r="AF325" i="1" s="1"/>
  <c r="AH325" i="1" s="1"/>
  <c r="AI325" i="1" s="1"/>
  <c r="AJ325" i="1" s="1"/>
  <c r="AK325" i="1" s="1"/>
  <c r="AL325" i="1" s="1"/>
  <c r="AN325" i="1" s="1"/>
  <c r="AO325" i="1" s="1"/>
  <c r="AP325" i="1" s="1"/>
  <c r="AQ325" i="1" s="1"/>
  <c r="AR325" i="1" s="1"/>
  <c r="AT325" i="1" s="1"/>
  <c r="AU325" i="1" s="1"/>
  <c r="AV325" i="1" s="1"/>
  <c r="AW325" i="1" s="1"/>
  <c r="AX325" i="1" s="1"/>
  <c r="AZ325" i="1"/>
  <c r="BA325" i="1" s="1"/>
  <c r="BB325" i="1" s="1"/>
  <c r="BC325" i="1" s="1"/>
  <c r="BD325" i="1" s="1"/>
  <c r="BF325" i="1" s="1"/>
  <c r="BG325" i="1" s="1"/>
  <c r="BH325" i="1" s="1"/>
  <c r="BI325" i="1" s="1"/>
  <c r="BJ325" i="1" s="1"/>
  <c r="BL325" i="1" s="1"/>
  <c r="BM325" i="1" s="1"/>
  <c r="BN325" i="1" s="1"/>
  <c r="BO325" i="1" s="1"/>
  <c r="BP325" i="1" s="1"/>
  <c r="BR325" i="1" s="1"/>
  <c r="BS325" i="1" s="1"/>
  <c r="BT325" i="1" s="1"/>
  <c r="BU325" i="1" s="1"/>
  <c r="BV325" i="1" s="1"/>
  <c r="BX325" i="1" s="1"/>
  <c r="BY325" i="1" s="1"/>
  <c r="BZ325" i="1" s="1"/>
  <c r="CA325" i="1" s="1"/>
  <c r="CB325" i="1" s="1"/>
  <c r="CD325" i="1" s="1"/>
  <c r="CE325" i="1" s="1"/>
  <c r="CF325" i="1" s="1"/>
  <c r="CG325" i="1" s="1"/>
  <c r="CH325" i="1" s="1"/>
  <c r="AB326" i="1"/>
  <c r="AC326" i="1" s="1"/>
  <c r="AD326" i="1" s="1"/>
  <c r="AE326" i="1" s="1"/>
  <c r="AF326" i="1" s="1"/>
  <c r="AH326" i="1" s="1"/>
  <c r="AI326" i="1" s="1"/>
  <c r="AJ326" i="1" s="1"/>
  <c r="AK326" i="1" s="1"/>
  <c r="AL326" i="1" s="1"/>
  <c r="AN326" i="1" s="1"/>
  <c r="AO326" i="1" s="1"/>
  <c r="AP326" i="1" s="1"/>
  <c r="AQ326" i="1" s="1"/>
  <c r="AR326" i="1" s="1"/>
  <c r="AT326" i="1" s="1"/>
  <c r="AU326" i="1" s="1"/>
  <c r="AV326" i="1" s="1"/>
  <c r="AW326" i="1" s="1"/>
  <c r="AX326" i="1" s="1"/>
  <c r="AZ326" i="1"/>
  <c r="BA326" i="1" s="1"/>
  <c r="BB326" i="1" s="1"/>
  <c r="BC326" i="1" s="1"/>
  <c r="BD326" i="1" s="1"/>
  <c r="BF326" i="1" s="1"/>
  <c r="BG326" i="1" s="1"/>
  <c r="BH326" i="1" s="1"/>
  <c r="BI326" i="1" s="1"/>
  <c r="BJ326" i="1" s="1"/>
  <c r="BL326" i="1" s="1"/>
  <c r="BM326" i="1" s="1"/>
  <c r="BN326" i="1" s="1"/>
  <c r="BO326" i="1" s="1"/>
  <c r="BP326" i="1" s="1"/>
  <c r="BR326" i="1" s="1"/>
  <c r="BS326" i="1" s="1"/>
  <c r="BT326" i="1" s="1"/>
  <c r="BU326" i="1" s="1"/>
  <c r="BV326" i="1" s="1"/>
  <c r="BX326" i="1" s="1"/>
  <c r="BY326" i="1" s="1"/>
  <c r="BZ326" i="1" s="1"/>
  <c r="CA326" i="1" s="1"/>
  <c r="CB326" i="1" s="1"/>
  <c r="CD326" i="1" s="1"/>
  <c r="CE326" i="1" s="1"/>
  <c r="CF326" i="1" s="1"/>
  <c r="CG326" i="1" s="1"/>
  <c r="CH326" i="1" s="1"/>
  <c r="AB327" i="1"/>
  <c r="AC327" i="1" s="1"/>
  <c r="AD327" i="1" s="1"/>
  <c r="AE327" i="1" s="1"/>
  <c r="AF327" i="1" s="1"/>
  <c r="AH327" i="1" s="1"/>
  <c r="AI327" i="1" s="1"/>
  <c r="AJ327" i="1" s="1"/>
  <c r="AK327" i="1" s="1"/>
  <c r="AL327" i="1" s="1"/>
  <c r="AN327" i="1" s="1"/>
  <c r="AO327" i="1" s="1"/>
  <c r="AP327" i="1" s="1"/>
  <c r="AQ327" i="1" s="1"/>
  <c r="AR327" i="1" s="1"/>
  <c r="AT327" i="1" s="1"/>
  <c r="AU327" i="1" s="1"/>
  <c r="AV327" i="1" s="1"/>
  <c r="AW327" i="1" s="1"/>
  <c r="AX327" i="1" s="1"/>
  <c r="AZ327" i="1"/>
  <c r="BA327" i="1" s="1"/>
  <c r="BB327" i="1" s="1"/>
  <c r="BC327" i="1" s="1"/>
  <c r="BD327" i="1" s="1"/>
  <c r="BF327" i="1" s="1"/>
  <c r="BG327" i="1" s="1"/>
  <c r="BH327" i="1" s="1"/>
  <c r="BI327" i="1" s="1"/>
  <c r="BJ327" i="1" s="1"/>
  <c r="BL327" i="1" s="1"/>
  <c r="BM327" i="1" s="1"/>
  <c r="BN327" i="1" s="1"/>
  <c r="BO327" i="1" s="1"/>
  <c r="BP327" i="1" s="1"/>
  <c r="BR327" i="1" s="1"/>
  <c r="BS327" i="1" s="1"/>
  <c r="BT327" i="1" s="1"/>
  <c r="BU327" i="1" s="1"/>
  <c r="BV327" i="1" s="1"/>
  <c r="BX327" i="1" s="1"/>
  <c r="BY327" i="1" s="1"/>
  <c r="BZ327" i="1" s="1"/>
  <c r="CA327" i="1" s="1"/>
  <c r="CB327" i="1" s="1"/>
  <c r="CD327" i="1" s="1"/>
  <c r="CE327" i="1" s="1"/>
  <c r="CF327" i="1" s="1"/>
  <c r="CG327" i="1" s="1"/>
  <c r="CH327" i="1" s="1"/>
  <c r="AB328" i="1"/>
  <c r="AC328" i="1" s="1"/>
  <c r="AD328" i="1" s="1"/>
  <c r="AE328" i="1" s="1"/>
  <c r="AF328" i="1" s="1"/>
  <c r="AH328" i="1" s="1"/>
  <c r="AI328" i="1" s="1"/>
  <c r="AJ328" i="1" s="1"/>
  <c r="AK328" i="1" s="1"/>
  <c r="AL328" i="1" s="1"/>
  <c r="AN328" i="1" s="1"/>
  <c r="AO328" i="1" s="1"/>
  <c r="AP328" i="1" s="1"/>
  <c r="AQ328" i="1" s="1"/>
  <c r="AR328" i="1" s="1"/>
  <c r="AT328" i="1" s="1"/>
  <c r="AU328" i="1" s="1"/>
  <c r="AV328" i="1" s="1"/>
  <c r="AW328" i="1" s="1"/>
  <c r="AX328" i="1" s="1"/>
  <c r="AZ328" i="1"/>
  <c r="BA328" i="1" s="1"/>
  <c r="BB328" i="1" s="1"/>
  <c r="BC328" i="1" s="1"/>
  <c r="BD328" i="1" s="1"/>
  <c r="BF328" i="1" s="1"/>
  <c r="BG328" i="1" s="1"/>
  <c r="BH328" i="1" s="1"/>
  <c r="BI328" i="1" s="1"/>
  <c r="BJ328" i="1" s="1"/>
  <c r="BL328" i="1" s="1"/>
  <c r="BM328" i="1" s="1"/>
  <c r="BN328" i="1" s="1"/>
  <c r="BO328" i="1" s="1"/>
  <c r="BP328" i="1" s="1"/>
  <c r="BR328" i="1" s="1"/>
  <c r="BS328" i="1" s="1"/>
  <c r="BT328" i="1" s="1"/>
  <c r="BU328" i="1" s="1"/>
  <c r="BV328" i="1" s="1"/>
  <c r="BX328" i="1" s="1"/>
  <c r="BY328" i="1" s="1"/>
  <c r="BZ328" i="1" s="1"/>
  <c r="CA328" i="1" s="1"/>
  <c r="CB328" i="1" s="1"/>
  <c r="CD328" i="1" s="1"/>
  <c r="CE328" i="1" s="1"/>
  <c r="CF328" i="1" s="1"/>
  <c r="CG328" i="1" s="1"/>
  <c r="CH328" i="1" s="1"/>
  <c r="AB329" i="1"/>
  <c r="AC329" i="1" s="1"/>
  <c r="AD329" i="1" s="1"/>
  <c r="AE329" i="1" s="1"/>
  <c r="AF329" i="1" s="1"/>
  <c r="AH329" i="1" s="1"/>
  <c r="AI329" i="1" s="1"/>
  <c r="AJ329" i="1" s="1"/>
  <c r="AK329" i="1" s="1"/>
  <c r="AL329" i="1" s="1"/>
  <c r="AN329" i="1" s="1"/>
  <c r="AO329" i="1" s="1"/>
  <c r="AP329" i="1" s="1"/>
  <c r="AQ329" i="1" s="1"/>
  <c r="AR329" i="1" s="1"/>
  <c r="AT329" i="1" s="1"/>
  <c r="AU329" i="1" s="1"/>
  <c r="AV329" i="1" s="1"/>
  <c r="AW329" i="1" s="1"/>
  <c r="AX329" i="1" s="1"/>
  <c r="AZ329" i="1"/>
  <c r="BA329" i="1" s="1"/>
  <c r="BB329" i="1" s="1"/>
  <c r="BC329" i="1" s="1"/>
  <c r="BD329" i="1" s="1"/>
  <c r="BF329" i="1" s="1"/>
  <c r="BG329" i="1" s="1"/>
  <c r="BH329" i="1" s="1"/>
  <c r="BI329" i="1" s="1"/>
  <c r="BJ329" i="1" s="1"/>
  <c r="BL329" i="1" s="1"/>
  <c r="BM329" i="1" s="1"/>
  <c r="BN329" i="1" s="1"/>
  <c r="BO329" i="1" s="1"/>
  <c r="BP329" i="1" s="1"/>
  <c r="BR329" i="1" s="1"/>
  <c r="BS329" i="1" s="1"/>
  <c r="BT329" i="1" s="1"/>
  <c r="BU329" i="1" s="1"/>
  <c r="BV329" i="1" s="1"/>
  <c r="BX329" i="1" s="1"/>
  <c r="BY329" i="1" s="1"/>
  <c r="BZ329" i="1" s="1"/>
  <c r="CA329" i="1" s="1"/>
  <c r="CB329" i="1" s="1"/>
  <c r="CD329" i="1" s="1"/>
  <c r="CE329" i="1" s="1"/>
  <c r="CF329" i="1" s="1"/>
  <c r="CG329" i="1" s="1"/>
  <c r="CH329" i="1" s="1"/>
  <c r="AB330" i="1"/>
  <c r="AC330" i="1" s="1"/>
  <c r="AD330" i="1" s="1"/>
  <c r="AE330" i="1" s="1"/>
  <c r="AF330" i="1" s="1"/>
  <c r="AH330" i="1" s="1"/>
  <c r="AI330" i="1" s="1"/>
  <c r="AJ330" i="1" s="1"/>
  <c r="AK330" i="1" s="1"/>
  <c r="AL330" i="1" s="1"/>
  <c r="AN330" i="1" s="1"/>
  <c r="AO330" i="1" s="1"/>
  <c r="AP330" i="1" s="1"/>
  <c r="AQ330" i="1" s="1"/>
  <c r="AR330" i="1" s="1"/>
  <c r="AT330" i="1" s="1"/>
  <c r="AU330" i="1" s="1"/>
  <c r="AV330" i="1" s="1"/>
  <c r="AW330" i="1" s="1"/>
  <c r="AX330" i="1" s="1"/>
  <c r="AZ330" i="1"/>
  <c r="BA330" i="1" s="1"/>
  <c r="BB330" i="1" s="1"/>
  <c r="BC330" i="1" s="1"/>
  <c r="BD330" i="1" s="1"/>
  <c r="BF330" i="1" s="1"/>
  <c r="BG330" i="1" s="1"/>
  <c r="BH330" i="1" s="1"/>
  <c r="BI330" i="1" s="1"/>
  <c r="BJ330" i="1" s="1"/>
  <c r="BL330" i="1" s="1"/>
  <c r="BM330" i="1" s="1"/>
  <c r="BN330" i="1" s="1"/>
  <c r="BO330" i="1" s="1"/>
  <c r="BP330" i="1" s="1"/>
  <c r="BR330" i="1" s="1"/>
  <c r="BS330" i="1" s="1"/>
  <c r="BT330" i="1" s="1"/>
  <c r="BU330" i="1" s="1"/>
  <c r="BV330" i="1" s="1"/>
  <c r="BX330" i="1" s="1"/>
  <c r="BY330" i="1" s="1"/>
  <c r="BZ330" i="1" s="1"/>
  <c r="CA330" i="1" s="1"/>
  <c r="CB330" i="1" s="1"/>
  <c r="CD330" i="1" s="1"/>
  <c r="CE330" i="1" s="1"/>
  <c r="CF330" i="1" s="1"/>
  <c r="CG330" i="1" s="1"/>
  <c r="CH330" i="1" s="1"/>
  <c r="AB331" i="1"/>
  <c r="AC331" i="1" s="1"/>
  <c r="AD331" i="1" s="1"/>
  <c r="AE331" i="1" s="1"/>
  <c r="AF331" i="1" s="1"/>
  <c r="AH331" i="1" s="1"/>
  <c r="AI331" i="1" s="1"/>
  <c r="AJ331" i="1" s="1"/>
  <c r="AK331" i="1" s="1"/>
  <c r="AL331" i="1" s="1"/>
  <c r="AN331" i="1" s="1"/>
  <c r="AO331" i="1" s="1"/>
  <c r="AP331" i="1" s="1"/>
  <c r="AQ331" i="1" s="1"/>
  <c r="AR331" i="1" s="1"/>
  <c r="AT331" i="1" s="1"/>
  <c r="AU331" i="1" s="1"/>
  <c r="AV331" i="1" s="1"/>
  <c r="AW331" i="1" s="1"/>
  <c r="AX331" i="1" s="1"/>
  <c r="AZ331" i="1"/>
  <c r="BA331" i="1" s="1"/>
  <c r="BB331" i="1" s="1"/>
  <c r="BC331" i="1" s="1"/>
  <c r="BD331" i="1" s="1"/>
  <c r="BF331" i="1" s="1"/>
  <c r="BG331" i="1" s="1"/>
  <c r="BH331" i="1" s="1"/>
  <c r="BI331" i="1" s="1"/>
  <c r="BJ331" i="1" s="1"/>
  <c r="BL331" i="1" s="1"/>
  <c r="BM331" i="1" s="1"/>
  <c r="BN331" i="1" s="1"/>
  <c r="BO331" i="1" s="1"/>
  <c r="BP331" i="1" s="1"/>
  <c r="BR331" i="1" s="1"/>
  <c r="BS331" i="1" s="1"/>
  <c r="BT331" i="1" s="1"/>
  <c r="BU331" i="1" s="1"/>
  <c r="BV331" i="1" s="1"/>
  <c r="BX331" i="1" s="1"/>
  <c r="BY331" i="1" s="1"/>
  <c r="BZ331" i="1" s="1"/>
  <c r="CA331" i="1" s="1"/>
  <c r="CB331" i="1" s="1"/>
  <c r="CD331" i="1" s="1"/>
  <c r="CE331" i="1" s="1"/>
  <c r="CF331" i="1" s="1"/>
  <c r="CG331" i="1" s="1"/>
  <c r="CH331" i="1" s="1"/>
  <c r="AB332" i="1"/>
  <c r="AC332" i="1" s="1"/>
  <c r="AD332" i="1" s="1"/>
  <c r="AE332" i="1" s="1"/>
  <c r="AF332" i="1" s="1"/>
  <c r="AH332" i="1" s="1"/>
  <c r="AI332" i="1" s="1"/>
  <c r="AJ332" i="1" s="1"/>
  <c r="AK332" i="1" s="1"/>
  <c r="AL332" i="1" s="1"/>
  <c r="AN332" i="1" s="1"/>
  <c r="AO332" i="1" s="1"/>
  <c r="AP332" i="1" s="1"/>
  <c r="AQ332" i="1" s="1"/>
  <c r="AR332" i="1" s="1"/>
  <c r="AT332" i="1" s="1"/>
  <c r="AU332" i="1" s="1"/>
  <c r="AV332" i="1" s="1"/>
  <c r="AW332" i="1" s="1"/>
  <c r="AX332" i="1" s="1"/>
  <c r="AZ332" i="1"/>
  <c r="BA332" i="1" s="1"/>
  <c r="BB332" i="1" s="1"/>
  <c r="BC332" i="1" s="1"/>
  <c r="BD332" i="1" s="1"/>
  <c r="BF332" i="1" s="1"/>
  <c r="BG332" i="1" s="1"/>
  <c r="BH332" i="1" s="1"/>
  <c r="BI332" i="1" s="1"/>
  <c r="BJ332" i="1" s="1"/>
  <c r="BL332" i="1" s="1"/>
  <c r="BM332" i="1" s="1"/>
  <c r="BN332" i="1" s="1"/>
  <c r="BO332" i="1" s="1"/>
  <c r="BP332" i="1" s="1"/>
  <c r="BR332" i="1" s="1"/>
  <c r="BS332" i="1" s="1"/>
  <c r="BT332" i="1" s="1"/>
  <c r="BU332" i="1" s="1"/>
  <c r="BV332" i="1" s="1"/>
  <c r="BX332" i="1" s="1"/>
  <c r="BY332" i="1" s="1"/>
  <c r="BZ332" i="1" s="1"/>
  <c r="CA332" i="1" s="1"/>
  <c r="CB332" i="1" s="1"/>
  <c r="CD332" i="1" s="1"/>
  <c r="CE332" i="1" s="1"/>
  <c r="CF332" i="1" s="1"/>
  <c r="CG332" i="1" s="1"/>
  <c r="CH332" i="1" s="1"/>
  <c r="AB333" i="1"/>
  <c r="AC333" i="1" s="1"/>
  <c r="AD333" i="1" s="1"/>
  <c r="AE333" i="1" s="1"/>
  <c r="AF333" i="1" s="1"/>
  <c r="AH333" i="1" s="1"/>
  <c r="AI333" i="1" s="1"/>
  <c r="AJ333" i="1" s="1"/>
  <c r="AK333" i="1" s="1"/>
  <c r="AL333" i="1" s="1"/>
  <c r="AN333" i="1" s="1"/>
  <c r="AO333" i="1" s="1"/>
  <c r="AP333" i="1" s="1"/>
  <c r="AQ333" i="1" s="1"/>
  <c r="AR333" i="1" s="1"/>
  <c r="AT333" i="1" s="1"/>
  <c r="AU333" i="1" s="1"/>
  <c r="AV333" i="1" s="1"/>
  <c r="AW333" i="1" s="1"/>
  <c r="AX333" i="1" s="1"/>
  <c r="AZ333" i="1"/>
  <c r="BA333" i="1" s="1"/>
  <c r="BB333" i="1" s="1"/>
  <c r="BC333" i="1" s="1"/>
  <c r="BD333" i="1" s="1"/>
  <c r="BF333" i="1" s="1"/>
  <c r="BG333" i="1" s="1"/>
  <c r="BH333" i="1" s="1"/>
  <c r="BI333" i="1" s="1"/>
  <c r="BJ333" i="1" s="1"/>
  <c r="BL333" i="1" s="1"/>
  <c r="BM333" i="1" s="1"/>
  <c r="BN333" i="1" s="1"/>
  <c r="BO333" i="1" s="1"/>
  <c r="BP333" i="1" s="1"/>
  <c r="BR333" i="1" s="1"/>
  <c r="BS333" i="1" s="1"/>
  <c r="BT333" i="1" s="1"/>
  <c r="BU333" i="1" s="1"/>
  <c r="BV333" i="1" s="1"/>
  <c r="BX333" i="1" s="1"/>
  <c r="BY333" i="1" s="1"/>
  <c r="BZ333" i="1" s="1"/>
  <c r="CA333" i="1" s="1"/>
  <c r="CB333" i="1" s="1"/>
  <c r="CD333" i="1" s="1"/>
  <c r="CE333" i="1" s="1"/>
  <c r="CF333" i="1" s="1"/>
  <c r="CG333" i="1" s="1"/>
  <c r="CH333" i="1" s="1"/>
  <c r="AB334" i="1"/>
  <c r="AC334" i="1" s="1"/>
  <c r="AD334" i="1" s="1"/>
  <c r="AE334" i="1" s="1"/>
  <c r="AF334" i="1" s="1"/>
  <c r="AH334" i="1" s="1"/>
  <c r="AI334" i="1" s="1"/>
  <c r="AJ334" i="1" s="1"/>
  <c r="AK334" i="1" s="1"/>
  <c r="AL334" i="1" s="1"/>
  <c r="AN334" i="1" s="1"/>
  <c r="AO334" i="1" s="1"/>
  <c r="AP334" i="1" s="1"/>
  <c r="AQ334" i="1" s="1"/>
  <c r="AR334" i="1" s="1"/>
  <c r="AT334" i="1" s="1"/>
  <c r="AU334" i="1" s="1"/>
  <c r="AV334" i="1" s="1"/>
  <c r="AW334" i="1" s="1"/>
  <c r="AX334" i="1" s="1"/>
  <c r="AZ334" i="1"/>
  <c r="BA334" i="1" s="1"/>
  <c r="BB334" i="1" s="1"/>
  <c r="BC334" i="1" s="1"/>
  <c r="BD334" i="1" s="1"/>
  <c r="BF334" i="1" s="1"/>
  <c r="BG334" i="1" s="1"/>
  <c r="BH334" i="1" s="1"/>
  <c r="BI334" i="1" s="1"/>
  <c r="BJ334" i="1" s="1"/>
  <c r="BL334" i="1" s="1"/>
  <c r="BM334" i="1" s="1"/>
  <c r="BN334" i="1" s="1"/>
  <c r="BO334" i="1" s="1"/>
  <c r="BP334" i="1" s="1"/>
  <c r="BR334" i="1" s="1"/>
  <c r="BS334" i="1" s="1"/>
  <c r="BT334" i="1" s="1"/>
  <c r="BU334" i="1" s="1"/>
  <c r="BV334" i="1" s="1"/>
  <c r="BX334" i="1" s="1"/>
  <c r="BY334" i="1" s="1"/>
  <c r="BZ334" i="1" s="1"/>
  <c r="CA334" i="1" s="1"/>
  <c r="CB334" i="1" s="1"/>
  <c r="CD334" i="1" s="1"/>
  <c r="CE334" i="1" s="1"/>
  <c r="CF334" i="1" s="1"/>
  <c r="CG334" i="1" s="1"/>
  <c r="CH334" i="1" s="1"/>
  <c r="AB335" i="1"/>
  <c r="AC335" i="1" s="1"/>
  <c r="AD335" i="1" s="1"/>
  <c r="AE335" i="1" s="1"/>
  <c r="AF335" i="1" s="1"/>
  <c r="AH335" i="1" s="1"/>
  <c r="AI335" i="1" s="1"/>
  <c r="AJ335" i="1" s="1"/>
  <c r="AK335" i="1" s="1"/>
  <c r="AL335" i="1" s="1"/>
  <c r="AN335" i="1" s="1"/>
  <c r="AO335" i="1" s="1"/>
  <c r="AP335" i="1" s="1"/>
  <c r="AQ335" i="1" s="1"/>
  <c r="AR335" i="1" s="1"/>
  <c r="AT335" i="1" s="1"/>
  <c r="AU335" i="1" s="1"/>
  <c r="AV335" i="1" s="1"/>
  <c r="AW335" i="1" s="1"/>
  <c r="AX335" i="1" s="1"/>
  <c r="AZ335" i="1"/>
  <c r="BA335" i="1" s="1"/>
  <c r="BB335" i="1" s="1"/>
  <c r="BC335" i="1" s="1"/>
  <c r="BD335" i="1" s="1"/>
  <c r="BF335" i="1" s="1"/>
  <c r="BG335" i="1" s="1"/>
  <c r="BH335" i="1" s="1"/>
  <c r="BI335" i="1" s="1"/>
  <c r="BJ335" i="1" s="1"/>
  <c r="BL335" i="1" s="1"/>
  <c r="BM335" i="1" s="1"/>
  <c r="BN335" i="1" s="1"/>
  <c r="BO335" i="1" s="1"/>
  <c r="BP335" i="1" s="1"/>
  <c r="BR335" i="1" s="1"/>
  <c r="BS335" i="1" s="1"/>
  <c r="BT335" i="1" s="1"/>
  <c r="BU335" i="1" s="1"/>
  <c r="BV335" i="1" s="1"/>
  <c r="BX335" i="1" s="1"/>
  <c r="BY335" i="1" s="1"/>
  <c r="BZ335" i="1" s="1"/>
  <c r="CA335" i="1" s="1"/>
  <c r="CB335" i="1" s="1"/>
  <c r="CD335" i="1" s="1"/>
  <c r="CE335" i="1" s="1"/>
  <c r="CF335" i="1" s="1"/>
  <c r="CG335" i="1" s="1"/>
  <c r="CH335" i="1" s="1"/>
  <c r="AB336" i="1"/>
  <c r="AC336" i="1" s="1"/>
  <c r="AD336" i="1" s="1"/>
  <c r="AE336" i="1" s="1"/>
  <c r="AF336" i="1" s="1"/>
  <c r="AH336" i="1" s="1"/>
  <c r="AI336" i="1" s="1"/>
  <c r="AJ336" i="1" s="1"/>
  <c r="AK336" i="1" s="1"/>
  <c r="AL336" i="1" s="1"/>
  <c r="AN336" i="1" s="1"/>
  <c r="AO336" i="1" s="1"/>
  <c r="AP336" i="1" s="1"/>
  <c r="AQ336" i="1" s="1"/>
  <c r="AR336" i="1" s="1"/>
  <c r="AT336" i="1" s="1"/>
  <c r="AU336" i="1" s="1"/>
  <c r="AV336" i="1" s="1"/>
  <c r="AW336" i="1" s="1"/>
  <c r="AX336" i="1" s="1"/>
  <c r="AZ336" i="1"/>
  <c r="BA336" i="1" s="1"/>
  <c r="BB336" i="1" s="1"/>
  <c r="BC336" i="1" s="1"/>
  <c r="BD336" i="1" s="1"/>
  <c r="BF336" i="1" s="1"/>
  <c r="BG336" i="1" s="1"/>
  <c r="BH336" i="1" s="1"/>
  <c r="BI336" i="1" s="1"/>
  <c r="BJ336" i="1" s="1"/>
  <c r="BL336" i="1" s="1"/>
  <c r="BM336" i="1" s="1"/>
  <c r="BN336" i="1" s="1"/>
  <c r="BO336" i="1" s="1"/>
  <c r="BP336" i="1" s="1"/>
  <c r="BR336" i="1" s="1"/>
  <c r="BS336" i="1" s="1"/>
  <c r="BT336" i="1" s="1"/>
  <c r="BU336" i="1" s="1"/>
  <c r="BV336" i="1" s="1"/>
  <c r="BX336" i="1" s="1"/>
  <c r="BY336" i="1" s="1"/>
  <c r="BZ336" i="1" s="1"/>
  <c r="CA336" i="1" s="1"/>
  <c r="CB336" i="1" s="1"/>
  <c r="CD336" i="1" s="1"/>
  <c r="CE336" i="1" s="1"/>
  <c r="CF336" i="1" s="1"/>
  <c r="CG336" i="1" s="1"/>
  <c r="CH336" i="1" s="1"/>
  <c r="AB337" i="1"/>
  <c r="AC337" i="1" s="1"/>
  <c r="AD337" i="1" s="1"/>
  <c r="AE337" i="1" s="1"/>
  <c r="AF337" i="1" s="1"/>
  <c r="AH337" i="1" s="1"/>
  <c r="AI337" i="1" s="1"/>
  <c r="AJ337" i="1" s="1"/>
  <c r="AK337" i="1" s="1"/>
  <c r="AL337" i="1" s="1"/>
  <c r="AN337" i="1" s="1"/>
  <c r="AO337" i="1" s="1"/>
  <c r="AP337" i="1" s="1"/>
  <c r="AQ337" i="1" s="1"/>
  <c r="AR337" i="1" s="1"/>
  <c r="AT337" i="1" s="1"/>
  <c r="AU337" i="1" s="1"/>
  <c r="AV337" i="1" s="1"/>
  <c r="AW337" i="1" s="1"/>
  <c r="AX337" i="1" s="1"/>
  <c r="AZ337" i="1"/>
  <c r="BA337" i="1" s="1"/>
  <c r="BB337" i="1" s="1"/>
  <c r="BC337" i="1" s="1"/>
  <c r="BD337" i="1" s="1"/>
  <c r="BF337" i="1" s="1"/>
  <c r="BG337" i="1" s="1"/>
  <c r="BH337" i="1" s="1"/>
  <c r="BI337" i="1" s="1"/>
  <c r="BJ337" i="1" s="1"/>
  <c r="BL337" i="1" s="1"/>
  <c r="BM337" i="1" s="1"/>
  <c r="BN337" i="1" s="1"/>
  <c r="BO337" i="1" s="1"/>
  <c r="BP337" i="1" s="1"/>
  <c r="BR337" i="1" s="1"/>
  <c r="BS337" i="1" s="1"/>
  <c r="BT337" i="1" s="1"/>
  <c r="BU337" i="1" s="1"/>
  <c r="BV337" i="1" s="1"/>
  <c r="BX337" i="1" s="1"/>
  <c r="BY337" i="1" s="1"/>
  <c r="BZ337" i="1" s="1"/>
  <c r="CA337" i="1" s="1"/>
  <c r="CB337" i="1" s="1"/>
  <c r="CD337" i="1" s="1"/>
  <c r="CE337" i="1" s="1"/>
  <c r="CF337" i="1" s="1"/>
  <c r="CG337" i="1" s="1"/>
  <c r="CH337" i="1" s="1"/>
  <c r="AB338" i="1"/>
  <c r="AC338" i="1" s="1"/>
  <c r="AD338" i="1" s="1"/>
  <c r="AE338" i="1" s="1"/>
  <c r="AF338" i="1" s="1"/>
  <c r="AH338" i="1" s="1"/>
  <c r="AI338" i="1" s="1"/>
  <c r="AJ338" i="1" s="1"/>
  <c r="AK338" i="1" s="1"/>
  <c r="AL338" i="1" s="1"/>
  <c r="AN338" i="1" s="1"/>
  <c r="AO338" i="1" s="1"/>
  <c r="AP338" i="1" s="1"/>
  <c r="AQ338" i="1" s="1"/>
  <c r="AR338" i="1" s="1"/>
  <c r="AT338" i="1" s="1"/>
  <c r="AU338" i="1" s="1"/>
  <c r="AV338" i="1" s="1"/>
  <c r="AW338" i="1" s="1"/>
  <c r="AX338" i="1" s="1"/>
  <c r="AZ338" i="1"/>
  <c r="BA338" i="1" s="1"/>
  <c r="BB338" i="1" s="1"/>
  <c r="BC338" i="1" s="1"/>
  <c r="BD338" i="1" s="1"/>
  <c r="BF338" i="1" s="1"/>
  <c r="BG338" i="1" s="1"/>
  <c r="BH338" i="1" s="1"/>
  <c r="BI338" i="1" s="1"/>
  <c r="BJ338" i="1" s="1"/>
  <c r="BL338" i="1" s="1"/>
  <c r="BM338" i="1" s="1"/>
  <c r="BN338" i="1" s="1"/>
  <c r="BO338" i="1" s="1"/>
  <c r="BP338" i="1" s="1"/>
  <c r="BR338" i="1" s="1"/>
  <c r="BS338" i="1" s="1"/>
  <c r="BT338" i="1" s="1"/>
  <c r="BU338" i="1" s="1"/>
  <c r="BV338" i="1" s="1"/>
  <c r="BX338" i="1" s="1"/>
  <c r="BY338" i="1" s="1"/>
  <c r="BZ338" i="1" s="1"/>
  <c r="CA338" i="1" s="1"/>
  <c r="CB338" i="1" s="1"/>
  <c r="CD338" i="1" s="1"/>
  <c r="CE338" i="1" s="1"/>
  <c r="CF338" i="1" s="1"/>
  <c r="CG338" i="1" s="1"/>
  <c r="CH338" i="1" s="1"/>
  <c r="AB339" i="1"/>
  <c r="AC339" i="1" s="1"/>
  <c r="AD339" i="1" s="1"/>
  <c r="AE339" i="1" s="1"/>
  <c r="AF339" i="1" s="1"/>
  <c r="AH339" i="1" s="1"/>
  <c r="AI339" i="1" s="1"/>
  <c r="AJ339" i="1" s="1"/>
  <c r="AK339" i="1" s="1"/>
  <c r="AL339" i="1" s="1"/>
  <c r="AN339" i="1" s="1"/>
  <c r="AO339" i="1" s="1"/>
  <c r="AP339" i="1" s="1"/>
  <c r="AQ339" i="1" s="1"/>
  <c r="AR339" i="1" s="1"/>
  <c r="AT339" i="1" s="1"/>
  <c r="AU339" i="1" s="1"/>
  <c r="AV339" i="1" s="1"/>
  <c r="AW339" i="1" s="1"/>
  <c r="AX339" i="1" s="1"/>
  <c r="AZ339" i="1"/>
  <c r="BA339" i="1" s="1"/>
  <c r="BB339" i="1" s="1"/>
  <c r="BC339" i="1" s="1"/>
  <c r="BD339" i="1" s="1"/>
  <c r="BF339" i="1" s="1"/>
  <c r="BG339" i="1" s="1"/>
  <c r="BH339" i="1" s="1"/>
  <c r="BI339" i="1" s="1"/>
  <c r="BJ339" i="1" s="1"/>
  <c r="BL339" i="1" s="1"/>
  <c r="BM339" i="1" s="1"/>
  <c r="BN339" i="1" s="1"/>
  <c r="BO339" i="1" s="1"/>
  <c r="BP339" i="1" s="1"/>
  <c r="BR339" i="1" s="1"/>
  <c r="BS339" i="1" s="1"/>
  <c r="BT339" i="1" s="1"/>
  <c r="BU339" i="1" s="1"/>
  <c r="BV339" i="1" s="1"/>
  <c r="BX339" i="1" s="1"/>
  <c r="BY339" i="1" s="1"/>
  <c r="BZ339" i="1" s="1"/>
  <c r="CA339" i="1" s="1"/>
  <c r="CB339" i="1" s="1"/>
  <c r="CD339" i="1" s="1"/>
  <c r="CE339" i="1" s="1"/>
  <c r="CF339" i="1" s="1"/>
  <c r="CG339" i="1" s="1"/>
  <c r="CH339" i="1" s="1"/>
  <c r="AB340" i="1"/>
  <c r="AC340" i="1" s="1"/>
  <c r="AD340" i="1" s="1"/>
  <c r="AE340" i="1" s="1"/>
  <c r="AF340" i="1" s="1"/>
  <c r="AH340" i="1" s="1"/>
  <c r="AI340" i="1" s="1"/>
  <c r="AJ340" i="1" s="1"/>
  <c r="AK340" i="1" s="1"/>
  <c r="AL340" i="1" s="1"/>
  <c r="AN340" i="1" s="1"/>
  <c r="AO340" i="1" s="1"/>
  <c r="AP340" i="1" s="1"/>
  <c r="AQ340" i="1" s="1"/>
  <c r="AR340" i="1" s="1"/>
  <c r="AT340" i="1" s="1"/>
  <c r="AU340" i="1" s="1"/>
  <c r="AV340" i="1" s="1"/>
  <c r="AW340" i="1" s="1"/>
  <c r="AX340" i="1" s="1"/>
  <c r="AZ340" i="1"/>
  <c r="BA340" i="1" s="1"/>
  <c r="BB340" i="1" s="1"/>
  <c r="BC340" i="1" s="1"/>
  <c r="BD340" i="1" s="1"/>
  <c r="BF340" i="1" s="1"/>
  <c r="BG340" i="1" s="1"/>
  <c r="BH340" i="1" s="1"/>
  <c r="BI340" i="1" s="1"/>
  <c r="BJ340" i="1" s="1"/>
  <c r="BL340" i="1" s="1"/>
  <c r="BM340" i="1" s="1"/>
  <c r="BN340" i="1" s="1"/>
  <c r="BO340" i="1" s="1"/>
  <c r="BP340" i="1" s="1"/>
  <c r="BR340" i="1" s="1"/>
  <c r="BS340" i="1" s="1"/>
  <c r="BT340" i="1" s="1"/>
  <c r="BU340" i="1" s="1"/>
  <c r="BV340" i="1" s="1"/>
  <c r="BX340" i="1" s="1"/>
  <c r="BY340" i="1" s="1"/>
  <c r="BZ340" i="1" s="1"/>
  <c r="CA340" i="1" s="1"/>
  <c r="CB340" i="1" s="1"/>
  <c r="CD340" i="1" s="1"/>
  <c r="CE340" i="1" s="1"/>
  <c r="CF340" i="1" s="1"/>
  <c r="CG340" i="1" s="1"/>
  <c r="CH340" i="1" s="1"/>
  <c r="AD341" i="1"/>
  <c r="AE341" i="1" s="1"/>
  <c r="AF341" i="1" s="1"/>
  <c r="AH341" i="1" s="1"/>
  <c r="AI341" i="1" s="1"/>
  <c r="AJ341" i="1" s="1"/>
  <c r="AK341" i="1" s="1"/>
  <c r="AL341" i="1" s="1"/>
  <c r="AN341" i="1" s="1"/>
  <c r="AO341" i="1" s="1"/>
  <c r="AP341" i="1" s="1"/>
  <c r="AQ341" i="1" s="1"/>
  <c r="AR341" i="1" s="1"/>
  <c r="AT341" i="1" s="1"/>
  <c r="AU341" i="1" s="1"/>
  <c r="AV341" i="1" s="1"/>
  <c r="AW341" i="1" s="1"/>
  <c r="AX341" i="1" s="1"/>
  <c r="AZ341" i="1"/>
  <c r="BA341" i="1" s="1"/>
  <c r="BB341" i="1" s="1"/>
  <c r="BC341" i="1" s="1"/>
  <c r="BD341" i="1" s="1"/>
  <c r="BF341" i="1" s="1"/>
  <c r="BG341" i="1" s="1"/>
  <c r="BH341" i="1" s="1"/>
  <c r="BI341" i="1" s="1"/>
  <c r="BJ341" i="1" s="1"/>
  <c r="BL341" i="1" s="1"/>
  <c r="BM341" i="1" s="1"/>
  <c r="BN341" i="1" s="1"/>
  <c r="BO341" i="1" s="1"/>
  <c r="BP341" i="1" s="1"/>
  <c r="BR341" i="1" s="1"/>
  <c r="BS341" i="1" s="1"/>
  <c r="BT341" i="1" s="1"/>
  <c r="BU341" i="1" s="1"/>
  <c r="BV341" i="1" s="1"/>
  <c r="BX341" i="1" s="1"/>
  <c r="BY341" i="1" s="1"/>
  <c r="BZ341" i="1" s="1"/>
  <c r="CA341" i="1" s="1"/>
  <c r="CB341" i="1" s="1"/>
  <c r="CD341" i="1" s="1"/>
  <c r="CE341" i="1" s="1"/>
  <c r="CF341" i="1" s="1"/>
  <c r="CG341" i="1" s="1"/>
  <c r="CH341" i="1" s="1"/>
  <c r="AC342" i="1"/>
  <c r="AD342" i="1" s="1"/>
  <c r="AE342" i="1" s="1"/>
  <c r="AF342" i="1" s="1"/>
  <c r="AH342" i="1" s="1"/>
  <c r="AI342" i="1" s="1"/>
  <c r="AJ342" i="1" s="1"/>
  <c r="AK342" i="1" s="1"/>
  <c r="AL342" i="1" s="1"/>
  <c r="AN342" i="1" s="1"/>
  <c r="AO342" i="1" s="1"/>
  <c r="AP342" i="1" s="1"/>
  <c r="AQ342" i="1" s="1"/>
  <c r="AR342" i="1" s="1"/>
  <c r="AT342" i="1" s="1"/>
  <c r="AU342" i="1" s="1"/>
  <c r="AV342" i="1" s="1"/>
  <c r="AW342" i="1" s="1"/>
  <c r="AX342" i="1" s="1"/>
  <c r="AZ342" i="1"/>
  <c r="BA342" i="1" s="1"/>
  <c r="BB342" i="1" s="1"/>
  <c r="BC342" i="1" s="1"/>
  <c r="BD342" i="1" s="1"/>
  <c r="BF342" i="1" s="1"/>
  <c r="BG342" i="1" s="1"/>
  <c r="BH342" i="1" s="1"/>
  <c r="BI342" i="1" s="1"/>
  <c r="BJ342" i="1" s="1"/>
  <c r="BL342" i="1" s="1"/>
  <c r="BM342" i="1" s="1"/>
  <c r="BN342" i="1" s="1"/>
  <c r="BO342" i="1" s="1"/>
  <c r="BP342" i="1" s="1"/>
  <c r="BR342" i="1" s="1"/>
  <c r="BS342" i="1" s="1"/>
  <c r="BT342" i="1" s="1"/>
  <c r="BU342" i="1" s="1"/>
  <c r="BV342" i="1" s="1"/>
  <c r="BX342" i="1" s="1"/>
  <c r="BY342" i="1" s="1"/>
  <c r="BZ342" i="1" s="1"/>
  <c r="CA342" i="1" s="1"/>
  <c r="CB342" i="1" s="1"/>
  <c r="CD342" i="1" s="1"/>
  <c r="CE342" i="1" s="1"/>
  <c r="CF342" i="1" s="1"/>
  <c r="CG342" i="1" s="1"/>
  <c r="CH342" i="1" s="1"/>
  <c r="AW203" i="1"/>
  <c r="AW359" i="1" s="1"/>
  <c r="AX359" i="1" s="1"/>
  <c r="AV203" i="1"/>
  <c r="AV359" i="1" s="1"/>
  <c r="AU203" i="1"/>
  <c r="AU359" i="1" s="1"/>
  <c r="AT203" i="1"/>
  <c r="AT359" i="1" s="1"/>
  <c r="AQ203" i="1"/>
  <c r="AQ359" i="1" s="1"/>
  <c r="AR359" i="1" s="1"/>
  <c r="AP203" i="1"/>
  <c r="AP359" i="1" s="1"/>
  <c r="AO203" i="1"/>
  <c r="AO359" i="1" s="1"/>
  <c r="AN203" i="1"/>
  <c r="AN359" i="1" s="1"/>
  <c r="AK203" i="1"/>
  <c r="AK359" i="1" s="1"/>
  <c r="AL359" i="1" s="1"/>
  <c r="AJ203" i="1"/>
  <c r="AJ359" i="1" s="1"/>
  <c r="AI203" i="1"/>
  <c r="AI359" i="1" s="1"/>
  <c r="AH203" i="1"/>
  <c r="AH359" i="1" s="1"/>
  <c r="AH357" i="1" s="1"/>
  <c r="AE203" i="1"/>
  <c r="AE359" i="1" s="1"/>
  <c r="AF359" i="1" s="1"/>
  <c r="AD203" i="1"/>
  <c r="AD359" i="1" s="1"/>
  <c r="AC203" i="1"/>
  <c r="AC359" i="1" s="1"/>
  <c r="AB203" i="1"/>
  <c r="AB359" i="1" s="1"/>
  <c r="Y203" i="1"/>
  <c r="Y359" i="1" s="1"/>
  <c r="Z359" i="1" s="1"/>
  <c r="X203" i="1"/>
  <c r="X359" i="1" s="1"/>
  <c r="W203" i="1"/>
  <c r="W359" i="1" s="1"/>
  <c r="V203" i="1"/>
  <c r="V359" i="1" s="1"/>
  <c r="S203" i="1"/>
  <c r="S359" i="1" s="1"/>
  <c r="T359" i="1" s="1"/>
  <c r="R203" i="1"/>
  <c r="R359" i="1" s="1"/>
  <c r="Q203" i="1"/>
  <c r="Q359" i="1" s="1"/>
  <c r="P203" i="1"/>
  <c r="P359" i="1" s="1"/>
  <c r="M203" i="1"/>
  <c r="M359" i="1" s="1"/>
  <c r="N359" i="1" s="1"/>
  <c r="L203" i="1"/>
  <c r="L359" i="1" s="1"/>
  <c r="K203" i="1"/>
  <c r="K359" i="1" s="1"/>
  <c r="J203" i="1"/>
  <c r="J359" i="1" s="1"/>
  <c r="E203" i="1"/>
  <c r="F203" i="1"/>
  <c r="G203" i="1"/>
  <c r="D203" i="1"/>
  <c r="G43" i="3"/>
  <c r="CN62" i="1"/>
  <c r="CN61" i="1"/>
  <c r="CN54" i="1"/>
  <c r="CN148" i="1" s="1"/>
  <c r="CH62" i="1"/>
  <c r="CH61" i="1"/>
  <c r="CH54" i="1"/>
  <c r="CH148" i="1" s="1"/>
  <c r="CB62" i="1"/>
  <c r="CB61" i="1"/>
  <c r="CB54" i="1"/>
  <c r="CB148" i="1" s="1"/>
  <c r="BV62" i="1"/>
  <c r="BV61" i="1"/>
  <c r="BV54" i="1"/>
  <c r="BV148" i="1" s="1"/>
  <c r="BP62" i="1"/>
  <c r="BP61" i="1"/>
  <c r="BP54" i="1"/>
  <c r="BP148" i="1" s="1"/>
  <c r="BJ62" i="1"/>
  <c r="BJ61" i="1"/>
  <c r="BJ54" i="1"/>
  <c r="BJ148" i="1" s="1"/>
  <c r="CN190" i="1"/>
  <c r="CN187" i="1"/>
  <c r="CN185" i="1"/>
  <c r="CN184" i="1"/>
  <c r="CN180" i="1"/>
  <c r="CN175" i="1"/>
  <c r="CN174" i="1"/>
  <c r="CN173" i="1"/>
  <c r="CN172" i="1"/>
  <c r="CN171" i="1"/>
  <c r="CN170" i="1"/>
  <c r="CN169" i="1"/>
  <c r="CN168" i="1"/>
  <c r="CN150" i="1"/>
  <c r="CM148" i="1"/>
  <c r="CL148" i="1"/>
  <c r="CK148" i="1"/>
  <c r="CJ148" i="1"/>
  <c r="CN146" i="1"/>
  <c r="CN145" i="1"/>
  <c r="CN144" i="1"/>
  <c r="CN142" i="1"/>
  <c r="CH190" i="1"/>
  <c r="CH187" i="1"/>
  <c r="CH185" i="1"/>
  <c r="CH184" i="1"/>
  <c r="CH180" i="1"/>
  <c r="CH175" i="1"/>
  <c r="CH174" i="1"/>
  <c r="CH173" i="1"/>
  <c r="CH172" i="1"/>
  <c r="CH171" i="1"/>
  <c r="CH170" i="1"/>
  <c r="CH169" i="1"/>
  <c r="CH168" i="1"/>
  <c r="CH150" i="1"/>
  <c r="CG148" i="1"/>
  <c r="CF148" i="1"/>
  <c r="CE148" i="1"/>
  <c r="CD148" i="1"/>
  <c r="CH146" i="1"/>
  <c r="CH145" i="1"/>
  <c r="CH144" i="1"/>
  <c r="CH142" i="1"/>
  <c r="CB190" i="1"/>
  <c r="CB187" i="1"/>
  <c r="CB185" i="1"/>
  <c r="CB184" i="1"/>
  <c r="CB180" i="1"/>
  <c r="CB175" i="1"/>
  <c r="CB174" i="1"/>
  <c r="CB173" i="1"/>
  <c r="CB172" i="1"/>
  <c r="CB171" i="1"/>
  <c r="CB170" i="1"/>
  <c r="CB169" i="1"/>
  <c r="CB168" i="1"/>
  <c r="CB150" i="1"/>
  <c r="CA148" i="1"/>
  <c r="BZ148" i="1"/>
  <c r="BY148" i="1"/>
  <c r="BX148" i="1"/>
  <c r="CB146" i="1"/>
  <c r="CB145" i="1"/>
  <c r="CB144" i="1"/>
  <c r="CB142" i="1"/>
  <c r="BV190" i="1"/>
  <c r="BV187" i="1"/>
  <c r="BV185" i="1"/>
  <c r="BV184" i="1"/>
  <c r="BV180" i="1"/>
  <c r="BV175" i="1"/>
  <c r="BV174" i="1"/>
  <c r="BV173" i="1"/>
  <c r="BV172" i="1"/>
  <c r="BV171" i="1"/>
  <c r="BV170" i="1"/>
  <c r="BV169" i="1"/>
  <c r="BV168" i="1"/>
  <c r="BV150" i="1"/>
  <c r="BU148" i="1"/>
  <c r="BT148" i="1"/>
  <c r="BS148" i="1"/>
  <c r="BR148" i="1"/>
  <c r="BV146" i="1"/>
  <c r="BV145" i="1"/>
  <c r="BV144" i="1"/>
  <c r="BV142" i="1"/>
  <c r="BP190" i="1"/>
  <c r="BP187" i="1"/>
  <c r="BP185" i="1"/>
  <c r="BP184" i="1"/>
  <c r="BP180" i="1"/>
  <c r="BP175" i="1"/>
  <c r="BP174" i="1"/>
  <c r="BP173" i="1"/>
  <c r="BP172" i="1"/>
  <c r="BP171" i="1"/>
  <c r="BP170" i="1"/>
  <c r="BP169" i="1"/>
  <c r="BP168" i="1"/>
  <c r="BP150" i="1"/>
  <c r="BO148" i="1"/>
  <c r="BN148" i="1"/>
  <c r="BM148" i="1"/>
  <c r="BL148" i="1"/>
  <c r="BP146" i="1"/>
  <c r="BP145" i="1"/>
  <c r="BP144" i="1"/>
  <c r="BP142" i="1"/>
  <c r="BJ190" i="1"/>
  <c r="BJ187" i="1"/>
  <c r="BJ185" i="1"/>
  <c r="BJ184" i="1"/>
  <c r="BJ180" i="1"/>
  <c r="BJ175" i="1"/>
  <c r="BJ174" i="1"/>
  <c r="BJ173" i="1"/>
  <c r="BJ172" i="1"/>
  <c r="BJ171" i="1"/>
  <c r="BJ170" i="1"/>
  <c r="BJ169" i="1"/>
  <c r="BJ168" i="1"/>
  <c r="BJ150" i="1"/>
  <c r="BI148" i="1"/>
  <c r="BH148" i="1"/>
  <c r="BG148" i="1"/>
  <c r="BF148" i="1"/>
  <c r="BJ146" i="1"/>
  <c r="BJ145" i="1"/>
  <c r="BJ144" i="1"/>
  <c r="BJ142" i="1"/>
  <c r="BD150" i="1"/>
  <c r="BD146" i="1"/>
  <c r="BD145" i="1"/>
  <c r="BD144" i="1"/>
  <c r="BD142" i="1"/>
  <c r="BD187" i="1"/>
  <c r="BD185" i="1"/>
  <c r="BD184" i="1"/>
  <c r="BD180" i="1"/>
  <c r="AX187" i="1"/>
  <c r="AX185" i="1"/>
  <c r="AX184" i="1"/>
  <c r="AX181" i="1"/>
  <c r="AX180" i="1"/>
  <c r="AX178" i="1"/>
  <c r="BD175" i="1"/>
  <c r="BD174" i="1"/>
  <c r="BD173" i="1"/>
  <c r="BD172" i="1"/>
  <c r="BD171" i="1"/>
  <c r="BD170" i="1"/>
  <c r="BD169" i="1"/>
  <c r="BD168" i="1"/>
  <c r="BD167" i="1"/>
  <c r="BD166" i="1"/>
  <c r="BB148" i="1"/>
  <c r="BA148" i="1"/>
  <c r="AX150" i="1"/>
  <c r="AX146" i="1"/>
  <c r="AX145" i="1"/>
  <c r="AX144" i="1"/>
  <c r="AX142" i="1"/>
  <c r="AZ148" i="1"/>
  <c r="AW101" i="1"/>
  <c r="AW102" i="1"/>
  <c r="AW107" i="1"/>
  <c r="AW108" i="1"/>
  <c r="AX108" i="1" s="1"/>
  <c r="AZ108" i="1" s="1"/>
  <c r="BA108" i="1" s="1"/>
  <c r="BB108" i="1" s="1"/>
  <c r="BC108" i="1" s="1"/>
  <c r="BD108" i="1" s="1"/>
  <c r="BF108" i="1" s="1"/>
  <c r="BG108" i="1" s="1"/>
  <c r="BH108" i="1" s="1"/>
  <c r="BI108" i="1" s="1"/>
  <c r="BJ108" i="1" s="1"/>
  <c r="BL108" i="1" s="1"/>
  <c r="BM108" i="1" s="1"/>
  <c r="BN108" i="1" s="1"/>
  <c r="BO108" i="1" s="1"/>
  <c r="BP108" i="1" s="1"/>
  <c r="BR108" i="1" s="1"/>
  <c r="BS108" i="1" s="1"/>
  <c r="BT108" i="1" s="1"/>
  <c r="BU108" i="1" s="1"/>
  <c r="BV108" i="1" s="1"/>
  <c r="BX108" i="1" s="1"/>
  <c r="BY108" i="1" s="1"/>
  <c r="BZ108" i="1" s="1"/>
  <c r="CA108" i="1" s="1"/>
  <c r="CB108" i="1" s="1"/>
  <c r="CD108" i="1" s="1"/>
  <c r="CE108" i="1" s="1"/>
  <c r="CF108" i="1" s="1"/>
  <c r="CG108" i="1" s="1"/>
  <c r="CH108" i="1" s="1"/>
  <c r="CJ108" i="1" s="1"/>
  <c r="CK108" i="1" s="1"/>
  <c r="CL108" i="1" s="1"/>
  <c r="CM108" i="1" s="1"/>
  <c r="CN108" i="1" s="1"/>
  <c r="AW118" i="1"/>
  <c r="AX118" i="1" s="1"/>
  <c r="AZ118" i="1" s="1"/>
  <c r="BA118" i="1" s="1"/>
  <c r="BB118" i="1" s="1"/>
  <c r="BC118" i="1" s="1"/>
  <c r="BD118" i="1" s="1"/>
  <c r="BF118" i="1" s="1"/>
  <c r="BG118" i="1" s="1"/>
  <c r="BH118" i="1" s="1"/>
  <c r="BI118" i="1" s="1"/>
  <c r="BJ118" i="1" s="1"/>
  <c r="BL118" i="1" s="1"/>
  <c r="BM118" i="1" s="1"/>
  <c r="BN118" i="1" s="1"/>
  <c r="BO118" i="1" s="1"/>
  <c r="BP118" i="1" s="1"/>
  <c r="BR118" i="1" s="1"/>
  <c r="BS118" i="1" s="1"/>
  <c r="BT118" i="1" s="1"/>
  <c r="BU118" i="1" s="1"/>
  <c r="BV118" i="1" s="1"/>
  <c r="BX118" i="1" s="1"/>
  <c r="BY118" i="1" s="1"/>
  <c r="BZ118" i="1" s="1"/>
  <c r="CA118" i="1" s="1"/>
  <c r="CB118" i="1" s="1"/>
  <c r="CD118" i="1" s="1"/>
  <c r="CE118" i="1" s="1"/>
  <c r="CF118" i="1" s="1"/>
  <c r="CG118" i="1" s="1"/>
  <c r="CH118" i="1" s="1"/>
  <c r="CJ118" i="1" s="1"/>
  <c r="CK118" i="1" s="1"/>
  <c r="CL118" i="1" s="1"/>
  <c r="CM118" i="1" s="1"/>
  <c r="CN118" i="1" s="1"/>
  <c r="AW120" i="1"/>
  <c r="AW192" i="1"/>
  <c r="AW131" i="1"/>
  <c r="AW123" i="1"/>
  <c r="AW113" i="1"/>
  <c r="AX175" i="1"/>
  <c r="AX174" i="1"/>
  <c r="AX173" i="1"/>
  <c r="AX172" i="1"/>
  <c r="AX171" i="1"/>
  <c r="AX170" i="1"/>
  <c r="AX169" i="1"/>
  <c r="AX168" i="1"/>
  <c r="AX167" i="1"/>
  <c r="AX166" i="1"/>
  <c r="CN75" i="1"/>
  <c r="CM75" i="1"/>
  <c r="CL75" i="1"/>
  <c r="CK75" i="1"/>
  <c r="CJ75" i="1"/>
  <c r="CH75" i="1"/>
  <c r="CG75" i="1"/>
  <c r="CF75" i="1"/>
  <c r="CE75" i="1"/>
  <c r="CD75" i="1"/>
  <c r="CB75" i="1"/>
  <c r="CA75" i="1"/>
  <c r="BZ75" i="1"/>
  <c r="BY75" i="1"/>
  <c r="BX75" i="1"/>
  <c r="BV75" i="1"/>
  <c r="BU75" i="1"/>
  <c r="BT75" i="1"/>
  <c r="BS75" i="1"/>
  <c r="BR75" i="1"/>
  <c r="BP75" i="1"/>
  <c r="BO75" i="1"/>
  <c r="BN75" i="1"/>
  <c r="BM75" i="1"/>
  <c r="BL75" i="1"/>
  <c r="BJ75" i="1"/>
  <c r="BI75" i="1"/>
  <c r="BH75" i="1"/>
  <c r="BG75" i="1"/>
  <c r="BF75" i="1"/>
  <c r="AX69" i="1"/>
  <c r="AX70" i="1"/>
  <c r="AX71" i="1"/>
  <c r="AX72" i="1"/>
  <c r="AX74" i="1"/>
  <c r="AX68" i="1"/>
  <c r="AX54" i="1"/>
  <c r="AX148" i="1" s="1"/>
  <c r="AW62" i="1"/>
  <c r="L84" i="1"/>
  <c r="R84" i="1"/>
  <c r="AD84" i="1"/>
  <c r="AZ83" i="1"/>
  <c r="BA83" i="1" s="1"/>
  <c r="AJ84" i="1"/>
  <c r="AP84" i="1"/>
  <c r="AV84" i="1"/>
  <c r="H83" i="1"/>
  <c r="CL112" i="5"/>
  <c r="CK112" i="5"/>
  <c r="CJ112" i="5"/>
  <c r="CF112" i="5"/>
  <c r="CE112" i="5"/>
  <c r="CD112" i="5"/>
  <c r="BZ112" i="5"/>
  <c r="BY112" i="5"/>
  <c r="BX112" i="5"/>
  <c r="BT112" i="5"/>
  <c r="BS112" i="5"/>
  <c r="BR112" i="5"/>
  <c r="BN112" i="5"/>
  <c r="BM112" i="5"/>
  <c r="BL112" i="5"/>
  <c r="BH112" i="5"/>
  <c r="BG112" i="5"/>
  <c r="BF112" i="5"/>
  <c r="BB112" i="5"/>
  <c r="BA112" i="5"/>
  <c r="AZ112" i="5"/>
  <c r="H113" i="5"/>
  <c r="G113" i="5"/>
  <c r="F113" i="5"/>
  <c r="E113" i="5"/>
  <c r="D113" i="5"/>
  <c r="N113" i="5"/>
  <c r="M113" i="5"/>
  <c r="L113" i="5"/>
  <c r="K113" i="5"/>
  <c r="J113" i="5"/>
  <c r="T113" i="5"/>
  <c r="S113" i="5"/>
  <c r="R113" i="5"/>
  <c r="Q113" i="5"/>
  <c r="P113" i="5"/>
  <c r="Z113" i="5"/>
  <c r="Y113" i="5"/>
  <c r="X113" i="5"/>
  <c r="W113" i="5"/>
  <c r="V113" i="5"/>
  <c r="AF113" i="5"/>
  <c r="AE113" i="5"/>
  <c r="AD113" i="5"/>
  <c r="AC113" i="5"/>
  <c r="AB113" i="5"/>
  <c r="AL113" i="5"/>
  <c r="AK113" i="5"/>
  <c r="AJ113" i="5"/>
  <c r="AI113" i="5"/>
  <c r="AH113" i="5"/>
  <c r="AR113" i="5"/>
  <c r="AQ113" i="5"/>
  <c r="AP113" i="5"/>
  <c r="AO113" i="5"/>
  <c r="AN113" i="5"/>
  <c r="AU113" i="5"/>
  <c r="AV113" i="5"/>
  <c r="AT113" i="5"/>
  <c r="AV111" i="5"/>
  <c r="AU111" i="5"/>
  <c r="AT111" i="5"/>
  <c r="AT112" i="5" s="1"/>
  <c r="AV110" i="5"/>
  <c r="AU110" i="5"/>
  <c r="AT110" i="5"/>
  <c r="AV109" i="5"/>
  <c r="AV112" i="5" s="1"/>
  <c r="AU109" i="5"/>
  <c r="AU112" i="5" s="1"/>
  <c r="AT109" i="5"/>
  <c r="AQ112" i="5"/>
  <c r="AQ111" i="5"/>
  <c r="AP111" i="5"/>
  <c r="AO111" i="5"/>
  <c r="AN111" i="5"/>
  <c r="AN112" i="5" s="1"/>
  <c r="AQ110" i="5"/>
  <c r="AP110" i="5"/>
  <c r="AO110" i="5"/>
  <c r="AN110" i="5"/>
  <c r="AQ109" i="5"/>
  <c r="AP109" i="5"/>
  <c r="AP112" i="5" s="1"/>
  <c r="AO109" i="5"/>
  <c r="AO112" i="5" s="1"/>
  <c r="AN109" i="5"/>
  <c r="AH112" i="5"/>
  <c r="AK111" i="5"/>
  <c r="AJ111" i="5"/>
  <c r="AI111" i="5"/>
  <c r="AH111" i="5"/>
  <c r="AK110" i="5"/>
  <c r="AJ110" i="5"/>
  <c r="AI110" i="5"/>
  <c r="AH110" i="5"/>
  <c r="AK109" i="5"/>
  <c r="AK112" i="5" s="1"/>
  <c r="AJ109" i="5"/>
  <c r="AJ112" i="5" s="1"/>
  <c r="AI109" i="5"/>
  <c r="AI112" i="5" s="1"/>
  <c r="AH109" i="5"/>
  <c r="AB112" i="5"/>
  <c r="AE111" i="5"/>
  <c r="AD111" i="5"/>
  <c r="AC111" i="5"/>
  <c r="AB111" i="5"/>
  <c r="AE110" i="5"/>
  <c r="AD110" i="5"/>
  <c r="AD112" i="5" s="1"/>
  <c r="AC110" i="5"/>
  <c r="AB110" i="5"/>
  <c r="AE109" i="5"/>
  <c r="AE112" i="5" s="1"/>
  <c r="AD109" i="5"/>
  <c r="AC109" i="5"/>
  <c r="AC112" i="5" s="1"/>
  <c r="AB109" i="5"/>
  <c r="Y111" i="5"/>
  <c r="X111" i="5"/>
  <c r="W111" i="5"/>
  <c r="V111" i="5"/>
  <c r="Y110" i="5"/>
  <c r="X110" i="5"/>
  <c r="W110" i="5"/>
  <c r="V110" i="5"/>
  <c r="V112" i="5" s="1"/>
  <c r="Y109" i="5"/>
  <c r="Y112" i="5" s="1"/>
  <c r="X109" i="5"/>
  <c r="X112" i="5" s="1"/>
  <c r="W109" i="5"/>
  <c r="W112" i="5" s="1"/>
  <c r="V109" i="5"/>
  <c r="S112" i="5"/>
  <c r="R112" i="5"/>
  <c r="Q112" i="5"/>
  <c r="P112" i="5"/>
  <c r="S111" i="5"/>
  <c r="R111" i="5"/>
  <c r="Q111" i="5"/>
  <c r="P111" i="5"/>
  <c r="S110" i="5"/>
  <c r="R110" i="5"/>
  <c r="Q110" i="5"/>
  <c r="P110" i="5"/>
  <c r="S109" i="5"/>
  <c r="R109" i="5"/>
  <c r="Q109" i="5"/>
  <c r="P109" i="5"/>
  <c r="M112" i="5"/>
  <c r="M111" i="5"/>
  <c r="L111" i="5"/>
  <c r="K111" i="5"/>
  <c r="J111" i="5"/>
  <c r="J112" i="5" s="1"/>
  <c r="M110" i="5"/>
  <c r="L110" i="5"/>
  <c r="K110" i="5"/>
  <c r="J110" i="5"/>
  <c r="M109" i="5"/>
  <c r="L109" i="5"/>
  <c r="L112" i="5" s="1"/>
  <c r="K109" i="5"/>
  <c r="K112" i="5" s="1"/>
  <c r="J109" i="5"/>
  <c r="E109" i="5"/>
  <c r="F109" i="5"/>
  <c r="G109" i="5"/>
  <c r="E110" i="5"/>
  <c r="E112" i="5" s="1"/>
  <c r="F110" i="5"/>
  <c r="G110" i="5"/>
  <c r="E111" i="5"/>
  <c r="F111" i="5"/>
  <c r="G111" i="5"/>
  <c r="F112" i="5"/>
  <c r="G112" i="5"/>
  <c r="D112" i="5"/>
  <c r="D111" i="5"/>
  <c r="D110" i="5"/>
  <c r="D109" i="5"/>
  <c r="BB271" i="5"/>
  <c r="BH271" i="5" s="1"/>
  <c r="BN271" i="5" s="1"/>
  <c r="BT271" i="5" s="1"/>
  <c r="BZ271" i="5" s="1"/>
  <c r="CF271" i="5" s="1"/>
  <c r="BA271" i="5"/>
  <c r="BG271" i="5" s="1"/>
  <c r="BM271" i="5" s="1"/>
  <c r="BS271" i="5" s="1"/>
  <c r="BY271" i="5" s="1"/>
  <c r="CE271" i="5" s="1"/>
  <c r="CK271" i="5" s="1"/>
  <c r="AZ271" i="5"/>
  <c r="BF271" i="5" s="1"/>
  <c r="AX172" i="5"/>
  <c r="AX131" i="5"/>
  <c r="BD172" i="5"/>
  <c r="BD131" i="5"/>
  <c r="BD56" i="5"/>
  <c r="BD83" i="5" s="1"/>
  <c r="CN39" i="1"/>
  <c r="CM39" i="1"/>
  <c r="CL39" i="1"/>
  <c r="CK39" i="1"/>
  <c r="CJ39" i="1"/>
  <c r="CH39" i="1"/>
  <c r="CG39" i="1"/>
  <c r="CF39" i="1"/>
  <c r="CE39" i="1"/>
  <c r="CD39" i="1"/>
  <c r="CB39" i="1"/>
  <c r="CA39" i="1"/>
  <c r="BZ39" i="1"/>
  <c r="BY39" i="1"/>
  <c r="BX39" i="1"/>
  <c r="BV39" i="1"/>
  <c r="BU39" i="1"/>
  <c r="BT39" i="1"/>
  <c r="BS39" i="1"/>
  <c r="BR39" i="1"/>
  <c r="BP39" i="1"/>
  <c r="BO39" i="1"/>
  <c r="BN39" i="1"/>
  <c r="BM39" i="1"/>
  <c r="BL39" i="1"/>
  <c r="BJ39" i="1"/>
  <c r="BI39" i="1"/>
  <c r="BH39" i="1"/>
  <c r="BG39" i="1"/>
  <c r="BF39" i="1"/>
  <c r="BD39" i="1"/>
  <c r="BC39" i="1"/>
  <c r="BB39" i="1"/>
  <c r="BA39" i="1"/>
  <c r="AZ39" i="1"/>
  <c r="AW39" i="1"/>
  <c r="AV39" i="1"/>
  <c r="AU39" i="1"/>
  <c r="AT39" i="1"/>
  <c r="AV33" i="1"/>
  <c r="AU33" i="1"/>
  <c r="AT33" i="1"/>
  <c r="AV31" i="1"/>
  <c r="AU31" i="1"/>
  <c r="AT31" i="1"/>
  <c r="AV29" i="1"/>
  <c r="AU29" i="1"/>
  <c r="AT29" i="1"/>
  <c r="AV27" i="1"/>
  <c r="AU27" i="1"/>
  <c r="AT27" i="1"/>
  <c r="AV25" i="1"/>
  <c r="AU25" i="1"/>
  <c r="AT25" i="1"/>
  <c r="AV21" i="1"/>
  <c r="AU21" i="1"/>
  <c r="AT21" i="1"/>
  <c r="AV8" i="1"/>
  <c r="AU8" i="1"/>
  <c r="AT8" i="1"/>
  <c r="AV7" i="1"/>
  <c r="AU7" i="1"/>
  <c r="AT7" i="1"/>
  <c r="O57" i="3"/>
  <c r="P57" i="3" s="1"/>
  <c r="Q57" i="3" s="1"/>
  <c r="U103" i="3"/>
  <c r="AZ345" i="1"/>
  <c r="S12" i="6"/>
  <c r="CM24" i="5"/>
  <c r="CL24" i="5"/>
  <c r="CK24" i="5"/>
  <c r="CJ24" i="5"/>
  <c r="CG24" i="5"/>
  <c r="CF24" i="5"/>
  <c r="CE24" i="5"/>
  <c r="CD24" i="5"/>
  <c r="CA24" i="5"/>
  <c r="BZ24" i="5"/>
  <c r="BY24" i="5"/>
  <c r="BX24" i="5"/>
  <c r="BU24" i="5"/>
  <c r="BT24" i="5"/>
  <c r="BS24" i="5"/>
  <c r="BR24" i="5"/>
  <c r="BO24" i="5"/>
  <c r="BN24" i="5"/>
  <c r="BM24" i="5"/>
  <c r="BL24" i="5"/>
  <c r="BI24" i="5"/>
  <c r="BH24" i="5"/>
  <c r="BG24" i="5"/>
  <c r="BF24" i="5"/>
  <c r="CM83" i="5"/>
  <c r="CL83" i="5"/>
  <c r="CK83" i="5"/>
  <c r="CJ83" i="5"/>
  <c r="CG83" i="5"/>
  <c r="CF83" i="5"/>
  <c r="CE83" i="5"/>
  <c r="CD83" i="5"/>
  <c r="CA83" i="5"/>
  <c r="BZ83" i="5"/>
  <c r="BY83" i="5"/>
  <c r="BX83" i="5"/>
  <c r="BU83" i="5"/>
  <c r="BT83" i="5"/>
  <c r="BS83" i="5"/>
  <c r="BR83" i="5"/>
  <c r="BO83" i="5"/>
  <c r="BN83" i="5"/>
  <c r="BM83" i="5"/>
  <c r="BL83" i="5"/>
  <c r="BI83" i="5"/>
  <c r="BH83" i="5"/>
  <c r="BG83" i="5"/>
  <c r="BF83" i="5"/>
  <c r="BC83" i="5"/>
  <c r="BB83" i="5"/>
  <c r="BA83" i="5"/>
  <c r="AZ83" i="5"/>
  <c r="AW83" i="5"/>
  <c r="AV82" i="5"/>
  <c r="AU82" i="5"/>
  <c r="AT82" i="5"/>
  <c r="CN56" i="5"/>
  <c r="CH56" i="5"/>
  <c r="CH83" i="5" s="1"/>
  <c r="CB56" i="5"/>
  <c r="BV56" i="5"/>
  <c r="BV83" i="5" s="1"/>
  <c r="BP56" i="5"/>
  <c r="BP83" i="5" s="1"/>
  <c r="BJ56" i="5"/>
  <c r="BJ83" i="5" s="1"/>
  <c r="AV57" i="5"/>
  <c r="AU57" i="5"/>
  <c r="AT57" i="5"/>
  <c r="AV55" i="5"/>
  <c r="AU55" i="5"/>
  <c r="AT55" i="5"/>
  <c r="AV54" i="5"/>
  <c r="AU54" i="5"/>
  <c r="AT54" i="5"/>
  <c r="AV53" i="5"/>
  <c r="AU53" i="5"/>
  <c r="AT53" i="5"/>
  <c r="AV52" i="5"/>
  <c r="AU52" i="5"/>
  <c r="AT52" i="5"/>
  <c r="BA296" i="5"/>
  <c r="BG296" i="5" s="1"/>
  <c r="BM296" i="5" s="1"/>
  <c r="BS296" i="5" s="1"/>
  <c r="BY296" i="5" s="1"/>
  <c r="CE296" i="5" s="1"/>
  <c r="CK296" i="5" s="1"/>
  <c r="BB296" i="5"/>
  <c r="BH296" i="5" s="1"/>
  <c r="BN296" i="5" s="1"/>
  <c r="BT296" i="5" s="1"/>
  <c r="BZ296" i="5" s="1"/>
  <c r="CF296" i="5" s="1"/>
  <c r="CL296" i="5" s="1"/>
  <c r="AZ296" i="5"/>
  <c r="AW296" i="5"/>
  <c r="BB286" i="5"/>
  <c r="BH286" i="5" s="1"/>
  <c r="BN286" i="5" s="1"/>
  <c r="BT286" i="5" s="1"/>
  <c r="BZ286" i="5" s="1"/>
  <c r="CF286" i="5" s="1"/>
  <c r="CL286" i="5" s="1"/>
  <c r="BA286" i="5"/>
  <c r="BG286" i="5" s="1"/>
  <c r="BM286" i="5" s="1"/>
  <c r="BS286" i="5" s="1"/>
  <c r="BY286" i="5" s="1"/>
  <c r="CE286" i="5" s="1"/>
  <c r="CK286" i="5" s="1"/>
  <c r="AV297" i="5"/>
  <c r="AU297" i="5"/>
  <c r="AT297" i="5"/>
  <c r="AQ297" i="5"/>
  <c r="AP297" i="5"/>
  <c r="AO297" i="5"/>
  <c r="AN297" i="5"/>
  <c r="AK297" i="5"/>
  <c r="AJ297" i="5"/>
  <c r="AI297" i="5"/>
  <c r="AH297" i="5"/>
  <c r="AE297" i="5"/>
  <c r="AD297" i="5"/>
  <c r="AC297" i="5"/>
  <c r="AB297" i="5"/>
  <c r="Y297" i="5"/>
  <c r="X297" i="5"/>
  <c r="W297" i="5"/>
  <c r="V297" i="5"/>
  <c r="S297" i="5"/>
  <c r="R297" i="5"/>
  <c r="Q297" i="5"/>
  <c r="P297" i="5"/>
  <c r="M297" i="5"/>
  <c r="L297" i="5"/>
  <c r="K297" i="5"/>
  <c r="J297" i="5"/>
  <c r="BB291" i="5"/>
  <c r="BH291" i="5" s="1"/>
  <c r="BN291" i="5" s="1"/>
  <c r="BT291" i="5" s="1"/>
  <c r="BZ291" i="5" s="1"/>
  <c r="CF291" i="5" s="1"/>
  <c r="CL291" i="5" s="1"/>
  <c r="BA291" i="5"/>
  <c r="BG291" i="5" s="1"/>
  <c r="BM291" i="5" s="1"/>
  <c r="BS291" i="5" s="1"/>
  <c r="BY291" i="5" s="1"/>
  <c r="CE291" i="5" s="1"/>
  <c r="CK291" i="5" s="1"/>
  <c r="BB159" i="5"/>
  <c r="BH159" i="5" s="1"/>
  <c r="BN159" i="5" s="1"/>
  <c r="BT159" i="5" s="1"/>
  <c r="BZ159" i="5" s="1"/>
  <c r="CF159" i="5" s="1"/>
  <c r="CL159" i="5" s="1"/>
  <c r="BA159" i="5"/>
  <c r="BG159" i="5" s="1"/>
  <c r="BM159" i="5" s="1"/>
  <c r="BS159" i="5" s="1"/>
  <c r="BY159" i="5" s="1"/>
  <c r="CE159" i="5" s="1"/>
  <c r="CK159" i="5" s="1"/>
  <c r="AZ159" i="5"/>
  <c r="BB200" i="5"/>
  <c r="BH200" i="5" s="1"/>
  <c r="BN200" i="5" s="1"/>
  <c r="BT200" i="5" s="1"/>
  <c r="BZ200" i="5" s="1"/>
  <c r="CF200" i="5" s="1"/>
  <c r="CL200" i="5" s="1"/>
  <c r="BA200" i="5"/>
  <c r="BG200" i="5" s="1"/>
  <c r="BM200" i="5" s="1"/>
  <c r="BS200" i="5" s="1"/>
  <c r="BY200" i="5" s="1"/>
  <c r="CE200" i="5" s="1"/>
  <c r="CK200" i="5" s="1"/>
  <c r="AZ200" i="5"/>
  <c r="BB266" i="5"/>
  <c r="BH266" i="5" s="1"/>
  <c r="BN266" i="5" s="1"/>
  <c r="BT266" i="5" s="1"/>
  <c r="BZ266" i="5" s="1"/>
  <c r="CF266" i="5" s="1"/>
  <c r="CL266" i="5" s="1"/>
  <c r="BA266" i="5"/>
  <c r="BG266" i="5" s="1"/>
  <c r="BM266" i="5" s="1"/>
  <c r="BS266" i="5" s="1"/>
  <c r="BY266" i="5" s="1"/>
  <c r="CE266" i="5" s="1"/>
  <c r="CK266" i="5" s="1"/>
  <c r="AZ266" i="5"/>
  <c r="BB205" i="5"/>
  <c r="BH205" i="5" s="1"/>
  <c r="BN205" i="5" s="1"/>
  <c r="BT205" i="5" s="1"/>
  <c r="BZ205" i="5" s="1"/>
  <c r="CF205" i="5" s="1"/>
  <c r="CL205" i="5" s="1"/>
  <c r="BA205" i="5"/>
  <c r="BG205" i="5" s="1"/>
  <c r="BM205" i="5" s="1"/>
  <c r="BS205" i="5" s="1"/>
  <c r="BY205" i="5" s="1"/>
  <c r="CE205" i="5" s="1"/>
  <c r="CK205" i="5" s="1"/>
  <c r="AZ205" i="5"/>
  <c r="BB164" i="5"/>
  <c r="BA164" i="5"/>
  <c r="AZ164" i="5"/>
  <c r="BB212" i="5"/>
  <c r="BH212" i="5" s="1"/>
  <c r="BN212" i="5" s="1"/>
  <c r="BT212" i="5" s="1"/>
  <c r="BZ212" i="5" s="1"/>
  <c r="CF212" i="5" s="1"/>
  <c r="CL212" i="5" s="1"/>
  <c r="BA212" i="5"/>
  <c r="BG212" i="5" s="1"/>
  <c r="BM212" i="5" s="1"/>
  <c r="BS212" i="5" s="1"/>
  <c r="BY212" i="5" s="1"/>
  <c r="CE212" i="5" s="1"/>
  <c r="CK212" i="5" s="1"/>
  <c r="AZ212" i="5"/>
  <c r="AW212" i="5"/>
  <c r="BB211" i="5"/>
  <c r="BH211" i="5" s="1"/>
  <c r="BN211" i="5" s="1"/>
  <c r="BT211" i="5" s="1"/>
  <c r="BZ211" i="5" s="1"/>
  <c r="CF211" i="5" s="1"/>
  <c r="CL211" i="5" s="1"/>
  <c r="BA211" i="5"/>
  <c r="BG211" i="5" s="1"/>
  <c r="BM211" i="5" s="1"/>
  <c r="BS211" i="5" s="1"/>
  <c r="BY211" i="5" s="1"/>
  <c r="CE211" i="5" s="1"/>
  <c r="CK211" i="5" s="1"/>
  <c r="AZ211" i="5"/>
  <c r="AW211" i="5"/>
  <c r="AX211" i="5" s="1"/>
  <c r="BB210" i="5"/>
  <c r="BH210" i="5" s="1"/>
  <c r="BN210" i="5" s="1"/>
  <c r="BT210" i="5" s="1"/>
  <c r="BZ210" i="5" s="1"/>
  <c r="CF210" i="5" s="1"/>
  <c r="CL210" i="5" s="1"/>
  <c r="BA210" i="5"/>
  <c r="BG210" i="5" s="1"/>
  <c r="BM210" i="5" s="1"/>
  <c r="BS210" i="5" s="1"/>
  <c r="BY210" i="5" s="1"/>
  <c r="CE210" i="5" s="1"/>
  <c r="CK210" i="5" s="1"/>
  <c r="AZ210" i="5"/>
  <c r="AW210" i="5"/>
  <c r="BB209" i="5"/>
  <c r="BH209" i="5" s="1"/>
  <c r="BA209" i="5"/>
  <c r="AZ209" i="5"/>
  <c r="AW209" i="5"/>
  <c r="CN172" i="5"/>
  <c r="CH172" i="5"/>
  <c r="CB172" i="5"/>
  <c r="BV172" i="5"/>
  <c r="BP172" i="5"/>
  <c r="BJ172" i="5"/>
  <c r="BB171" i="5"/>
  <c r="BH171" i="5" s="1"/>
  <c r="BN171" i="5" s="1"/>
  <c r="BT171" i="5" s="1"/>
  <c r="BA171" i="5"/>
  <c r="BG171" i="5" s="1"/>
  <c r="BM171" i="5" s="1"/>
  <c r="BS171" i="5" s="1"/>
  <c r="BY171" i="5" s="1"/>
  <c r="CE171" i="5" s="1"/>
  <c r="CK171" i="5" s="1"/>
  <c r="AZ171" i="5"/>
  <c r="AW171" i="5"/>
  <c r="AX171" i="5" s="1"/>
  <c r="BB170" i="5"/>
  <c r="BH170" i="5" s="1"/>
  <c r="BN170" i="5" s="1"/>
  <c r="BT170" i="5" s="1"/>
  <c r="BZ170" i="5" s="1"/>
  <c r="CF170" i="5" s="1"/>
  <c r="CL170" i="5" s="1"/>
  <c r="BA170" i="5"/>
  <c r="BG170" i="5" s="1"/>
  <c r="BM170" i="5" s="1"/>
  <c r="BS170" i="5" s="1"/>
  <c r="BY170" i="5" s="1"/>
  <c r="CE170" i="5" s="1"/>
  <c r="CK170" i="5" s="1"/>
  <c r="AZ170" i="5"/>
  <c r="AW170" i="5"/>
  <c r="BB169" i="5"/>
  <c r="BH169" i="5" s="1"/>
  <c r="BN169" i="5" s="1"/>
  <c r="BT169" i="5" s="1"/>
  <c r="BZ169" i="5" s="1"/>
  <c r="BA169" i="5"/>
  <c r="BG169" i="5" s="1"/>
  <c r="AZ169" i="5"/>
  <c r="AW169" i="5"/>
  <c r="BB168" i="5"/>
  <c r="BH168" i="5" s="1"/>
  <c r="BA168" i="5"/>
  <c r="BG168" i="5" s="1"/>
  <c r="AZ168" i="5"/>
  <c r="AW168" i="5"/>
  <c r="CM184" i="5"/>
  <c r="CL184" i="5"/>
  <c r="CK184" i="5"/>
  <c r="CJ184" i="5"/>
  <c r="CG184" i="5"/>
  <c r="CF184" i="5"/>
  <c r="CE184" i="5"/>
  <c r="CD184" i="5"/>
  <c r="CA184" i="5"/>
  <c r="BZ184" i="5"/>
  <c r="BY184" i="5"/>
  <c r="BX184" i="5"/>
  <c r="BU184" i="5"/>
  <c r="BT184" i="5"/>
  <c r="BS184" i="5"/>
  <c r="BR184" i="5"/>
  <c r="BO184" i="5"/>
  <c r="BN184" i="5"/>
  <c r="BM184" i="5"/>
  <c r="BL184" i="5"/>
  <c r="BI184" i="5"/>
  <c r="BH184" i="5"/>
  <c r="BG184" i="5"/>
  <c r="BF184" i="5"/>
  <c r="BC184" i="5"/>
  <c r="BB184" i="5"/>
  <c r="BA184" i="5"/>
  <c r="AZ184" i="5"/>
  <c r="AW184" i="5"/>
  <c r="BA143" i="5"/>
  <c r="BI143" i="5"/>
  <c r="CM143" i="5"/>
  <c r="CL143" i="5"/>
  <c r="CK143" i="5"/>
  <c r="CJ143" i="5"/>
  <c r="CG143" i="5"/>
  <c r="CF143" i="5"/>
  <c r="CE143" i="5"/>
  <c r="CD143" i="5"/>
  <c r="CA143" i="5"/>
  <c r="BZ143" i="5"/>
  <c r="BY143" i="5"/>
  <c r="BX143" i="5"/>
  <c r="BU143" i="5"/>
  <c r="BT143" i="5"/>
  <c r="BS143" i="5"/>
  <c r="BR143" i="5"/>
  <c r="BO143" i="5"/>
  <c r="BN143" i="5"/>
  <c r="BM143" i="5"/>
  <c r="BL143" i="5"/>
  <c r="BH143" i="5"/>
  <c r="BG143" i="5"/>
  <c r="BF143" i="5"/>
  <c r="BC143" i="5"/>
  <c r="BB143" i="5"/>
  <c r="AZ143" i="5"/>
  <c r="AW143" i="5"/>
  <c r="BA127" i="5"/>
  <c r="BG127" i="5" s="1"/>
  <c r="BB127" i="5"/>
  <c r="BH127" i="5" s="1"/>
  <c r="BA128" i="5"/>
  <c r="BG128" i="5" s="1"/>
  <c r="BM128" i="5" s="1"/>
  <c r="BS128" i="5" s="1"/>
  <c r="BY128" i="5" s="1"/>
  <c r="CE128" i="5" s="1"/>
  <c r="CK128" i="5" s="1"/>
  <c r="BB128" i="5"/>
  <c r="BH128" i="5" s="1"/>
  <c r="BN128" i="5" s="1"/>
  <c r="BT128" i="5" s="1"/>
  <c r="BZ128" i="5" s="1"/>
  <c r="CF128" i="5" s="1"/>
  <c r="CL128" i="5" s="1"/>
  <c r="BA129" i="5"/>
  <c r="BG129" i="5" s="1"/>
  <c r="BM129" i="5" s="1"/>
  <c r="BS129" i="5" s="1"/>
  <c r="BY129" i="5" s="1"/>
  <c r="CE129" i="5" s="1"/>
  <c r="CK129" i="5" s="1"/>
  <c r="BB129" i="5"/>
  <c r="BA130" i="5"/>
  <c r="BG130" i="5" s="1"/>
  <c r="BM130" i="5" s="1"/>
  <c r="BB130" i="5"/>
  <c r="BH130" i="5" s="1"/>
  <c r="BN130" i="5" s="1"/>
  <c r="BT130" i="5" s="1"/>
  <c r="BZ130" i="5" s="1"/>
  <c r="CF130" i="5" s="1"/>
  <c r="CL130" i="5" s="1"/>
  <c r="AZ130" i="5"/>
  <c r="AZ129" i="5"/>
  <c r="AZ128" i="5"/>
  <c r="AZ127" i="5"/>
  <c r="AW130" i="5"/>
  <c r="AW129" i="5"/>
  <c r="AW128" i="5"/>
  <c r="AW127" i="5"/>
  <c r="AX127" i="5" s="1"/>
  <c r="H69" i="1"/>
  <c r="H39" i="1" s="1"/>
  <c r="G74" i="1"/>
  <c r="G72" i="1"/>
  <c r="G71" i="1"/>
  <c r="G70" i="1"/>
  <c r="G68" i="1"/>
  <c r="M74" i="1"/>
  <c r="M72" i="1"/>
  <c r="M71" i="1"/>
  <c r="M70" i="1"/>
  <c r="M68" i="1"/>
  <c r="S74" i="1"/>
  <c r="S72" i="1"/>
  <c r="S71" i="1"/>
  <c r="S70" i="1"/>
  <c r="S69" i="1"/>
  <c r="S68" i="1"/>
  <c r="P73" i="1"/>
  <c r="Q73" i="1"/>
  <c r="R73" i="1"/>
  <c r="D75" i="1"/>
  <c r="D73" i="1" s="1"/>
  <c r="J75" i="1"/>
  <c r="J73" i="1" s="1"/>
  <c r="J69" i="1" s="1"/>
  <c r="E75" i="1"/>
  <c r="K75" i="1"/>
  <c r="F75" i="1"/>
  <c r="L75" i="1"/>
  <c r="B25" i="11"/>
  <c r="F25" i="11" s="1"/>
  <c r="C25" i="11"/>
  <c r="D25" i="11"/>
  <c r="E25" i="11"/>
  <c r="H25" i="11"/>
  <c r="I25" i="11"/>
  <c r="L25" i="11" s="1"/>
  <c r="J25" i="11"/>
  <c r="K25" i="11"/>
  <c r="N25" i="11"/>
  <c r="O25" i="11"/>
  <c r="P25" i="11"/>
  <c r="Q25" i="11"/>
  <c r="R25" i="11"/>
  <c r="T25" i="11"/>
  <c r="U25" i="11"/>
  <c r="V25" i="11"/>
  <c r="W25" i="11"/>
  <c r="X25" i="11"/>
  <c r="Z25" i="11"/>
  <c r="AA25" i="11"/>
  <c r="AB25" i="11"/>
  <c r="AD25" i="11" s="1"/>
  <c r="AC25" i="11"/>
  <c r="AF25" i="11"/>
  <c r="AJ25" i="11" s="1"/>
  <c r="AG25" i="11"/>
  <c r="AH25" i="11"/>
  <c r="AI25" i="11"/>
  <c r="AL25" i="11"/>
  <c r="AP25" i="11" s="1"/>
  <c r="AM25" i="11"/>
  <c r="AN25" i="11"/>
  <c r="AO25" i="11"/>
  <c r="AR25" i="11"/>
  <c r="AS25" i="11"/>
  <c r="AT25" i="11"/>
  <c r="B26" i="11"/>
  <c r="F26" i="11" s="1"/>
  <c r="C26" i="11"/>
  <c r="D26" i="11"/>
  <c r="E26" i="11"/>
  <c r="H26" i="11"/>
  <c r="L26" i="11" s="1"/>
  <c r="I26" i="11"/>
  <c r="J26" i="11"/>
  <c r="K26" i="11"/>
  <c r="N26" i="11"/>
  <c r="R26" i="11" s="1"/>
  <c r="O26" i="11"/>
  <c r="P26" i="11"/>
  <c r="Q26" i="11"/>
  <c r="T26" i="11"/>
  <c r="U26" i="11"/>
  <c r="X26" i="11" s="1"/>
  <c r="V26" i="11"/>
  <c r="W26" i="11"/>
  <c r="Z26" i="11"/>
  <c r="AA26" i="11"/>
  <c r="AB26" i="11"/>
  <c r="AC26" i="11"/>
  <c r="AD26" i="11"/>
  <c r="AF26" i="11"/>
  <c r="AG26" i="11"/>
  <c r="AH26" i="11"/>
  <c r="AI26" i="11"/>
  <c r="AJ26" i="11"/>
  <c r="AL26" i="11"/>
  <c r="AM26" i="11"/>
  <c r="AN26" i="11"/>
  <c r="AP26" i="11" s="1"/>
  <c r="AO26" i="11"/>
  <c r="AR26" i="11"/>
  <c r="AS26" i="11"/>
  <c r="AT26" i="11"/>
  <c r="B27" i="11"/>
  <c r="C27" i="11"/>
  <c r="D27" i="11"/>
  <c r="F27" i="11" s="1"/>
  <c r="E27" i="11"/>
  <c r="H27" i="11"/>
  <c r="I27" i="11"/>
  <c r="J27" i="11"/>
  <c r="L27" i="11" s="1"/>
  <c r="K27" i="11"/>
  <c r="N27" i="11"/>
  <c r="R27" i="11" s="1"/>
  <c r="O27" i="11"/>
  <c r="P27" i="11"/>
  <c r="Q27" i="11"/>
  <c r="T27" i="11"/>
  <c r="X27" i="11" s="1"/>
  <c r="U27" i="11"/>
  <c r="V27" i="11"/>
  <c r="W27" i="11"/>
  <c r="Z27" i="11"/>
  <c r="AD27" i="11" s="1"/>
  <c r="AA27" i="11"/>
  <c r="AB27" i="11"/>
  <c r="AC27" i="11"/>
  <c r="AF27" i="11"/>
  <c r="AG27" i="11"/>
  <c r="AJ27" i="11" s="1"/>
  <c r="AH27" i="11"/>
  <c r="AI27" i="11"/>
  <c r="AL27" i="11"/>
  <c r="AM27" i="11"/>
  <c r="AN27" i="11"/>
  <c r="AO27" i="11"/>
  <c r="AP27" i="11"/>
  <c r="AR27" i="11"/>
  <c r="AS27" i="11"/>
  <c r="AT27" i="11"/>
  <c r="B28" i="11"/>
  <c r="C28" i="11"/>
  <c r="D28" i="11"/>
  <c r="E28" i="11"/>
  <c r="F28" i="11"/>
  <c r="H28" i="11"/>
  <c r="I28" i="11"/>
  <c r="L28" i="11" s="1"/>
  <c r="J28" i="11"/>
  <c r="K28" i="11"/>
  <c r="N28" i="11"/>
  <c r="O28" i="11"/>
  <c r="P28" i="11"/>
  <c r="R28" i="11" s="1"/>
  <c r="Q28" i="11"/>
  <c r="T28" i="11"/>
  <c r="U28" i="11"/>
  <c r="X28" i="11" s="1"/>
  <c r="V28" i="11"/>
  <c r="W28" i="11"/>
  <c r="Z28" i="11"/>
  <c r="AD28" i="11" s="1"/>
  <c r="AA28" i="11"/>
  <c r="AB28" i="11"/>
  <c r="AC28" i="11"/>
  <c r="AF28" i="11"/>
  <c r="AJ28" i="11" s="1"/>
  <c r="AG28" i="11"/>
  <c r="AH28" i="11"/>
  <c r="AI28" i="11"/>
  <c r="AL28" i="11"/>
  <c r="AP28" i="11" s="1"/>
  <c r="AM28" i="11"/>
  <c r="AN28" i="11"/>
  <c r="AO28" i="11"/>
  <c r="AR28" i="11"/>
  <c r="AS28" i="11"/>
  <c r="AT28" i="11"/>
  <c r="B29" i="11"/>
  <c r="F29" i="11" s="1"/>
  <c r="C29" i="11"/>
  <c r="D29" i="11"/>
  <c r="E29" i="11"/>
  <c r="H29" i="11"/>
  <c r="I29" i="11"/>
  <c r="L29" i="11" s="1"/>
  <c r="J29" i="11"/>
  <c r="K29" i="11"/>
  <c r="N29" i="11"/>
  <c r="O29" i="11"/>
  <c r="P29" i="11"/>
  <c r="Q29" i="11"/>
  <c r="R29" i="11"/>
  <c r="T29" i="11"/>
  <c r="U29" i="11"/>
  <c r="V29" i="11"/>
  <c r="W29" i="11"/>
  <c r="X29" i="11"/>
  <c r="Z29" i="11"/>
  <c r="AA29" i="11"/>
  <c r="AB29" i="11"/>
  <c r="AD29" i="11" s="1"/>
  <c r="AC29" i="11"/>
  <c r="AF29" i="11"/>
  <c r="AJ29" i="11" s="1"/>
  <c r="AG29" i="11"/>
  <c r="AH29" i="11"/>
  <c r="AI29" i="11"/>
  <c r="AL29" i="11"/>
  <c r="AP29" i="11" s="1"/>
  <c r="AM29" i="11"/>
  <c r="AN29" i="11"/>
  <c r="AO29" i="11"/>
  <c r="AR29" i="11"/>
  <c r="AS29" i="11"/>
  <c r="AT29" i="11"/>
  <c r="B30" i="11"/>
  <c r="F30" i="11" s="1"/>
  <c r="C30" i="11"/>
  <c r="D30" i="11"/>
  <c r="E30" i="11"/>
  <c r="H30" i="11"/>
  <c r="L30" i="11" s="1"/>
  <c r="I30" i="11"/>
  <c r="J30" i="11"/>
  <c r="K30" i="11"/>
  <c r="N30" i="11"/>
  <c r="R30" i="11" s="1"/>
  <c r="O30" i="11"/>
  <c r="P30" i="11"/>
  <c r="Q30" i="11"/>
  <c r="T30" i="11"/>
  <c r="U30" i="11"/>
  <c r="X30" i="11" s="1"/>
  <c r="V30" i="11"/>
  <c r="W30" i="11"/>
  <c r="Z30" i="11"/>
  <c r="AA30" i="11"/>
  <c r="AB30" i="11"/>
  <c r="AC30" i="11"/>
  <c r="AD30" i="11"/>
  <c r="AF30" i="11"/>
  <c r="AG30" i="11"/>
  <c r="AH30" i="11"/>
  <c r="AI30" i="11"/>
  <c r="AJ30" i="11"/>
  <c r="AL30" i="11"/>
  <c r="AM30" i="11"/>
  <c r="AN30" i="11"/>
  <c r="AP30" i="11" s="1"/>
  <c r="AO30" i="11"/>
  <c r="AR30" i="11"/>
  <c r="AS30" i="11"/>
  <c r="AT30" i="11"/>
  <c r="B31" i="11"/>
  <c r="C31" i="11"/>
  <c r="D31" i="11"/>
  <c r="F31" i="11" s="1"/>
  <c r="E31" i="11"/>
  <c r="H31" i="11"/>
  <c r="I31" i="11"/>
  <c r="J31" i="11"/>
  <c r="L31" i="11" s="1"/>
  <c r="K31" i="11"/>
  <c r="N31" i="11"/>
  <c r="R31" i="11" s="1"/>
  <c r="O31" i="11"/>
  <c r="P31" i="11"/>
  <c r="Q31" i="11"/>
  <c r="T31" i="11"/>
  <c r="X31" i="11" s="1"/>
  <c r="U31" i="11"/>
  <c r="V31" i="11"/>
  <c r="W31" i="11"/>
  <c r="Z31" i="11"/>
  <c r="AD31" i="11" s="1"/>
  <c r="AA31" i="11"/>
  <c r="AB31" i="11"/>
  <c r="AC31" i="11"/>
  <c r="AF31" i="11"/>
  <c r="AG31" i="11"/>
  <c r="AJ31" i="11" s="1"/>
  <c r="AH31" i="11"/>
  <c r="AI31" i="11"/>
  <c r="AL31" i="11"/>
  <c r="AM31" i="11"/>
  <c r="AN31" i="11"/>
  <c r="AO31" i="11"/>
  <c r="AP31" i="11"/>
  <c r="AR31" i="11"/>
  <c r="AS31" i="11"/>
  <c r="AT31" i="11"/>
  <c r="B32" i="11"/>
  <c r="C32" i="11"/>
  <c r="D32" i="11"/>
  <c r="E32" i="11"/>
  <c r="F32" i="11"/>
  <c r="H32" i="11"/>
  <c r="I32" i="11"/>
  <c r="L32" i="11" s="1"/>
  <c r="J32" i="11"/>
  <c r="K32" i="11"/>
  <c r="N32" i="11"/>
  <c r="O32" i="11"/>
  <c r="P32" i="11"/>
  <c r="R32" i="11" s="1"/>
  <c r="Q32" i="11"/>
  <c r="T32" i="11"/>
  <c r="U32" i="11"/>
  <c r="V32" i="11"/>
  <c r="X32" i="11" s="1"/>
  <c r="W32" i="11"/>
  <c r="Z32" i="11"/>
  <c r="AD32" i="11" s="1"/>
  <c r="AA32" i="11"/>
  <c r="AB32" i="11"/>
  <c r="AC32" i="11"/>
  <c r="AF32" i="11"/>
  <c r="AJ32" i="11" s="1"/>
  <c r="AG32" i="11"/>
  <c r="AH32" i="11"/>
  <c r="AI32" i="11"/>
  <c r="AL32" i="11"/>
  <c r="AP32" i="11" s="1"/>
  <c r="AM32" i="11"/>
  <c r="AN32" i="11"/>
  <c r="AO32" i="11"/>
  <c r="AR32" i="11"/>
  <c r="AS32" i="11"/>
  <c r="AT32" i="11"/>
  <c r="B33" i="11"/>
  <c r="F33" i="11" s="1"/>
  <c r="C33" i="11"/>
  <c r="D33" i="11"/>
  <c r="E33" i="11"/>
  <c r="H33" i="11"/>
  <c r="I33" i="11"/>
  <c r="L33" i="11" s="1"/>
  <c r="J33" i="11"/>
  <c r="K33" i="11"/>
  <c r="N33" i="11"/>
  <c r="O33" i="11"/>
  <c r="P33" i="11"/>
  <c r="Q33" i="11"/>
  <c r="R33" i="11"/>
  <c r="T33" i="11"/>
  <c r="U33" i="11"/>
  <c r="V33" i="11"/>
  <c r="W33" i="11"/>
  <c r="X33" i="11"/>
  <c r="Z33" i="11"/>
  <c r="AA33" i="11"/>
  <c r="AB33" i="11"/>
  <c r="AD33" i="11" s="1"/>
  <c r="AC33" i="11"/>
  <c r="AF33" i="11"/>
  <c r="AG33" i="11"/>
  <c r="AH33" i="11"/>
  <c r="AJ33" i="11" s="1"/>
  <c r="AI33" i="11"/>
  <c r="AL33" i="11"/>
  <c r="AP33" i="11" s="1"/>
  <c r="AM33" i="11"/>
  <c r="AN33" i="11"/>
  <c r="AO33" i="11"/>
  <c r="AR33" i="11"/>
  <c r="AS33" i="11"/>
  <c r="AT33" i="11"/>
  <c r="B34" i="11"/>
  <c r="F34" i="11" s="1"/>
  <c r="C34" i="11"/>
  <c r="D34" i="11"/>
  <c r="E34" i="11"/>
  <c r="H34" i="11"/>
  <c r="L34" i="11" s="1"/>
  <c r="I34" i="11"/>
  <c r="J34" i="11"/>
  <c r="K34" i="11"/>
  <c r="N34" i="11"/>
  <c r="R34" i="11" s="1"/>
  <c r="O34" i="11"/>
  <c r="P34" i="11"/>
  <c r="Q34" i="11"/>
  <c r="T34" i="11"/>
  <c r="X34" i="11" s="1"/>
  <c r="U34" i="11"/>
  <c r="V34" i="11"/>
  <c r="W34" i="11"/>
  <c r="Z34" i="11"/>
  <c r="AA34" i="11"/>
  <c r="AB34" i="11"/>
  <c r="AC34" i="11"/>
  <c r="AD34" i="11"/>
  <c r="AF34" i="11"/>
  <c r="AG34" i="11"/>
  <c r="AH34" i="11"/>
  <c r="AI34" i="11"/>
  <c r="AJ34" i="11"/>
  <c r="AL34" i="11"/>
  <c r="AM34" i="11"/>
  <c r="AN34" i="11"/>
  <c r="AP34" i="11" s="1"/>
  <c r="AO34" i="11"/>
  <c r="AR34" i="11"/>
  <c r="AS34" i="11"/>
  <c r="AT34" i="11"/>
  <c r="B35" i="11"/>
  <c r="C35" i="11"/>
  <c r="D35" i="11"/>
  <c r="F35" i="11" s="1"/>
  <c r="E35" i="11"/>
  <c r="H35" i="11"/>
  <c r="I35" i="11"/>
  <c r="L35" i="11" s="1"/>
  <c r="J35" i="11"/>
  <c r="K35" i="11"/>
  <c r="N35" i="11"/>
  <c r="R35" i="11" s="1"/>
  <c r="O35" i="11"/>
  <c r="P35" i="11"/>
  <c r="Q35" i="11"/>
  <c r="T35" i="11"/>
  <c r="X35" i="11" s="1"/>
  <c r="U35" i="11"/>
  <c r="V35" i="11"/>
  <c r="W35" i="11"/>
  <c r="Z35" i="11"/>
  <c r="AD35" i="11" s="1"/>
  <c r="AA35" i="11"/>
  <c r="AB35" i="11"/>
  <c r="AC35" i="11"/>
  <c r="AF35" i="11"/>
  <c r="AG35" i="11"/>
  <c r="AJ35" i="11" s="1"/>
  <c r="AH35" i="11"/>
  <c r="AI35" i="11"/>
  <c r="AL35" i="11"/>
  <c r="AM35" i="11"/>
  <c r="AN35" i="11"/>
  <c r="AO35" i="11"/>
  <c r="AP35" i="11"/>
  <c r="AR35" i="11"/>
  <c r="AS35" i="11"/>
  <c r="AT35" i="11"/>
  <c r="B36" i="11"/>
  <c r="C36" i="11"/>
  <c r="D36" i="11"/>
  <c r="E36" i="11"/>
  <c r="F36" i="11"/>
  <c r="H36" i="11"/>
  <c r="I36" i="11"/>
  <c r="L36" i="11" s="1"/>
  <c r="J36" i="11"/>
  <c r="K36" i="11"/>
  <c r="N36" i="11"/>
  <c r="O36" i="11"/>
  <c r="P36" i="11"/>
  <c r="R36" i="11" s="1"/>
  <c r="Q36" i="11"/>
  <c r="T36" i="11"/>
  <c r="U36" i="11"/>
  <c r="V36" i="11"/>
  <c r="X36" i="11" s="1"/>
  <c r="W36" i="11"/>
  <c r="Z36" i="11"/>
  <c r="AD36" i="11" s="1"/>
  <c r="AA36" i="11"/>
  <c r="AB36" i="11"/>
  <c r="AC36" i="11"/>
  <c r="AF36" i="11"/>
  <c r="AJ36" i="11" s="1"/>
  <c r="AG36" i="11"/>
  <c r="AH36" i="11"/>
  <c r="AI36" i="11"/>
  <c r="AL36" i="11"/>
  <c r="AP36" i="11" s="1"/>
  <c r="AM36" i="11"/>
  <c r="AN36" i="11"/>
  <c r="AO36" i="11"/>
  <c r="AR36" i="11"/>
  <c r="AS36" i="11"/>
  <c r="AT36" i="11"/>
  <c r="B37" i="11"/>
  <c r="F37" i="11" s="1"/>
  <c r="C37" i="11"/>
  <c r="D37" i="11"/>
  <c r="E37" i="11"/>
  <c r="H37" i="11"/>
  <c r="L37" i="11" s="1"/>
  <c r="I37" i="11"/>
  <c r="J37" i="11"/>
  <c r="K37" i="11"/>
  <c r="N37" i="11"/>
  <c r="O37" i="11"/>
  <c r="P37" i="11"/>
  <c r="Q37" i="11"/>
  <c r="R37" i="11"/>
  <c r="T37" i="11"/>
  <c r="U37" i="11"/>
  <c r="V37" i="11"/>
  <c r="W37" i="11"/>
  <c r="X37" i="11"/>
  <c r="Z37" i="11"/>
  <c r="AA37" i="11"/>
  <c r="AB37" i="11"/>
  <c r="AD37" i="11" s="1"/>
  <c r="AC37" i="11"/>
  <c r="AF37" i="11"/>
  <c r="AJ37" i="11" s="1"/>
  <c r="AG37" i="11"/>
  <c r="AH37" i="11"/>
  <c r="AI37" i="11"/>
  <c r="AL37" i="11"/>
  <c r="AP37" i="11" s="1"/>
  <c r="AM37" i="11"/>
  <c r="AN37" i="11"/>
  <c r="AO37" i="11"/>
  <c r="AR37" i="11"/>
  <c r="AS37" i="11"/>
  <c r="AT37" i="11"/>
  <c r="B38" i="11"/>
  <c r="F38" i="11" s="1"/>
  <c r="C38" i="11"/>
  <c r="D38" i="11"/>
  <c r="E38" i="11"/>
  <c r="H38" i="11"/>
  <c r="L38" i="11" s="1"/>
  <c r="I38" i="11"/>
  <c r="J38" i="11"/>
  <c r="K38" i="11"/>
  <c r="N38" i="11"/>
  <c r="R38" i="11" s="1"/>
  <c r="O38" i="11"/>
  <c r="P38" i="11"/>
  <c r="Q38" i="11"/>
  <c r="T38" i="11"/>
  <c r="U38" i="11"/>
  <c r="X38" i="11" s="1"/>
  <c r="V38" i="11"/>
  <c r="W38" i="11"/>
  <c r="Z38" i="11"/>
  <c r="AA38" i="11"/>
  <c r="AB38" i="11"/>
  <c r="AC38" i="11"/>
  <c r="AD38" i="11"/>
  <c r="AF38" i="11"/>
  <c r="AG38" i="11"/>
  <c r="AH38" i="11"/>
  <c r="AI38" i="11"/>
  <c r="AJ38" i="11"/>
  <c r="AL38" i="11"/>
  <c r="AM38" i="11"/>
  <c r="AN38" i="11"/>
  <c r="AP38" i="11" s="1"/>
  <c r="AO38" i="11"/>
  <c r="AR38" i="11"/>
  <c r="AS38" i="11"/>
  <c r="AT38" i="11"/>
  <c r="B39" i="11"/>
  <c r="C39" i="11"/>
  <c r="D39" i="11"/>
  <c r="F39" i="11" s="1"/>
  <c r="E39" i="11"/>
  <c r="H39" i="11"/>
  <c r="I39" i="11"/>
  <c r="J39" i="11"/>
  <c r="L39" i="11" s="1"/>
  <c r="K39" i="11"/>
  <c r="N39" i="11"/>
  <c r="R39" i="11" s="1"/>
  <c r="O39" i="11"/>
  <c r="P39" i="11"/>
  <c r="Q39" i="11"/>
  <c r="T39" i="11"/>
  <c r="X39" i="11" s="1"/>
  <c r="U39" i="11"/>
  <c r="V39" i="11"/>
  <c r="W39" i="11"/>
  <c r="Z39" i="11"/>
  <c r="AD39" i="11" s="1"/>
  <c r="AA39" i="11"/>
  <c r="AB39" i="11"/>
  <c r="AC39" i="11"/>
  <c r="AF39" i="11"/>
  <c r="AG39" i="11"/>
  <c r="AJ39" i="11" s="1"/>
  <c r="AH39" i="11"/>
  <c r="AI39" i="11"/>
  <c r="AL39" i="11"/>
  <c r="AM39" i="11"/>
  <c r="AN39" i="11"/>
  <c r="AO39" i="11"/>
  <c r="AP39" i="11"/>
  <c r="AR39" i="11"/>
  <c r="AS39" i="11"/>
  <c r="AT39" i="11"/>
  <c r="B40" i="11"/>
  <c r="C40" i="11"/>
  <c r="D40" i="11"/>
  <c r="E40" i="11"/>
  <c r="F40" i="11"/>
  <c r="H40" i="11"/>
  <c r="I40" i="11"/>
  <c r="J40" i="11"/>
  <c r="K40" i="11"/>
  <c r="L40" i="11"/>
  <c r="N40" i="11"/>
  <c r="O40" i="11"/>
  <c r="P40" i="11"/>
  <c r="R40" i="11" s="1"/>
  <c r="Q40" i="11"/>
  <c r="T40" i="11"/>
  <c r="U40" i="11"/>
  <c r="X40" i="11" s="1"/>
  <c r="V40" i="11"/>
  <c r="W40" i="11"/>
  <c r="Z40" i="11"/>
  <c r="AD40" i="11" s="1"/>
  <c r="AA40" i="11"/>
  <c r="AB40" i="11"/>
  <c r="AC40" i="11"/>
  <c r="AF40" i="11"/>
  <c r="AJ40" i="11" s="1"/>
  <c r="AG40" i="11"/>
  <c r="AH40" i="11"/>
  <c r="AI40" i="11"/>
  <c r="AL40" i="11"/>
  <c r="AP40" i="11" s="1"/>
  <c r="AM40" i="11"/>
  <c r="AN40" i="11"/>
  <c r="AO40" i="11"/>
  <c r="AR40" i="11"/>
  <c r="AS40" i="11"/>
  <c r="AT40" i="11"/>
  <c r="B41" i="11"/>
  <c r="F41" i="11" s="1"/>
  <c r="C41" i="11"/>
  <c r="D41" i="11"/>
  <c r="E41" i="11"/>
  <c r="H41" i="11"/>
  <c r="I41" i="11"/>
  <c r="L41" i="11" s="1"/>
  <c r="J41" i="11"/>
  <c r="K41" i="11"/>
  <c r="N41" i="11"/>
  <c r="O41" i="11"/>
  <c r="P41" i="11"/>
  <c r="Q41" i="11"/>
  <c r="R41" i="11"/>
  <c r="T41" i="11"/>
  <c r="U41" i="11"/>
  <c r="V41" i="11"/>
  <c r="W41" i="11"/>
  <c r="X41" i="11"/>
  <c r="Z41" i="11"/>
  <c r="AA41" i="11"/>
  <c r="AB41" i="11"/>
  <c r="AD41" i="11" s="1"/>
  <c r="AC41" i="11"/>
  <c r="AF41" i="11"/>
  <c r="AG41" i="11"/>
  <c r="AJ41" i="11" s="1"/>
  <c r="AH41" i="11"/>
  <c r="AI41" i="11"/>
  <c r="AL41" i="11"/>
  <c r="AP41" i="11" s="1"/>
  <c r="AM41" i="11"/>
  <c r="AN41" i="11"/>
  <c r="AO41" i="11"/>
  <c r="AR41" i="11"/>
  <c r="AS41" i="11"/>
  <c r="AT41" i="11"/>
  <c r="B42" i="11"/>
  <c r="F42" i="11" s="1"/>
  <c r="C42" i="11"/>
  <c r="D42" i="11"/>
  <c r="E42" i="11"/>
  <c r="H42" i="11"/>
  <c r="L42" i="11" s="1"/>
  <c r="I42" i="11"/>
  <c r="J42" i="11"/>
  <c r="K42" i="11"/>
  <c r="N42" i="11"/>
  <c r="R42" i="11" s="1"/>
  <c r="O42" i="11"/>
  <c r="P42" i="11"/>
  <c r="Q42" i="11"/>
  <c r="T42" i="11"/>
  <c r="U42" i="11"/>
  <c r="X42" i="11" s="1"/>
  <c r="V42" i="11"/>
  <c r="W42" i="11"/>
  <c r="Z42" i="11"/>
  <c r="AA42" i="11"/>
  <c r="AB42" i="11"/>
  <c r="AC42" i="11"/>
  <c r="AD42" i="11"/>
  <c r="AF42" i="11"/>
  <c r="AG42" i="11"/>
  <c r="AJ42" i="11" s="1"/>
  <c r="AH42" i="11"/>
  <c r="AI42" i="11"/>
  <c r="AL42" i="11"/>
  <c r="AM42" i="11"/>
  <c r="AN42" i="11"/>
  <c r="AP42" i="11" s="1"/>
  <c r="AO42" i="11"/>
  <c r="AR42" i="11"/>
  <c r="AS42" i="11"/>
  <c r="AT42" i="11"/>
  <c r="B43" i="11"/>
  <c r="C43" i="11"/>
  <c r="D43" i="11"/>
  <c r="F43" i="11" s="1"/>
  <c r="E43" i="11"/>
  <c r="H43" i="11"/>
  <c r="I43" i="11"/>
  <c r="L43" i="11" s="1"/>
  <c r="J43" i="11"/>
  <c r="K43" i="11"/>
  <c r="N43" i="11"/>
  <c r="R43" i="11" s="1"/>
  <c r="O43" i="11"/>
  <c r="P43" i="11"/>
  <c r="Q43" i="11"/>
  <c r="T43" i="11"/>
  <c r="X43" i="11" s="1"/>
  <c r="U43" i="11"/>
  <c r="V43" i="11"/>
  <c r="W43" i="11"/>
  <c r="Z43" i="11"/>
  <c r="AD43" i="11" s="1"/>
  <c r="AA43" i="11"/>
  <c r="AB43" i="11"/>
  <c r="AC43" i="11"/>
  <c r="AF43" i="11"/>
  <c r="AG43" i="11"/>
  <c r="AJ43" i="11" s="1"/>
  <c r="AH43" i="11"/>
  <c r="AI43" i="11"/>
  <c r="AL43" i="11"/>
  <c r="AM43" i="11"/>
  <c r="AN43" i="11"/>
  <c r="AO43" i="11"/>
  <c r="AP43" i="11"/>
  <c r="AR43" i="11"/>
  <c r="AS43" i="11"/>
  <c r="AT43" i="11"/>
  <c r="B59" i="11"/>
  <c r="C59" i="11"/>
  <c r="D59" i="11"/>
  <c r="E59" i="11"/>
  <c r="F59" i="11"/>
  <c r="H59" i="11"/>
  <c r="I59" i="11"/>
  <c r="J59" i="11"/>
  <c r="K59" i="11"/>
  <c r="L59" i="11"/>
  <c r="N59" i="11"/>
  <c r="O59" i="11"/>
  <c r="P59" i="11"/>
  <c r="R59" i="11" s="1"/>
  <c r="Q59" i="11"/>
  <c r="T59" i="11"/>
  <c r="U59" i="11"/>
  <c r="X59" i="11" s="1"/>
  <c r="V59" i="11"/>
  <c r="W59" i="11"/>
  <c r="Z59" i="11"/>
  <c r="AD59" i="11" s="1"/>
  <c r="AA59" i="11"/>
  <c r="AB59" i="11"/>
  <c r="AC59" i="11"/>
  <c r="AF59" i="11"/>
  <c r="AJ59" i="11" s="1"/>
  <c r="AG59" i="11"/>
  <c r="AH59" i="11"/>
  <c r="AI59" i="11"/>
  <c r="AL59" i="11"/>
  <c r="AP59" i="11" s="1"/>
  <c r="AM59" i="11"/>
  <c r="AN59" i="11"/>
  <c r="AO59" i="11"/>
  <c r="AR59" i="11"/>
  <c r="AS59" i="11"/>
  <c r="AV59" i="11" s="1"/>
  <c r="AT59" i="11"/>
  <c r="AU59" i="11"/>
  <c r="B60" i="11"/>
  <c r="C60" i="11"/>
  <c r="D60" i="11"/>
  <c r="E60" i="11"/>
  <c r="F60" i="11"/>
  <c r="H60" i="11"/>
  <c r="I60" i="11"/>
  <c r="L60" i="11" s="1"/>
  <c r="J60" i="11"/>
  <c r="K60" i="11"/>
  <c r="N60" i="11"/>
  <c r="O60" i="11"/>
  <c r="P60" i="11"/>
  <c r="R60" i="11" s="1"/>
  <c r="Q60" i="11"/>
  <c r="T60" i="11"/>
  <c r="X60" i="11" s="1"/>
  <c r="U60" i="11"/>
  <c r="V60" i="11"/>
  <c r="W60" i="11"/>
  <c r="Z60" i="11"/>
  <c r="AD60" i="11" s="1"/>
  <c r="AA60" i="11"/>
  <c r="AB60" i="11"/>
  <c r="AC60" i="11"/>
  <c r="AF60" i="11"/>
  <c r="AJ60" i="11" s="1"/>
  <c r="AG60" i="11"/>
  <c r="AH60" i="11"/>
  <c r="AI60" i="11"/>
  <c r="AL60" i="11"/>
  <c r="AP60" i="11" s="1"/>
  <c r="AM60" i="11"/>
  <c r="AN60" i="11"/>
  <c r="AO60" i="11"/>
  <c r="AR60" i="11"/>
  <c r="AS60" i="11"/>
  <c r="AV60" i="11" s="1"/>
  <c r="AT60" i="11"/>
  <c r="AU60" i="11"/>
  <c r="B61" i="11"/>
  <c r="C61" i="11"/>
  <c r="D61" i="11"/>
  <c r="E61" i="11"/>
  <c r="F61" i="11"/>
  <c r="H61" i="11"/>
  <c r="I61" i="11"/>
  <c r="J61" i="11"/>
  <c r="K61" i="11"/>
  <c r="L61" i="11"/>
  <c r="N61" i="11"/>
  <c r="O61" i="11"/>
  <c r="P61" i="11"/>
  <c r="R61" i="11" s="1"/>
  <c r="Q61" i="11"/>
  <c r="T61" i="11"/>
  <c r="X61" i="11" s="1"/>
  <c r="U61" i="11"/>
  <c r="V61" i="11"/>
  <c r="W61" i="11"/>
  <c r="Z61" i="11"/>
  <c r="AD61" i="11" s="1"/>
  <c r="AA61" i="11"/>
  <c r="AB61" i="11"/>
  <c r="AC61" i="11"/>
  <c r="AF61" i="11"/>
  <c r="AJ61" i="11" s="1"/>
  <c r="AG61" i="11"/>
  <c r="AH61" i="11"/>
  <c r="AI61" i="11"/>
  <c r="AL61" i="11"/>
  <c r="AP61" i="11" s="1"/>
  <c r="AM61" i="11"/>
  <c r="AN61" i="11"/>
  <c r="AO61" i="11"/>
  <c r="AR61" i="11"/>
  <c r="AS61" i="11"/>
  <c r="AV61" i="11" s="1"/>
  <c r="AT61" i="11"/>
  <c r="AU61" i="11"/>
  <c r="B62" i="11"/>
  <c r="C62" i="11"/>
  <c r="D62" i="11"/>
  <c r="E62" i="11"/>
  <c r="F62" i="11"/>
  <c r="H62" i="11"/>
  <c r="I62" i="11"/>
  <c r="J62" i="11"/>
  <c r="K62" i="11"/>
  <c r="L62" i="11"/>
  <c r="N62" i="11"/>
  <c r="O62" i="11"/>
  <c r="P62" i="11"/>
  <c r="R62" i="11" s="1"/>
  <c r="Q62" i="11"/>
  <c r="T62" i="11"/>
  <c r="U62" i="11"/>
  <c r="X62" i="11" s="1"/>
  <c r="V62" i="11"/>
  <c r="W62" i="11"/>
  <c r="Z62" i="11"/>
  <c r="AD62" i="11" s="1"/>
  <c r="AA62" i="11"/>
  <c r="AB62" i="11"/>
  <c r="AC62" i="11"/>
  <c r="AF62" i="11"/>
  <c r="AJ62" i="11" s="1"/>
  <c r="AG62" i="11"/>
  <c r="AH62" i="11"/>
  <c r="AI62" i="11"/>
  <c r="AL62" i="11"/>
  <c r="AP62" i="11" s="1"/>
  <c r="AM62" i="11"/>
  <c r="AN62" i="11"/>
  <c r="AO62" i="11"/>
  <c r="AR62" i="11"/>
  <c r="AS62" i="11"/>
  <c r="AV62" i="11" s="1"/>
  <c r="AT62" i="11"/>
  <c r="AU62" i="11"/>
  <c r="B63" i="11"/>
  <c r="C63" i="11"/>
  <c r="D63" i="11"/>
  <c r="E63" i="11"/>
  <c r="F63" i="11"/>
  <c r="H63" i="11"/>
  <c r="I63" i="11"/>
  <c r="J63" i="11"/>
  <c r="K63" i="11"/>
  <c r="L63" i="11"/>
  <c r="N63" i="11"/>
  <c r="O63" i="11"/>
  <c r="P63" i="11"/>
  <c r="R63" i="11" s="1"/>
  <c r="Q63" i="11"/>
  <c r="T63" i="11"/>
  <c r="U63" i="11"/>
  <c r="X63" i="11" s="1"/>
  <c r="V63" i="11"/>
  <c r="W63" i="11"/>
  <c r="Z63" i="11"/>
  <c r="AD63" i="11" s="1"/>
  <c r="AA63" i="11"/>
  <c r="AB63" i="11"/>
  <c r="AC63" i="11"/>
  <c r="AF63" i="11"/>
  <c r="AJ63" i="11" s="1"/>
  <c r="AG63" i="11"/>
  <c r="AH63" i="11"/>
  <c r="AI63" i="11"/>
  <c r="AL63" i="11"/>
  <c r="AP63" i="11" s="1"/>
  <c r="AM63" i="11"/>
  <c r="AN63" i="11"/>
  <c r="AO63" i="11"/>
  <c r="AR63" i="11"/>
  <c r="AS63" i="11"/>
  <c r="AV63" i="11" s="1"/>
  <c r="AT63" i="11"/>
  <c r="AU63" i="11"/>
  <c r="B64" i="11"/>
  <c r="C64" i="11"/>
  <c r="D64" i="11"/>
  <c r="E64" i="11"/>
  <c r="F64" i="11"/>
  <c r="H64" i="11"/>
  <c r="I64" i="11"/>
  <c r="J64" i="11"/>
  <c r="K64" i="11"/>
  <c r="L64" i="11"/>
  <c r="N64" i="11"/>
  <c r="O64" i="11"/>
  <c r="P64" i="11"/>
  <c r="R64" i="11" s="1"/>
  <c r="Q64" i="11"/>
  <c r="T64" i="11"/>
  <c r="U64" i="11"/>
  <c r="X64" i="11" s="1"/>
  <c r="V64" i="11"/>
  <c r="W64" i="11"/>
  <c r="Z64" i="11"/>
  <c r="AD64" i="11" s="1"/>
  <c r="AA64" i="11"/>
  <c r="AB64" i="11"/>
  <c r="AC64" i="11"/>
  <c r="AF64" i="11"/>
  <c r="AJ64" i="11" s="1"/>
  <c r="AG64" i="11"/>
  <c r="AH64" i="11"/>
  <c r="AI64" i="11"/>
  <c r="AL64" i="11"/>
  <c r="AP64" i="11" s="1"/>
  <c r="AM64" i="11"/>
  <c r="AN64" i="11"/>
  <c r="AO64" i="11"/>
  <c r="AR64" i="11"/>
  <c r="AS64" i="11"/>
  <c r="AV64" i="11" s="1"/>
  <c r="AT64" i="11"/>
  <c r="AU64" i="11"/>
  <c r="B65" i="11"/>
  <c r="C65" i="11"/>
  <c r="D65" i="11"/>
  <c r="E65" i="11"/>
  <c r="F65" i="11"/>
  <c r="H65" i="11"/>
  <c r="I65" i="11"/>
  <c r="J65" i="11"/>
  <c r="K65" i="11"/>
  <c r="L65" i="11"/>
  <c r="N65" i="11"/>
  <c r="O65" i="11"/>
  <c r="P65" i="11"/>
  <c r="R65" i="11" s="1"/>
  <c r="Q65" i="11"/>
  <c r="T65" i="11"/>
  <c r="U65" i="11"/>
  <c r="X65" i="11" s="1"/>
  <c r="V65" i="11"/>
  <c r="W65" i="11"/>
  <c r="Z65" i="11"/>
  <c r="AD65" i="11" s="1"/>
  <c r="AA65" i="11"/>
  <c r="AB65" i="11"/>
  <c r="AC65" i="11"/>
  <c r="AF65" i="11"/>
  <c r="AJ65" i="11" s="1"/>
  <c r="AG65" i="11"/>
  <c r="AH65" i="11"/>
  <c r="AI65" i="11"/>
  <c r="AL65" i="11"/>
  <c r="AP65" i="11" s="1"/>
  <c r="AM65" i="11"/>
  <c r="AN65" i="11"/>
  <c r="AO65" i="11"/>
  <c r="AR65" i="11"/>
  <c r="AS65" i="11"/>
  <c r="AV65" i="11" s="1"/>
  <c r="AT65" i="11"/>
  <c r="AU65" i="11"/>
  <c r="B66" i="11"/>
  <c r="C66" i="11"/>
  <c r="D66" i="11"/>
  <c r="E66" i="11"/>
  <c r="F66" i="11"/>
  <c r="H66" i="11"/>
  <c r="I66" i="11"/>
  <c r="L66" i="11" s="1"/>
  <c r="J66" i="11"/>
  <c r="K66" i="11"/>
  <c r="N66" i="11"/>
  <c r="O66" i="11"/>
  <c r="P66" i="11"/>
  <c r="R66" i="11" s="1"/>
  <c r="Q66" i="11"/>
  <c r="T66" i="11"/>
  <c r="U66" i="11"/>
  <c r="X66" i="11" s="1"/>
  <c r="V66" i="11"/>
  <c r="W66" i="11"/>
  <c r="Z66" i="11"/>
  <c r="AD66" i="11" s="1"/>
  <c r="AA66" i="11"/>
  <c r="AB66" i="11"/>
  <c r="AC66" i="11"/>
  <c r="AF66" i="11"/>
  <c r="AJ66" i="11" s="1"/>
  <c r="AG66" i="11"/>
  <c r="AH66" i="11"/>
  <c r="AI66" i="11"/>
  <c r="AL66" i="11"/>
  <c r="AP66" i="11" s="1"/>
  <c r="AM66" i="11"/>
  <c r="AN66" i="11"/>
  <c r="AO66" i="11"/>
  <c r="AR66" i="11"/>
  <c r="AS66" i="11"/>
  <c r="AV66" i="11" s="1"/>
  <c r="AT66" i="11"/>
  <c r="AU66" i="11"/>
  <c r="B67" i="11"/>
  <c r="C67" i="11"/>
  <c r="D67" i="11"/>
  <c r="E67" i="11"/>
  <c r="F67" i="11"/>
  <c r="H67" i="11"/>
  <c r="I67" i="11"/>
  <c r="L67" i="11" s="1"/>
  <c r="J67" i="11"/>
  <c r="K67" i="11"/>
  <c r="N67" i="11"/>
  <c r="O67" i="11"/>
  <c r="P67" i="11"/>
  <c r="R67" i="11" s="1"/>
  <c r="Q67" i="11"/>
  <c r="T67" i="11"/>
  <c r="U67" i="11"/>
  <c r="V67" i="11"/>
  <c r="X67" i="11" s="1"/>
  <c r="W67" i="11"/>
  <c r="Z67" i="11"/>
  <c r="AD67" i="11" s="1"/>
  <c r="AA67" i="11"/>
  <c r="AB67" i="11"/>
  <c r="AC67" i="11"/>
  <c r="AF67" i="11"/>
  <c r="AJ67" i="11" s="1"/>
  <c r="AG67" i="11"/>
  <c r="AH67" i="11"/>
  <c r="AI67" i="11"/>
  <c r="AL67" i="11"/>
  <c r="AP67" i="11" s="1"/>
  <c r="AM67" i="11"/>
  <c r="AN67" i="11"/>
  <c r="AO67" i="11"/>
  <c r="AR67" i="11"/>
  <c r="AV67" i="11" s="1"/>
  <c r="AS67" i="11"/>
  <c r="AT67" i="11"/>
  <c r="AU67" i="11"/>
  <c r="B68" i="11"/>
  <c r="C68" i="11"/>
  <c r="D68" i="11"/>
  <c r="E68" i="11"/>
  <c r="F68" i="11"/>
  <c r="H68" i="11"/>
  <c r="I68" i="11"/>
  <c r="L68" i="11" s="1"/>
  <c r="J68" i="11"/>
  <c r="K68" i="11"/>
  <c r="N68" i="11"/>
  <c r="O68" i="11"/>
  <c r="P68" i="11"/>
  <c r="R68" i="11" s="1"/>
  <c r="Q68" i="11"/>
  <c r="T68" i="11"/>
  <c r="U68" i="11"/>
  <c r="V68" i="11"/>
  <c r="X68" i="11" s="1"/>
  <c r="W68" i="11"/>
  <c r="Z68" i="11"/>
  <c r="AD68" i="11" s="1"/>
  <c r="AA68" i="11"/>
  <c r="AB68" i="11"/>
  <c r="AC68" i="11"/>
  <c r="AF68" i="11"/>
  <c r="AJ68" i="11" s="1"/>
  <c r="AG68" i="11"/>
  <c r="AH68" i="11"/>
  <c r="AI68" i="11"/>
  <c r="AL68" i="11"/>
  <c r="AP68" i="11" s="1"/>
  <c r="AM68" i="11"/>
  <c r="AN68" i="11"/>
  <c r="AO68" i="11"/>
  <c r="AR68" i="11"/>
  <c r="AS68" i="11"/>
  <c r="AV68" i="11" s="1"/>
  <c r="AT68" i="11"/>
  <c r="AU68" i="11"/>
  <c r="B69" i="11"/>
  <c r="C69" i="11"/>
  <c r="D69" i="11"/>
  <c r="E69" i="11"/>
  <c r="F69" i="11"/>
  <c r="H69" i="11"/>
  <c r="I69" i="11"/>
  <c r="J69" i="11"/>
  <c r="K69" i="11"/>
  <c r="L69" i="11"/>
  <c r="N69" i="11"/>
  <c r="O69" i="11"/>
  <c r="P69" i="11"/>
  <c r="R69" i="11" s="1"/>
  <c r="Q69" i="11"/>
  <c r="T69" i="11"/>
  <c r="U69" i="11"/>
  <c r="V69" i="11"/>
  <c r="X69" i="11" s="1"/>
  <c r="W69" i="11"/>
  <c r="Z69" i="11"/>
  <c r="AD69" i="11" s="1"/>
  <c r="AA69" i="11"/>
  <c r="AB69" i="11"/>
  <c r="AC69" i="11"/>
  <c r="AF69" i="11"/>
  <c r="AJ69" i="11" s="1"/>
  <c r="AG69" i="11"/>
  <c r="AH69" i="11"/>
  <c r="AI69" i="11"/>
  <c r="AL69" i="11"/>
  <c r="AP69" i="11" s="1"/>
  <c r="AM69" i="11"/>
  <c r="AN69" i="11"/>
  <c r="AO69" i="11"/>
  <c r="AR69" i="11"/>
  <c r="AS69" i="11"/>
  <c r="AV69" i="11" s="1"/>
  <c r="AT69" i="11"/>
  <c r="AU69" i="11"/>
  <c r="B70" i="11"/>
  <c r="C70" i="11"/>
  <c r="D70" i="11"/>
  <c r="E70" i="11"/>
  <c r="F70" i="11"/>
  <c r="H70" i="11"/>
  <c r="I70" i="11"/>
  <c r="J70" i="11"/>
  <c r="K70" i="11"/>
  <c r="L70" i="11"/>
  <c r="N70" i="11"/>
  <c r="O70" i="11"/>
  <c r="P70" i="11"/>
  <c r="R70" i="11" s="1"/>
  <c r="Q70" i="11"/>
  <c r="T70" i="11"/>
  <c r="U70" i="11"/>
  <c r="V70" i="11"/>
  <c r="X70" i="11" s="1"/>
  <c r="W70" i="11"/>
  <c r="Z70" i="11"/>
  <c r="AD70" i="11" s="1"/>
  <c r="AA70" i="11"/>
  <c r="AB70" i="11"/>
  <c r="AC70" i="11"/>
  <c r="AF70" i="11"/>
  <c r="AJ70" i="11" s="1"/>
  <c r="AG70" i="11"/>
  <c r="AH70" i="11"/>
  <c r="AI70" i="11"/>
  <c r="AL70" i="11"/>
  <c r="AM70" i="11"/>
  <c r="AN70" i="11"/>
  <c r="AO70" i="11"/>
  <c r="AP70" i="11"/>
  <c r="AR70" i="11"/>
  <c r="AS70" i="11"/>
  <c r="AV70" i="11" s="1"/>
  <c r="AT70" i="11"/>
  <c r="AU70" i="11"/>
  <c r="B80" i="11"/>
  <c r="C80" i="11"/>
  <c r="D80" i="11"/>
  <c r="E80" i="11"/>
  <c r="H80" i="11"/>
  <c r="H100" i="11" s="1"/>
  <c r="I80" i="11"/>
  <c r="J80" i="11"/>
  <c r="K80" i="11"/>
  <c r="N80" i="11"/>
  <c r="O80" i="11"/>
  <c r="P80" i="11"/>
  <c r="Q80" i="11"/>
  <c r="T80" i="11"/>
  <c r="T100" i="11" s="1"/>
  <c r="U80" i="11"/>
  <c r="V80" i="11"/>
  <c r="W80" i="11"/>
  <c r="Z80" i="11"/>
  <c r="AA80" i="11"/>
  <c r="AB80" i="11"/>
  <c r="AC80" i="11"/>
  <c r="AF80" i="11"/>
  <c r="AF89" i="11" s="1"/>
  <c r="AF103" i="11" s="1"/>
  <c r="AG80" i="11"/>
  <c r="AH80" i="11"/>
  <c r="AI80" i="11"/>
  <c r="AL80" i="11"/>
  <c r="AM80" i="11"/>
  <c r="AN80" i="11"/>
  <c r="AO80" i="11"/>
  <c r="AR80" i="11"/>
  <c r="AS100" i="11" s="1"/>
  <c r="AS80" i="11"/>
  <c r="AT80" i="11"/>
  <c r="B81" i="11"/>
  <c r="C81" i="11"/>
  <c r="D81" i="11"/>
  <c r="E81" i="11"/>
  <c r="H81" i="11"/>
  <c r="I81" i="11"/>
  <c r="I101" i="11" s="1"/>
  <c r="J81" i="11"/>
  <c r="K81" i="11"/>
  <c r="N81" i="11"/>
  <c r="O81" i="11"/>
  <c r="P81" i="11"/>
  <c r="Q81" i="11"/>
  <c r="T81" i="11"/>
  <c r="U81" i="11"/>
  <c r="U101" i="11" s="1"/>
  <c r="V81" i="11"/>
  <c r="W81" i="11"/>
  <c r="Z81" i="11"/>
  <c r="AA81" i="11"/>
  <c r="AB81" i="11"/>
  <c r="AC81" i="11"/>
  <c r="AF81" i="11"/>
  <c r="AG81" i="11"/>
  <c r="AG89" i="11" s="1"/>
  <c r="AG103" i="11" s="1"/>
  <c r="AH81" i="11"/>
  <c r="AI81" i="11"/>
  <c r="AL81" i="11"/>
  <c r="AM81" i="11"/>
  <c r="AN81" i="11"/>
  <c r="AO81" i="11"/>
  <c r="AR81" i="11"/>
  <c r="AS81" i="11"/>
  <c r="AT101" i="11" s="1"/>
  <c r="AT81" i="11"/>
  <c r="B89" i="11"/>
  <c r="C89" i="11"/>
  <c r="D89" i="11"/>
  <c r="E89" i="11"/>
  <c r="J89" i="11"/>
  <c r="K89" i="11"/>
  <c r="N89" i="11"/>
  <c r="O89" i="11"/>
  <c r="P89" i="11"/>
  <c r="Q89" i="11"/>
  <c r="V89" i="11"/>
  <c r="W89" i="11"/>
  <c r="Z89" i="11"/>
  <c r="AA89" i="11"/>
  <c r="AB89" i="11"/>
  <c r="AC89" i="11"/>
  <c r="AH89" i="11"/>
  <c r="AI89" i="11"/>
  <c r="AL89" i="11"/>
  <c r="AM89" i="11"/>
  <c r="AN89" i="11"/>
  <c r="AO89" i="11"/>
  <c r="AT89" i="11"/>
  <c r="AU103" i="11" s="1"/>
  <c r="B97" i="11"/>
  <c r="C97" i="11"/>
  <c r="D97" i="11"/>
  <c r="E97" i="11"/>
  <c r="F97" i="11"/>
  <c r="H97" i="11"/>
  <c r="L97" i="11" s="1"/>
  <c r="I97" i="11"/>
  <c r="J97" i="11"/>
  <c r="K97" i="11"/>
  <c r="N97" i="11"/>
  <c r="O97" i="11"/>
  <c r="P97" i="11"/>
  <c r="R97" i="11" s="1"/>
  <c r="Q97" i="11"/>
  <c r="T97" i="11"/>
  <c r="X97" i="11" s="1"/>
  <c r="U97" i="11"/>
  <c r="V97" i="11"/>
  <c r="W97" i="11"/>
  <c r="Z97" i="11"/>
  <c r="AD97" i="11" s="1"/>
  <c r="AA97" i="11"/>
  <c r="AB97" i="11"/>
  <c r="AC97" i="11"/>
  <c r="AF97" i="11"/>
  <c r="AG97" i="11"/>
  <c r="AH97" i="11"/>
  <c r="AI97" i="11"/>
  <c r="AJ97" i="11"/>
  <c r="AL97" i="11"/>
  <c r="AM97" i="11"/>
  <c r="AP97" i="11" s="1"/>
  <c r="AN97" i="11"/>
  <c r="AO97" i="11"/>
  <c r="AR97" i="11"/>
  <c r="AS97" i="11"/>
  <c r="AT97" i="11"/>
  <c r="AU97" i="11"/>
  <c r="B98" i="11"/>
  <c r="F98" i="11" s="1"/>
  <c r="C98" i="11"/>
  <c r="D98" i="11"/>
  <c r="E98" i="11"/>
  <c r="H98" i="11"/>
  <c r="I98" i="11"/>
  <c r="L98" i="11" s="1"/>
  <c r="J98" i="11"/>
  <c r="K98" i="11"/>
  <c r="N98" i="11"/>
  <c r="O98" i="11"/>
  <c r="P98" i="11"/>
  <c r="Q98" i="11"/>
  <c r="R98" i="11"/>
  <c r="T98" i="11"/>
  <c r="U98" i="11"/>
  <c r="X98" i="11" s="1"/>
  <c r="V98" i="11"/>
  <c r="W98" i="11"/>
  <c r="Z98" i="11"/>
  <c r="AA98" i="11"/>
  <c r="AB98" i="11"/>
  <c r="AC98" i="11"/>
  <c r="AD98" i="11"/>
  <c r="AF98" i="11"/>
  <c r="AG98" i="11"/>
  <c r="AJ98" i="11" s="1"/>
  <c r="AH98" i="11"/>
  <c r="AI98" i="11"/>
  <c r="AL98" i="11"/>
  <c r="AP98" i="11" s="1"/>
  <c r="AM98" i="11"/>
  <c r="AN98" i="11"/>
  <c r="AO98" i="11"/>
  <c r="AR98" i="11"/>
  <c r="AS98" i="11"/>
  <c r="AT98" i="11"/>
  <c r="AU98" i="11"/>
  <c r="B99" i="11"/>
  <c r="C99" i="11"/>
  <c r="F99" i="11" s="1"/>
  <c r="D99" i="11"/>
  <c r="E99" i="11"/>
  <c r="H99" i="11"/>
  <c r="I99" i="11"/>
  <c r="J99" i="11"/>
  <c r="K99" i="11"/>
  <c r="L99" i="11"/>
  <c r="N99" i="11"/>
  <c r="O99" i="11"/>
  <c r="P99" i="11"/>
  <c r="R99" i="11" s="1"/>
  <c r="Q99" i="11"/>
  <c r="T99" i="11"/>
  <c r="X99" i="11" s="1"/>
  <c r="U99" i="11"/>
  <c r="V99" i="11"/>
  <c r="W99" i="11"/>
  <c r="Z99" i="11"/>
  <c r="AD99" i="11" s="1"/>
  <c r="AA99" i="11"/>
  <c r="AB99" i="11"/>
  <c r="AC99" i="11"/>
  <c r="AF99" i="11"/>
  <c r="AJ99" i="11" s="1"/>
  <c r="AG99" i="11"/>
  <c r="AH99" i="11"/>
  <c r="AI99" i="11"/>
  <c r="AL99" i="11"/>
  <c r="AM99" i="11"/>
  <c r="AP99" i="11" s="1"/>
  <c r="AN99" i="11"/>
  <c r="AO99" i="11"/>
  <c r="AR99" i="11"/>
  <c r="AS99" i="11"/>
  <c r="AT99" i="11"/>
  <c r="AU99" i="11"/>
  <c r="B100" i="11"/>
  <c r="F100" i="11" s="1"/>
  <c r="C100" i="11"/>
  <c r="D100" i="11"/>
  <c r="E100" i="11"/>
  <c r="J100" i="11"/>
  <c r="K100" i="11"/>
  <c r="N100" i="11"/>
  <c r="R100" i="11" s="1"/>
  <c r="O100" i="11"/>
  <c r="P100" i="11"/>
  <c r="Q100" i="11"/>
  <c r="V100" i="11"/>
  <c r="W100" i="11"/>
  <c r="Z100" i="11"/>
  <c r="AA100" i="11"/>
  <c r="AB100" i="11"/>
  <c r="AC100" i="11"/>
  <c r="AD100" i="11"/>
  <c r="AG100" i="11"/>
  <c r="AH100" i="11"/>
  <c r="AI100" i="11"/>
  <c r="AL100" i="11"/>
  <c r="AM100" i="11"/>
  <c r="AN100" i="11"/>
  <c r="AO100" i="11"/>
  <c r="AP100" i="11"/>
  <c r="AT100" i="11"/>
  <c r="AU100" i="11"/>
  <c r="B101" i="11"/>
  <c r="C101" i="11"/>
  <c r="D101" i="11"/>
  <c r="E101" i="11"/>
  <c r="F101" i="11" s="1"/>
  <c r="H101" i="11"/>
  <c r="K101" i="11"/>
  <c r="N101" i="11"/>
  <c r="O101" i="11"/>
  <c r="R101" i="11" s="1"/>
  <c r="P101" i="11"/>
  <c r="Q101" i="11"/>
  <c r="T101" i="11"/>
  <c r="W101" i="11"/>
  <c r="Z101" i="11"/>
  <c r="AD101" i="11" s="1"/>
  <c r="AA101" i="11"/>
  <c r="AB101" i="11"/>
  <c r="AC101" i="11"/>
  <c r="AF101" i="11"/>
  <c r="AH101" i="11"/>
  <c r="AI101" i="11"/>
  <c r="AL101" i="11"/>
  <c r="AP101" i="11" s="1"/>
  <c r="AM101" i="11"/>
  <c r="AN101" i="11"/>
  <c r="AO101" i="11"/>
  <c r="AR101" i="11"/>
  <c r="AU101" i="11"/>
  <c r="B102" i="11"/>
  <c r="C102" i="11"/>
  <c r="D102" i="11"/>
  <c r="E102" i="11"/>
  <c r="F102" i="11"/>
  <c r="H102" i="11"/>
  <c r="I102" i="11"/>
  <c r="L102" i="11" s="1"/>
  <c r="J102" i="11"/>
  <c r="K102" i="11"/>
  <c r="N102" i="11"/>
  <c r="O102" i="11"/>
  <c r="P102" i="11"/>
  <c r="R102" i="11" s="1"/>
  <c r="Q102" i="11"/>
  <c r="T102" i="11"/>
  <c r="U102" i="11"/>
  <c r="V102" i="11"/>
  <c r="W102" i="11"/>
  <c r="X102" i="11"/>
  <c r="Z102" i="11"/>
  <c r="AD102" i="11" s="1"/>
  <c r="AA102" i="11"/>
  <c r="AB102" i="11"/>
  <c r="AC102" i="11"/>
  <c r="AF102" i="11"/>
  <c r="AG102" i="11"/>
  <c r="AH102" i="11"/>
  <c r="AI102" i="11"/>
  <c r="AJ102" i="11" s="1"/>
  <c r="AL102" i="11"/>
  <c r="AM102" i="11"/>
  <c r="AN102" i="11"/>
  <c r="AO102" i="11"/>
  <c r="AP102" i="11"/>
  <c r="AR102" i="11"/>
  <c r="AS102" i="11"/>
  <c r="AT102" i="11"/>
  <c r="AU102" i="11"/>
  <c r="B103" i="11"/>
  <c r="C103" i="11"/>
  <c r="D103" i="11"/>
  <c r="E103" i="11"/>
  <c r="F103" i="11"/>
  <c r="N103" i="11"/>
  <c r="O103" i="11"/>
  <c r="P103" i="11"/>
  <c r="Q103" i="11"/>
  <c r="R103" i="11" s="1"/>
  <c r="Z103" i="11"/>
  <c r="AA103" i="11"/>
  <c r="AD103" i="11" s="1"/>
  <c r="AB103" i="11"/>
  <c r="AC103" i="11"/>
  <c r="AL103" i="11"/>
  <c r="AP103" i="11" s="1"/>
  <c r="AM103" i="11"/>
  <c r="AN103" i="11"/>
  <c r="AO103" i="11"/>
  <c r="B104" i="11"/>
  <c r="C104" i="11"/>
  <c r="D104" i="11"/>
  <c r="E104" i="11"/>
  <c r="F104" i="11"/>
  <c r="H104" i="11"/>
  <c r="I104" i="11"/>
  <c r="L104" i="11" s="1"/>
  <c r="J104" i="11"/>
  <c r="K104" i="11"/>
  <c r="N104" i="11"/>
  <c r="O104" i="11"/>
  <c r="P104" i="11"/>
  <c r="Q104" i="11"/>
  <c r="R104" i="11"/>
  <c r="T104" i="11"/>
  <c r="X104" i="11" s="1"/>
  <c r="U104" i="11"/>
  <c r="V104" i="11"/>
  <c r="W104" i="11"/>
  <c r="Z104" i="11"/>
  <c r="AD104" i="11" s="1"/>
  <c r="AA104" i="11"/>
  <c r="AB104" i="11"/>
  <c r="AC104" i="11"/>
  <c r="AF104" i="11"/>
  <c r="AJ104" i="11" s="1"/>
  <c r="AG104" i="11"/>
  <c r="AH104" i="11"/>
  <c r="AI104" i="11"/>
  <c r="AL104" i="11"/>
  <c r="AP104" i="11" s="1"/>
  <c r="AM104" i="11"/>
  <c r="AN104" i="11"/>
  <c r="AO104" i="11"/>
  <c r="AR104" i="11"/>
  <c r="AS104" i="11"/>
  <c r="AT104" i="11"/>
  <c r="AU104" i="11"/>
  <c r="B105" i="11"/>
  <c r="F105" i="11" s="1"/>
  <c r="C105" i="11"/>
  <c r="D105" i="11"/>
  <c r="E105" i="11"/>
  <c r="H105" i="11"/>
  <c r="I105" i="11"/>
  <c r="J105" i="11"/>
  <c r="L105" i="11" s="1"/>
  <c r="K105" i="11"/>
  <c r="N105" i="11"/>
  <c r="R105" i="11" s="1"/>
  <c r="O105" i="11"/>
  <c r="P105" i="11"/>
  <c r="Q105" i="11"/>
  <c r="T105" i="11"/>
  <c r="X105" i="11" s="1"/>
  <c r="U105" i="11"/>
  <c r="V105" i="11"/>
  <c r="W105" i="11"/>
  <c r="Z105" i="11"/>
  <c r="AA105" i="11"/>
  <c r="AD105" i="11" s="1"/>
  <c r="AB105" i="11"/>
  <c r="AC105" i="11"/>
  <c r="AF105" i="11"/>
  <c r="AG105" i="11"/>
  <c r="AH105" i="11"/>
  <c r="AI105" i="11"/>
  <c r="AJ105" i="11"/>
  <c r="AL105" i="11"/>
  <c r="AM105" i="11"/>
  <c r="AP105" i="11" s="1"/>
  <c r="AN105" i="11"/>
  <c r="AO105" i="11"/>
  <c r="AR105" i="11"/>
  <c r="AS105" i="11"/>
  <c r="AT105" i="11"/>
  <c r="AU105" i="11"/>
  <c r="B106" i="11"/>
  <c r="F106" i="11" s="1"/>
  <c r="C106" i="11"/>
  <c r="D106" i="11"/>
  <c r="E106" i="11"/>
  <c r="H106" i="11"/>
  <c r="I106" i="11"/>
  <c r="L106" i="11" s="1"/>
  <c r="J106" i="11"/>
  <c r="K106" i="11"/>
  <c r="N106" i="11"/>
  <c r="O106" i="11"/>
  <c r="P106" i="11"/>
  <c r="Q106" i="11"/>
  <c r="R106" i="11"/>
  <c r="T106" i="11"/>
  <c r="U106" i="11"/>
  <c r="X106" i="11" s="1"/>
  <c r="V106" i="11"/>
  <c r="W106" i="11"/>
  <c r="Z106" i="11"/>
  <c r="AA106" i="11"/>
  <c r="AB106" i="11"/>
  <c r="AC106" i="11"/>
  <c r="AD106" i="11"/>
  <c r="AF106" i="11"/>
  <c r="AJ106" i="11" s="1"/>
  <c r="AG106" i="11"/>
  <c r="AH106" i="11"/>
  <c r="AI106" i="11"/>
  <c r="AL106" i="11"/>
  <c r="AP106" i="11" s="1"/>
  <c r="AM106" i="11"/>
  <c r="AN106" i="11"/>
  <c r="AO106" i="11"/>
  <c r="AR106" i="11"/>
  <c r="AS106" i="11"/>
  <c r="AT106" i="11"/>
  <c r="AU106" i="11"/>
  <c r="B107" i="11"/>
  <c r="C107" i="11"/>
  <c r="F107" i="11" s="1"/>
  <c r="D107" i="11"/>
  <c r="E107" i="11"/>
  <c r="H107" i="11"/>
  <c r="I107" i="11"/>
  <c r="J107" i="11"/>
  <c r="K107" i="11"/>
  <c r="L107" i="11"/>
  <c r="N107" i="11"/>
  <c r="O107" i="11"/>
  <c r="P107" i="11"/>
  <c r="R107" i="11" s="1"/>
  <c r="Q107" i="11"/>
  <c r="T107" i="11"/>
  <c r="X107" i="11" s="1"/>
  <c r="U107" i="11"/>
  <c r="V107" i="11"/>
  <c r="W107" i="11"/>
  <c r="Z107" i="11"/>
  <c r="AD107" i="11" s="1"/>
  <c r="AA107" i="11"/>
  <c r="AB107" i="11"/>
  <c r="AC107" i="11"/>
  <c r="AF107" i="11"/>
  <c r="AJ107" i="11" s="1"/>
  <c r="AG107" i="11"/>
  <c r="AH107" i="11"/>
  <c r="AI107" i="11"/>
  <c r="AL107" i="11"/>
  <c r="AP107" i="11" s="1"/>
  <c r="AM107" i="11"/>
  <c r="AN107" i="11"/>
  <c r="AO107" i="11"/>
  <c r="AR107" i="11"/>
  <c r="AS107" i="11"/>
  <c r="AT107" i="11"/>
  <c r="AU107" i="11"/>
  <c r="B108" i="11"/>
  <c r="C108" i="11"/>
  <c r="D108" i="11"/>
  <c r="E108" i="11"/>
  <c r="F108" i="11"/>
  <c r="H108" i="11"/>
  <c r="I108" i="11"/>
  <c r="J108" i="11"/>
  <c r="K108" i="11"/>
  <c r="L108" i="11"/>
  <c r="N108" i="11"/>
  <c r="O108" i="11"/>
  <c r="P108" i="11"/>
  <c r="Q108" i="11"/>
  <c r="R108" i="11"/>
  <c r="T108" i="11"/>
  <c r="U108" i="11"/>
  <c r="V108" i="11"/>
  <c r="W108" i="11"/>
  <c r="X108" i="11"/>
  <c r="Z108" i="11"/>
  <c r="AA108" i="11"/>
  <c r="AB108" i="11"/>
  <c r="AC108" i="11"/>
  <c r="AD108" i="11"/>
  <c r="AF108" i="11"/>
  <c r="AG108" i="11"/>
  <c r="AH108" i="11"/>
  <c r="AI108" i="11"/>
  <c r="AJ108" i="11"/>
  <c r="AL108" i="11"/>
  <c r="AM108" i="11"/>
  <c r="AN108" i="11"/>
  <c r="AO108" i="11"/>
  <c r="AP108" i="11"/>
  <c r="AR108" i="11"/>
  <c r="AS108" i="11"/>
  <c r="AT108" i="11"/>
  <c r="AU108" i="11"/>
  <c r="B109" i="11"/>
  <c r="C109" i="11"/>
  <c r="D109" i="11"/>
  <c r="E109" i="11"/>
  <c r="F109" i="11"/>
  <c r="H109" i="11"/>
  <c r="I109" i="11"/>
  <c r="J109" i="11"/>
  <c r="K109" i="11"/>
  <c r="L109" i="11"/>
  <c r="N109" i="11"/>
  <c r="O109" i="11"/>
  <c r="P109" i="11"/>
  <c r="Q109" i="11"/>
  <c r="R109" i="11"/>
  <c r="T109" i="11"/>
  <c r="U109" i="11"/>
  <c r="V109" i="11"/>
  <c r="W109" i="11"/>
  <c r="X109" i="11"/>
  <c r="Z109" i="11"/>
  <c r="AA109" i="11"/>
  <c r="AB109" i="11"/>
  <c r="AC109" i="11"/>
  <c r="AD109" i="11"/>
  <c r="AF109" i="11"/>
  <c r="AG109" i="11"/>
  <c r="AH109" i="11"/>
  <c r="AI109" i="11"/>
  <c r="AJ109" i="11"/>
  <c r="AL109" i="11"/>
  <c r="AM109" i="11"/>
  <c r="AN109" i="11"/>
  <c r="AO109" i="11"/>
  <c r="AP109" i="11"/>
  <c r="AR109" i="11"/>
  <c r="AS109" i="11"/>
  <c r="AT109" i="11"/>
  <c r="AU109" i="11"/>
  <c r="Y74" i="1"/>
  <c r="Y72" i="1"/>
  <c r="Y71" i="1"/>
  <c r="Y70" i="1"/>
  <c r="Y69" i="1"/>
  <c r="Y68" i="1"/>
  <c r="V73" i="1"/>
  <c r="W73" i="1"/>
  <c r="X73" i="1"/>
  <c r="T73" i="1"/>
  <c r="T75" i="1" s="1"/>
  <c r="Z73" i="1"/>
  <c r="D39" i="1"/>
  <c r="N39" i="1"/>
  <c r="T39" i="1"/>
  <c r="R39" i="1"/>
  <c r="Q39" i="1"/>
  <c r="P39" i="1"/>
  <c r="Z39" i="1"/>
  <c r="X39" i="1"/>
  <c r="W39" i="1"/>
  <c r="V39" i="1"/>
  <c r="AF39" i="1"/>
  <c r="AD39" i="1"/>
  <c r="AC39" i="1"/>
  <c r="AB39" i="1"/>
  <c r="AL39" i="1"/>
  <c r="AJ39" i="1"/>
  <c r="AI39" i="1"/>
  <c r="AH39" i="1"/>
  <c r="AR39" i="1"/>
  <c r="AP39" i="1"/>
  <c r="AO39" i="1"/>
  <c r="AN39" i="1"/>
  <c r="AE71" i="1"/>
  <c r="AE72" i="1"/>
  <c r="AF73" i="1"/>
  <c r="AE73" i="1" s="1"/>
  <c r="AE70" i="1"/>
  <c r="AE74" i="1"/>
  <c r="AE69" i="1"/>
  <c r="AE68" i="1"/>
  <c r="AK74" i="1"/>
  <c r="AK72" i="1"/>
  <c r="AK71" i="1"/>
  <c r="AK69" i="1"/>
  <c r="AK68" i="1"/>
  <c r="AQ69" i="1"/>
  <c r="AQ70" i="1"/>
  <c r="AQ71" i="1"/>
  <c r="AQ72" i="1"/>
  <c r="AQ74" i="1"/>
  <c r="AQ68" i="1"/>
  <c r="AL73" i="1"/>
  <c r="AK73" i="1" s="1"/>
  <c r="AL70" i="1"/>
  <c r="AK70" i="1" s="1"/>
  <c r="AP73" i="1"/>
  <c r="AR73" i="1"/>
  <c r="AT73" i="1"/>
  <c r="AU73" i="1"/>
  <c r="AV192" i="1"/>
  <c r="AU192" i="1"/>
  <c r="AQ192" i="1"/>
  <c r="AP192" i="1"/>
  <c r="AO192" i="1"/>
  <c r="AK192" i="1"/>
  <c r="AJ192" i="1"/>
  <c r="AI192" i="1"/>
  <c r="AE192" i="1"/>
  <c r="AD192" i="1"/>
  <c r="AC192" i="1"/>
  <c r="Y192" i="1"/>
  <c r="X192" i="1"/>
  <c r="W192" i="1"/>
  <c r="S192" i="1"/>
  <c r="R192" i="1"/>
  <c r="Q192" i="1"/>
  <c r="L192" i="1"/>
  <c r="M192" i="1"/>
  <c r="K192" i="1"/>
  <c r="AR190" i="1"/>
  <c r="AL190" i="1"/>
  <c r="AF190" i="1"/>
  <c r="Z190" i="1"/>
  <c r="T190" i="1"/>
  <c r="N190" i="1"/>
  <c r="H190" i="1"/>
  <c r="AR187" i="1"/>
  <c r="AR185" i="1"/>
  <c r="AR184" i="1"/>
  <c r="AR183" i="1"/>
  <c r="AR181" i="1"/>
  <c r="AR180" i="1"/>
  <c r="AR179" i="1"/>
  <c r="AL187" i="1"/>
  <c r="AL185" i="1"/>
  <c r="AL184" i="1"/>
  <c r="AL183" i="1"/>
  <c r="AL181" i="1"/>
  <c r="AL180" i="1"/>
  <c r="AL179" i="1"/>
  <c r="AF187" i="1"/>
  <c r="AF185" i="1"/>
  <c r="AF184" i="1"/>
  <c r="AF183" i="1"/>
  <c r="AF181" i="1"/>
  <c r="AF180" i="1"/>
  <c r="AF179" i="1"/>
  <c r="Z187" i="1"/>
  <c r="Z185" i="1"/>
  <c r="Z184" i="1"/>
  <c r="Z183" i="1"/>
  <c r="Z181" i="1"/>
  <c r="Z180" i="1"/>
  <c r="Z179" i="1"/>
  <c r="T187" i="1"/>
  <c r="T185" i="1"/>
  <c r="T184" i="1"/>
  <c r="T183" i="1"/>
  <c r="T181" i="1"/>
  <c r="T180" i="1"/>
  <c r="T179" i="1"/>
  <c r="N187" i="1"/>
  <c r="N185" i="1"/>
  <c r="N184" i="1"/>
  <c r="N183" i="1"/>
  <c r="N181" i="1"/>
  <c r="N180" i="1"/>
  <c r="N179" i="1"/>
  <c r="H187" i="1"/>
  <c r="H185" i="1"/>
  <c r="H184" i="1"/>
  <c r="H183" i="1"/>
  <c r="H180" i="1"/>
  <c r="H181" i="1"/>
  <c r="H179" i="1"/>
  <c r="G52" i="3" s="1"/>
  <c r="AQ186" i="1"/>
  <c r="AQ385" i="1" s="1"/>
  <c r="AP186" i="1"/>
  <c r="AP385" i="1" s="1"/>
  <c r="AO186" i="1"/>
  <c r="AO385" i="1" s="1"/>
  <c r="AN186" i="1"/>
  <c r="AN385" i="1" s="1"/>
  <c r="AK186" i="1"/>
  <c r="AK385" i="1" s="1"/>
  <c r="AJ186" i="1"/>
  <c r="AJ385" i="1" s="1"/>
  <c r="AI186" i="1"/>
  <c r="AI385" i="1" s="1"/>
  <c r="AH186" i="1"/>
  <c r="AH385" i="1" s="1"/>
  <c r="AE186" i="1"/>
  <c r="AE385" i="1" s="1"/>
  <c r="AD186" i="1"/>
  <c r="AD385" i="1" s="1"/>
  <c r="AC186" i="1"/>
  <c r="AC385" i="1" s="1"/>
  <c r="AB186" i="1"/>
  <c r="AB385" i="1" s="1"/>
  <c r="Y186" i="1"/>
  <c r="Y385" i="1" s="1"/>
  <c r="X186" i="1"/>
  <c r="X385" i="1" s="1"/>
  <c r="W186" i="1"/>
  <c r="W385" i="1" s="1"/>
  <c r="V186" i="1"/>
  <c r="V385" i="1" s="1"/>
  <c r="S186" i="1"/>
  <c r="S385" i="1" s="1"/>
  <c r="R186" i="1"/>
  <c r="R385" i="1" s="1"/>
  <c r="Q186" i="1"/>
  <c r="Q385" i="1" s="1"/>
  <c r="P186" i="1"/>
  <c r="P385" i="1" s="1"/>
  <c r="M186" i="1"/>
  <c r="M385" i="1" s="1"/>
  <c r="L186" i="1"/>
  <c r="L385" i="1" s="1"/>
  <c r="K186" i="1"/>
  <c r="K385" i="1" s="1"/>
  <c r="J186" i="1"/>
  <c r="J385" i="1" s="1"/>
  <c r="AW182" i="1"/>
  <c r="AV182" i="1"/>
  <c r="AU182" i="1"/>
  <c r="AT182" i="1"/>
  <c r="AQ182" i="1"/>
  <c r="AP182" i="1"/>
  <c r="AO182" i="1"/>
  <c r="AN182" i="1"/>
  <c r="AK182" i="1"/>
  <c r="AJ182" i="1"/>
  <c r="AI182" i="1"/>
  <c r="AH182" i="1"/>
  <c r="AE182" i="1"/>
  <c r="AD182" i="1"/>
  <c r="AC182" i="1"/>
  <c r="AB182" i="1"/>
  <c r="Y182" i="1"/>
  <c r="X182" i="1"/>
  <c r="W182" i="1"/>
  <c r="V182" i="1"/>
  <c r="S182" i="1"/>
  <c r="R182" i="1"/>
  <c r="Q182" i="1"/>
  <c r="P182" i="1"/>
  <c r="M182" i="1"/>
  <c r="L182" i="1"/>
  <c r="K182" i="1"/>
  <c r="J182" i="1"/>
  <c r="E186" i="1"/>
  <c r="E385" i="1" s="1"/>
  <c r="F186" i="1"/>
  <c r="F385" i="1" s="1"/>
  <c r="G186" i="1"/>
  <c r="G385" i="1" s="1"/>
  <c r="D186" i="1"/>
  <c r="D385" i="1" s="1"/>
  <c r="E182" i="1"/>
  <c r="F182" i="1"/>
  <c r="G182" i="1"/>
  <c r="D182" i="1"/>
  <c r="AX190" i="1"/>
  <c r="BD190" i="1"/>
  <c r="AV176" i="1"/>
  <c r="AU176" i="1"/>
  <c r="AT176" i="1"/>
  <c r="AQ176" i="1"/>
  <c r="AP176" i="1"/>
  <c r="AO176" i="1"/>
  <c r="AN176" i="1"/>
  <c r="AK176" i="1"/>
  <c r="AJ176" i="1"/>
  <c r="AI176" i="1"/>
  <c r="AH176" i="1"/>
  <c r="AE176" i="1"/>
  <c r="AD176" i="1"/>
  <c r="AC176" i="1"/>
  <c r="AB176" i="1"/>
  <c r="Y176" i="1"/>
  <c r="X176" i="1"/>
  <c r="W176" i="1"/>
  <c r="V176" i="1"/>
  <c r="S176" i="1"/>
  <c r="R176" i="1"/>
  <c r="Q176" i="1"/>
  <c r="P176" i="1"/>
  <c r="M176" i="1"/>
  <c r="L176" i="1"/>
  <c r="K176" i="1"/>
  <c r="J176" i="1"/>
  <c r="AR175" i="1"/>
  <c r="AR174" i="1"/>
  <c r="AR173" i="1"/>
  <c r="AR172" i="1"/>
  <c r="AR171" i="1"/>
  <c r="AR170" i="1"/>
  <c r="AR169" i="1"/>
  <c r="AR168" i="1"/>
  <c r="AR167" i="1"/>
  <c r="AR166" i="1"/>
  <c r="AR165" i="1"/>
  <c r="AL175" i="1"/>
  <c r="AL174" i="1"/>
  <c r="AL173" i="1"/>
  <c r="AL172" i="1"/>
  <c r="AL171" i="1"/>
  <c r="AL170" i="1"/>
  <c r="AL169" i="1"/>
  <c r="AL168" i="1"/>
  <c r="AL167" i="1"/>
  <c r="AL166" i="1"/>
  <c r="AL165" i="1"/>
  <c r="AL381" i="1" s="1"/>
  <c r="AF175" i="1"/>
  <c r="AF174" i="1"/>
  <c r="AF173" i="1"/>
  <c r="AF172" i="1"/>
  <c r="AF171" i="1"/>
  <c r="AF170" i="1"/>
  <c r="AF169" i="1"/>
  <c r="AF168" i="1"/>
  <c r="AF167" i="1"/>
  <c r="AF166" i="1"/>
  <c r="AF165" i="1"/>
  <c r="Z175" i="1"/>
  <c r="Z174" i="1"/>
  <c r="Z173" i="1"/>
  <c r="Z172" i="1"/>
  <c r="Z171" i="1"/>
  <c r="Z170" i="1"/>
  <c r="Z169" i="1"/>
  <c r="Z168" i="1"/>
  <c r="Z167" i="1"/>
  <c r="Z166" i="1"/>
  <c r="Z165" i="1"/>
  <c r="T175" i="1"/>
  <c r="T174" i="1"/>
  <c r="T173" i="1"/>
  <c r="T172" i="1"/>
  <c r="T171" i="1"/>
  <c r="T170" i="1"/>
  <c r="T169" i="1"/>
  <c r="T168" i="1"/>
  <c r="T167" i="1"/>
  <c r="T166" i="1"/>
  <c r="T165" i="1"/>
  <c r="N175" i="1"/>
  <c r="N174" i="1"/>
  <c r="N173" i="1"/>
  <c r="N172" i="1"/>
  <c r="N171" i="1"/>
  <c r="N170" i="1"/>
  <c r="N169" i="1"/>
  <c r="N168" i="1"/>
  <c r="N167" i="1"/>
  <c r="N166" i="1"/>
  <c r="N165" i="1"/>
  <c r="E176" i="1"/>
  <c r="F176" i="1"/>
  <c r="G176" i="1"/>
  <c r="D176" i="1"/>
  <c r="H166" i="1"/>
  <c r="H167" i="1"/>
  <c r="H168" i="1"/>
  <c r="H169" i="1"/>
  <c r="H170" i="1"/>
  <c r="H171" i="1"/>
  <c r="H172" i="1"/>
  <c r="H173" i="1"/>
  <c r="H174" i="1"/>
  <c r="H175" i="1"/>
  <c r="H165" i="1"/>
  <c r="G47" i="3" s="1"/>
  <c r="AR150" i="1"/>
  <c r="AR148" i="1"/>
  <c r="AR146" i="1"/>
  <c r="AR145" i="1"/>
  <c r="AR144" i="1"/>
  <c r="AR142" i="1"/>
  <c r="AL150" i="1"/>
  <c r="AL148" i="1"/>
  <c r="AL146" i="1"/>
  <c r="AL145" i="1"/>
  <c r="AL144" i="1"/>
  <c r="AL142" i="1"/>
  <c r="AF150" i="1"/>
  <c r="AF148" i="1"/>
  <c r="AF146" i="1"/>
  <c r="AF145" i="1"/>
  <c r="AF144" i="1"/>
  <c r="AF142" i="1"/>
  <c r="Z150" i="1"/>
  <c r="Z148" i="1"/>
  <c r="Z146" i="1"/>
  <c r="Z145" i="1"/>
  <c r="Z144" i="1"/>
  <c r="Z142" i="1"/>
  <c r="T150" i="1"/>
  <c r="T148" i="1"/>
  <c r="T146" i="1"/>
  <c r="T145" i="1"/>
  <c r="T144" i="1"/>
  <c r="T142" i="1"/>
  <c r="N150" i="1"/>
  <c r="N149" i="1"/>
  <c r="N148" i="1"/>
  <c r="N147" i="1"/>
  <c r="N146" i="1"/>
  <c r="N145" i="1"/>
  <c r="N144" i="1"/>
  <c r="N142" i="1"/>
  <c r="H150" i="1"/>
  <c r="G42" i="3" s="1"/>
  <c r="H145" i="1"/>
  <c r="H146" i="1"/>
  <c r="H144" i="1"/>
  <c r="H142" i="1"/>
  <c r="M159" i="1"/>
  <c r="L159" i="1"/>
  <c r="K159" i="1"/>
  <c r="M157" i="1"/>
  <c r="L157" i="1"/>
  <c r="K157" i="1"/>
  <c r="M156" i="1"/>
  <c r="L156" i="1"/>
  <c r="K156" i="1"/>
  <c r="M155" i="1"/>
  <c r="L155" i="1"/>
  <c r="K155" i="1"/>
  <c r="M154" i="1"/>
  <c r="L154" i="1"/>
  <c r="K154" i="1"/>
  <c r="M153" i="1"/>
  <c r="L153" i="1"/>
  <c r="K153" i="1"/>
  <c r="M152" i="1"/>
  <c r="L152" i="1"/>
  <c r="K152" i="1"/>
  <c r="S159" i="1"/>
  <c r="R159" i="1"/>
  <c r="Q159" i="1"/>
  <c r="S157" i="1"/>
  <c r="R157" i="1"/>
  <c r="Q157" i="1"/>
  <c r="S156" i="1"/>
  <c r="R156" i="1"/>
  <c r="Q156" i="1"/>
  <c r="S155" i="1"/>
  <c r="R155" i="1"/>
  <c r="Q155" i="1"/>
  <c r="S154" i="1"/>
  <c r="R154" i="1"/>
  <c r="Q154" i="1"/>
  <c r="S153" i="1"/>
  <c r="R153" i="1"/>
  <c r="Q153" i="1"/>
  <c r="S152" i="1"/>
  <c r="R152" i="1"/>
  <c r="Q152" i="1"/>
  <c r="Y159" i="1"/>
  <c r="X159" i="1"/>
  <c r="W159" i="1"/>
  <c r="Y157" i="1"/>
  <c r="X157" i="1"/>
  <c r="W157" i="1"/>
  <c r="Y156" i="1"/>
  <c r="X156" i="1"/>
  <c r="W156" i="1"/>
  <c r="Y155" i="1"/>
  <c r="X155" i="1"/>
  <c r="W155" i="1"/>
  <c r="Y154" i="1"/>
  <c r="X154" i="1"/>
  <c r="W154" i="1"/>
  <c r="Y153" i="1"/>
  <c r="X153" i="1"/>
  <c r="W153" i="1"/>
  <c r="Y152" i="1"/>
  <c r="X152" i="1"/>
  <c r="W152" i="1"/>
  <c r="AE159" i="1"/>
  <c r="AD159" i="1"/>
  <c r="AC159" i="1"/>
  <c r="AE158" i="1"/>
  <c r="AD158" i="1"/>
  <c r="AC158" i="1"/>
  <c r="AE157" i="1"/>
  <c r="AD157" i="1"/>
  <c r="AC157" i="1"/>
  <c r="AE156" i="1"/>
  <c r="AD156" i="1"/>
  <c r="AC156" i="1"/>
  <c r="AE155" i="1"/>
  <c r="AD155" i="1"/>
  <c r="AC155" i="1"/>
  <c r="AE154" i="1"/>
  <c r="AD154" i="1"/>
  <c r="AC154" i="1"/>
  <c r="AE153" i="1"/>
  <c r="AD153" i="1"/>
  <c r="AC153" i="1"/>
  <c r="AE152" i="1"/>
  <c r="AD152" i="1"/>
  <c r="AC152" i="1"/>
  <c r="AK159" i="1"/>
  <c r="AJ159" i="1"/>
  <c r="AI159" i="1"/>
  <c r="AK158" i="1"/>
  <c r="AJ158" i="1"/>
  <c r="AI158" i="1"/>
  <c r="AK157" i="1"/>
  <c r="AJ157" i="1"/>
  <c r="AI157" i="1"/>
  <c r="AK156" i="1"/>
  <c r="AJ156" i="1"/>
  <c r="AI156" i="1"/>
  <c r="AK155" i="1"/>
  <c r="AJ155" i="1"/>
  <c r="AI155" i="1"/>
  <c r="AK154" i="1"/>
  <c r="AJ154" i="1"/>
  <c r="AI154" i="1"/>
  <c r="AK153" i="1"/>
  <c r="AJ153" i="1"/>
  <c r="AI153" i="1"/>
  <c r="AK152" i="1"/>
  <c r="AJ152" i="1"/>
  <c r="AI152" i="1"/>
  <c r="AV159" i="1"/>
  <c r="AU159" i="1"/>
  <c r="AV158" i="1"/>
  <c r="AU158" i="1"/>
  <c r="AV157" i="1"/>
  <c r="AU157" i="1"/>
  <c r="AV156" i="1"/>
  <c r="AU156" i="1"/>
  <c r="AV155" i="1"/>
  <c r="AU155" i="1"/>
  <c r="AV154" i="1"/>
  <c r="AU154" i="1"/>
  <c r="AV153" i="1"/>
  <c r="AU153" i="1"/>
  <c r="AV152" i="1"/>
  <c r="AU152" i="1"/>
  <c r="AP152" i="1"/>
  <c r="AQ152" i="1"/>
  <c r="AP153" i="1"/>
  <c r="AQ153" i="1"/>
  <c r="AP154" i="1"/>
  <c r="AQ154" i="1"/>
  <c r="AP155" i="1"/>
  <c r="AQ155" i="1"/>
  <c r="AP156" i="1"/>
  <c r="AQ156" i="1"/>
  <c r="AP157" i="1"/>
  <c r="AQ157" i="1"/>
  <c r="AP158" i="1"/>
  <c r="AQ158" i="1"/>
  <c r="AP159" i="1"/>
  <c r="AQ159" i="1"/>
  <c r="AO158" i="1"/>
  <c r="AO157" i="1"/>
  <c r="AO156" i="1"/>
  <c r="AO155" i="1"/>
  <c r="AO154" i="1"/>
  <c r="AO153" i="1"/>
  <c r="AO152" i="1"/>
  <c r="AV149" i="1"/>
  <c r="AU149" i="1"/>
  <c r="AT149" i="1"/>
  <c r="AW148" i="1"/>
  <c r="AV148" i="1"/>
  <c r="AU148" i="1"/>
  <c r="AT148" i="1"/>
  <c r="AV147" i="1"/>
  <c r="AU147" i="1"/>
  <c r="AT147" i="1"/>
  <c r="AV141" i="1"/>
  <c r="AV143" i="1" s="1"/>
  <c r="AU141" i="1"/>
  <c r="AU143" i="1" s="1"/>
  <c r="AT141" i="1"/>
  <c r="AT143" i="1" s="1"/>
  <c r="G149" i="1"/>
  <c r="F149" i="1"/>
  <c r="E149" i="1"/>
  <c r="D149" i="1"/>
  <c r="H148" i="1"/>
  <c r="G40" i="3" s="1"/>
  <c r="F148" i="1"/>
  <c r="E148" i="1"/>
  <c r="D148" i="1"/>
  <c r="H147" i="1"/>
  <c r="G37" i="3" s="1"/>
  <c r="F147" i="1"/>
  <c r="E147" i="1"/>
  <c r="D147" i="1"/>
  <c r="G141" i="1"/>
  <c r="G143" i="1" s="1"/>
  <c r="F141" i="1"/>
  <c r="F143" i="1" s="1"/>
  <c r="E141" i="1"/>
  <c r="E143" i="1" s="1"/>
  <c r="D141" i="1"/>
  <c r="D143" i="1" s="1"/>
  <c r="L149" i="1"/>
  <c r="K149" i="1"/>
  <c r="J149" i="1"/>
  <c r="L148" i="1"/>
  <c r="K148" i="1"/>
  <c r="J148" i="1"/>
  <c r="K147" i="1"/>
  <c r="J147" i="1"/>
  <c r="M141" i="1"/>
  <c r="M143" i="1" s="1"/>
  <c r="L141" i="1"/>
  <c r="L143" i="1" s="1"/>
  <c r="K141" i="1"/>
  <c r="K143" i="1" s="1"/>
  <c r="J141" i="1"/>
  <c r="J143" i="1" s="1"/>
  <c r="S149" i="1"/>
  <c r="R149" i="1"/>
  <c r="Q149" i="1"/>
  <c r="P149" i="1"/>
  <c r="R148" i="1"/>
  <c r="Q148" i="1"/>
  <c r="P148" i="1"/>
  <c r="R147" i="1"/>
  <c r="Q147" i="1"/>
  <c r="S141" i="1"/>
  <c r="S143" i="1" s="1"/>
  <c r="R141" i="1"/>
  <c r="R143" i="1" s="1"/>
  <c r="Q141" i="1"/>
  <c r="Q143" i="1" s="1"/>
  <c r="P141" i="1"/>
  <c r="P143" i="1" s="1"/>
  <c r="Y149" i="1"/>
  <c r="X149" i="1"/>
  <c r="W149" i="1"/>
  <c r="V149" i="1"/>
  <c r="X148" i="1"/>
  <c r="W148" i="1"/>
  <c r="V148" i="1"/>
  <c r="Y147" i="1"/>
  <c r="X147" i="1"/>
  <c r="W147" i="1"/>
  <c r="V147" i="1"/>
  <c r="Y141" i="1"/>
  <c r="Y143" i="1" s="1"/>
  <c r="X141" i="1"/>
  <c r="X143" i="1" s="1"/>
  <c r="W141" i="1"/>
  <c r="W143" i="1" s="1"/>
  <c r="V141" i="1"/>
  <c r="V143" i="1" s="1"/>
  <c r="AE149" i="1"/>
  <c r="AD149" i="1"/>
  <c r="AC149" i="1"/>
  <c r="AB149" i="1"/>
  <c r="AD148" i="1"/>
  <c r="AC148" i="1"/>
  <c r="AB148" i="1"/>
  <c r="AE147" i="1"/>
  <c r="AD147" i="1"/>
  <c r="AC147" i="1"/>
  <c r="AB147" i="1"/>
  <c r="AE141" i="1"/>
  <c r="AE143" i="1" s="1"/>
  <c r="AD141" i="1"/>
  <c r="AD143" i="1" s="1"/>
  <c r="AC141" i="1"/>
  <c r="AC143" i="1" s="1"/>
  <c r="AB141" i="1"/>
  <c r="AB143" i="1" s="1"/>
  <c r="AK149" i="1"/>
  <c r="AJ149" i="1"/>
  <c r="AI149" i="1"/>
  <c r="AH149" i="1"/>
  <c r="AJ148" i="1"/>
  <c r="AI148" i="1"/>
  <c r="AH148" i="1"/>
  <c r="AK147" i="1"/>
  <c r="AJ147" i="1"/>
  <c r="AI147" i="1"/>
  <c r="AH147" i="1"/>
  <c r="AK141" i="1"/>
  <c r="AK143" i="1" s="1"/>
  <c r="AJ141" i="1"/>
  <c r="AJ143" i="1" s="1"/>
  <c r="AI141" i="1"/>
  <c r="AI143" i="1" s="1"/>
  <c r="AH141" i="1"/>
  <c r="AH143" i="1" s="1"/>
  <c r="AO147" i="1"/>
  <c r="AP147" i="1"/>
  <c r="AQ147" i="1"/>
  <c r="AO148" i="1"/>
  <c r="AP148" i="1"/>
  <c r="AO149" i="1"/>
  <c r="AP149" i="1"/>
  <c r="AQ149" i="1"/>
  <c r="AO141" i="1"/>
  <c r="AO143" i="1" s="1"/>
  <c r="AP141" i="1"/>
  <c r="AP143" i="1" s="1"/>
  <c r="AQ141" i="1"/>
  <c r="AQ143" i="1" s="1"/>
  <c r="AN149" i="1"/>
  <c r="AN148" i="1"/>
  <c r="AN147" i="1"/>
  <c r="AN141" i="1"/>
  <c r="AN143" i="1" s="1"/>
  <c r="H162" i="1"/>
  <c r="G45" i="3" s="1"/>
  <c r="N162" i="1"/>
  <c r="T162" i="1"/>
  <c r="Z162" i="1"/>
  <c r="AF162" i="1"/>
  <c r="AL162" i="1"/>
  <c r="AR162" i="1"/>
  <c r="G136" i="1"/>
  <c r="F136" i="1"/>
  <c r="E136" i="1"/>
  <c r="D136" i="1"/>
  <c r="M136" i="1"/>
  <c r="L136" i="1"/>
  <c r="K136" i="1"/>
  <c r="J136" i="1"/>
  <c r="S136" i="1"/>
  <c r="R136" i="1"/>
  <c r="Q136" i="1"/>
  <c r="P136" i="1"/>
  <c r="W136" i="1"/>
  <c r="V136" i="1"/>
  <c r="Y136" i="1"/>
  <c r="X136" i="1"/>
  <c r="AE136" i="1"/>
  <c r="AD136" i="1"/>
  <c r="AC136" i="1"/>
  <c r="AB136" i="1"/>
  <c r="AK136" i="1"/>
  <c r="AJ136" i="1"/>
  <c r="AI136" i="1"/>
  <c r="AH136" i="1"/>
  <c r="AQ136" i="1"/>
  <c r="AP136" i="1"/>
  <c r="AO136" i="1"/>
  <c r="AN136" i="1"/>
  <c r="AU136" i="1"/>
  <c r="AT136" i="1"/>
  <c r="AV136" i="1"/>
  <c r="G110" i="1"/>
  <c r="H110" i="1" s="1"/>
  <c r="F110" i="1"/>
  <c r="E110" i="1"/>
  <c r="D110" i="1"/>
  <c r="M110" i="1"/>
  <c r="N110" i="1" s="1"/>
  <c r="L110" i="1"/>
  <c r="K110" i="1"/>
  <c r="J110" i="1"/>
  <c r="S110" i="1"/>
  <c r="T110" i="1" s="1"/>
  <c r="R110" i="1"/>
  <c r="Q110" i="1"/>
  <c r="P110" i="1"/>
  <c r="X110" i="1"/>
  <c r="W110" i="1"/>
  <c r="V110" i="1"/>
  <c r="Y110" i="1"/>
  <c r="Z110" i="1" s="1"/>
  <c r="AB158" i="1" s="1"/>
  <c r="AN119" i="1"/>
  <c r="N127" i="1"/>
  <c r="N128" i="1"/>
  <c r="N129" i="1"/>
  <c r="N130" i="1"/>
  <c r="N131" i="1"/>
  <c r="J132" i="1"/>
  <c r="K132" i="1"/>
  <c r="L132" i="1"/>
  <c r="M132" i="1"/>
  <c r="G132" i="1"/>
  <c r="F132" i="1"/>
  <c r="E132" i="1"/>
  <c r="D132" i="1"/>
  <c r="AR131" i="1"/>
  <c r="AL131" i="1"/>
  <c r="AF131" i="1"/>
  <c r="Z131" i="1"/>
  <c r="T131" i="1"/>
  <c r="H131" i="1"/>
  <c r="G64" i="3" s="1"/>
  <c r="AR130" i="1"/>
  <c r="AL130" i="1"/>
  <c r="AF130" i="1"/>
  <c r="Z130" i="1"/>
  <c r="T130" i="1"/>
  <c r="H130" i="1"/>
  <c r="AR129" i="1"/>
  <c r="AL129" i="1"/>
  <c r="AF129" i="1"/>
  <c r="Z129" i="1"/>
  <c r="T129" i="1"/>
  <c r="H129" i="1"/>
  <c r="AR128" i="1"/>
  <c r="AL128" i="1"/>
  <c r="AF128" i="1"/>
  <c r="Z128" i="1"/>
  <c r="T128" i="1"/>
  <c r="H128" i="1"/>
  <c r="AR127" i="1"/>
  <c r="AL127" i="1"/>
  <c r="AF127" i="1"/>
  <c r="Z127" i="1"/>
  <c r="T127" i="1"/>
  <c r="H127" i="1"/>
  <c r="AR124" i="1"/>
  <c r="AL124" i="1"/>
  <c r="AF124" i="1"/>
  <c r="Z124" i="1"/>
  <c r="T124" i="1"/>
  <c r="N124" i="1"/>
  <c r="H124" i="1"/>
  <c r="AR123" i="1"/>
  <c r="AL123" i="1"/>
  <c r="AF123" i="1"/>
  <c r="Z123" i="1"/>
  <c r="T123" i="1"/>
  <c r="N123" i="1"/>
  <c r="H123" i="1"/>
  <c r="G61" i="3" s="1"/>
  <c r="AQ122" i="1"/>
  <c r="AR122" i="1" s="1"/>
  <c r="AL122" i="1"/>
  <c r="AF122" i="1"/>
  <c r="AB122" i="1"/>
  <c r="Z122" i="1"/>
  <c r="S122" i="1"/>
  <c r="T122" i="1" s="1"/>
  <c r="R122" i="1"/>
  <c r="Q122" i="1"/>
  <c r="P122" i="1"/>
  <c r="M122" i="1"/>
  <c r="N122" i="1" s="1"/>
  <c r="L122" i="1"/>
  <c r="K122" i="1"/>
  <c r="J122" i="1"/>
  <c r="G122" i="1"/>
  <c r="H122" i="1" s="1"/>
  <c r="F122" i="1"/>
  <c r="E122" i="1"/>
  <c r="D122" i="1"/>
  <c r="AQ120" i="1"/>
  <c r="AR120" i="1" s="1"/>
  <c r="AL120" i="1"/>
  <c r="AF120" i="1"/>
  <c r="AB120" i="1"/>
  <c r="Z120" i="1"/>
  <c r="S120" i="1"/>
  <c r="T120" i="1" s="1"/>
  <c r="R120" i="1"/>
  <c r="Q120" i="1"/>
  <c r="P120" i="1"/>
  <c r="M120" i="1"/>
  <c r="N120" i="1" s="1"/>
  <c r="L120" i="1"/>
  <c r="K120" i="1"/>
  <c r="J120" i="1"/>
  <c r="G120" i="1"/>
  <c r="H120" i="1" s="1"/>
  <c r="F120" i="1"/>
  <c r="E120" i="1"/>
  <c r="D120" i="1"/>
  <c r="AR119" i="1"/>
  <c r="AL119" i="1"/>
  <c r="AF119" i="1"/>
  <c r="Z119" i="1"/>
  <c r="T119" i="1"/>
  <c r="N119" i="1"/>
  <c r="H119" i="1"/>
  <c r="J159" i="1" s="1"/>
  <c r="AR118" i="1"/>
  <c r="AN118" i="1"/>
  <c r="AL118" i="1"/>
  <c r="AF118" i="1"/>
  <c r="Z118" i="1"/>
  <c r="T118" i="1"/>
  <c r="N118" i="1"/>
  <c r="H118" i="1"/>
  <c r="AR117" i="1"/>
  <c r="AT157" i="1" s="1"/>
  <c r="AL117" i="1"/>
  <c r="AN157" i="1" s="1"/>
  <c r="AF117" i="1"/>
  <c r="Z117" i="1"/>
  <c r="T117" i="1"/>
  <c r="V157" i="1" s="1"/>
  <c r="N117" i="1"/>
  <c r="P157" i="1" s="1"/>
  <c r="H117" i="1"/>
  <c r="J157" i="1" s="1"/>
  <c r="AR116" i="1"/>
  <c r="AL116" i="1"/>
  <c r="AF116" i="1"/>
  <c r="Z116" i="1"/>
  <c r="AB156" i="1" s="1"/>
  <c r="T116" i="1"/>
  <c r="N116" i="1"/>
  <c r="H116" i="1"/>
  <c r="J156" i="1" s="1"/>
  <c r="AR115" i="1"/>
  <c r="AT155" i="1" s="1"/>
  <c r="AL115" i="1"/>
  <c r="AF115" i="1"/>
  <c r="AH155" i="1" s="1"/>
  <c r="Z115" i="1"/>
  <c r="AB155" i="1" s="1"/>
  <c r="T115" i="1"/>
  <c r="V155" i="1" s="1"/>
  <c r="N115" i="1"/>
  <c r="H115" i="1"/>
  <c r="J155" i="1" s="1"/>
  <c r="AR114" i="1"/>
  <c r="AT154" i="1" s="1"/>
  <c r="AL114" i="1"/>
  <c r="AF114" i="1"/>
  <c r="AH154" i="1" s="1"/>
  <c r="Z114" i="1"/>
  <c r="AB154" i="1" s="1"/>
  <c r="T114" i="1"/>
  <c r="V154" i="1" s="1"/>
  <c r="N114" i="1"/>
  <c r="P154" i="1" s="1"/>
  <c r="H114" i="1"/>
  <c r="AR113" i="1"/>
  <c r="AL113" i="1"/>
  <c r="AF113" i="1"/>
  <c r="Z113" i="1"/>
  <c r="S113" i="1"/>
  <c r="T113" i="1" s="1"/>
  <c r="P113" i="1"/>
  <c r="N113" i="1"/>
  <c r="L113" i="1"/>
  <c r="K113" i="1"/>
  <c r="J113" i="1"/>
  <c r="G113" i="1"/>
  <c r="H113" i="1" s="1"/>
  <c r="F113" i="1"/>
  <c r="E113" i="1"/>
  <c r="D113" i="1"/>
  <c r="Q11" i="10"/>
  <c r="AR110" i="1"/>
  <c r="AL110" i="1"/>
  <c r="AN158" i="1" s="1"/>
  <c r="AF110" i="1"/>
  <c r="AV109" i="1"/>
  <c r="AU109" i="1"/>
  <c r="AT109" i="1"/>
  <c r="AQ109" i="1"/>
  <c r="AR109" i="1" s="1"/>
  <c r="AP109" i="1"/>
  <c r="AO109" i="1"/>
  <c r="AN109" i="1"/>
  <c r="AK109" i="1"/>
  <c r="AL109" i="1" s="1"/>
  <c r="AJ109" i="1"/>
  <c r="AI109" i="1"/>
  <c r="AH109" i="1"/>
  <c r="AE109" i="1"/>
  <c r="AF109" i="1" s="1"/>
  <c r="AD109" i="1"/>
  <c r="AC109" i="1"/>
  <c r="AB109" i="1"/>
  <c r="Y109" i="1"/>
  <c r="Z109" i="1" s="1"/>
  <c r="X109" i="1"/>
  <c r="W109" i="1"/>
  <c r="V109" i="1"/>
  <c r="S109" i="1"/>
  <c r="T109" i="1" s="1"/>
  <c r="R109" i="1"/>
  <c r="Q109" i="1"/>
  <c r="P109" i="1"/>
  <c r="M109" i="1"/>
  <c r="N109" i="1" s="1"/>
  <c r="L109" i="1"/>
  <c r="K109" i="1"/>
  <c r="J109" i="1"/>
  <c r="G109" i="1"/>
  <c r="H109" i="1" s="1"/>
  <c r="F109" i="1"/>
  <c r="E109" i="1"/>
  <c r="D109" i="1"/>
  <c r="AR108" i="1"/>
  <c r="AL108" i="1"/>
  <c r="AF108" i="1"/>
  <c r="Z108" i="1"/>
  <c r="T108" i="1"/>
  <c r="N108" i="1"/>
  <c r="H108" i="1"/>
  <c r="AR107" i="1"/>
  <c r="AL107" i="1"/>
  <c r="AF107" i="1"/>
  <c r="Z107" i="1"/>
  <c r="T107" i="1"/>
  <c r="N107" i="1"/>
  <c r="H107" i="1"/>
  <c r="AR106" i="1"/>
  <c r="AL106" i="1"/>
  <c r="AF106" i="1"/>
  <c r="Z106" i="1"/>
  <c r="T106" i="1"/>
  <c r="N106" i="1"/>
  <c r="H106" i="1"/>
  <c r="AR105" i="1"/>
  <c r="AL105" i="1"/>
  <c r="AF105" i="1"/>
  <c r="Z105" i="1"/>
  <c r="T105" i="1"/>
  <c r="N105" i="1"/>
  <c r="H105" i="1"/>
  <c r="M104" i="1"/>
  <c r="L104" i="1"/>
  <c r="K104" i="1"/>
  <c r="J104" i="1"/>
  <c r="G104" i="1"/>
  <c r="F104" i="1"/>
  <c r="E104" i="1"/>
  <c r="D104" i="1"/>
  <c r="AR103" i="1"/>
  <c r="AL103" i="1"/>
  <c r="AN153" i="1" s="1"/>
  <c r="AF103" i="1"/>
  <c r="Z103" i="1"/>
  <c r="T103" i="1"/>
  <c r="N103" i="1"/>
  <c r="H103" i="1"/>
  <c r="AR102" i="1"/>
  <c r="AL102" i="1"/>
  <c r="AF102" i="1"/>
  <c r="Z102" i="1"/>
  <c r="T102" i="1"/>
  <c r="N102" i="1"/>
  <c r="H102" i="1"/>
  <c r="AR101" i="1"/>
  <c r="AL101" i="1"/>
  <c r="AF101" i="1"/>
  <c r="Z101" i="1"/>
  <c r="T101" i="1"/>
  <c r="N101" i="1"/>
  <c r="H101" i="1"/>
  <c r="AR100" i="1"/>
  <c r="AL100" i="1"/>
  <c r="AF100" i="1"/>
  <c r="Z100" i="1"/>
  <c r="T100" i="1"/>
  <c r="N100" i="1"/>
  <c r="H100" i="1"/>
  <c r="AR99" i="1"/>
  <c r="AL99" i="1"/>
  <c r="AN192" i="1" s="1"/>
  <c r="AF99" i="1"/>
  <c r="AL192" i="1" s="1"/>
  <c r="Z99" i="1"/>
  <c r="AB192" i="1" s="1"/>
  <c r="T99" i="1"/>
  <c r="Z192" i="1" s="1"/>
  <c r="N99" i="1"/>
  <c r="P192" i="1" s="1"/>
  <c r="H99" i="1"/>
  <c r="M61" i="1"/>
  <c r="M149" i="1" s="1"/>
  <c r="T53" i="1"/>
  <c r="T55" i="1" s="1"/>
  <c r="L53" i="1"/>
  <c r="N55" i="1" s="1"/>
  <c r="P53" i="1"/>
  <c r="P55" i="1" s="1"/>
  <c r="G53" i="1"/>
  <c r="G147" i="1" s="1"/>
  <c r="S54" i="1"/>
  <c r="S148" i="1" s="1"/>
  <c r="Y54" i="1"/>
  <c r="Y55" i="1" s="1"/>
  <c r="M54" i="1"/>
  <c r="M148" i="1" s="1"/>
  <c r="AE54" i="1"/>
  <c r="AE55" i="1" s="1"/>
  <c r="G54" i="1"/>
  <c r="G148" i="1" s="1"/>
  <c r="AK54" i="1"/>
  <c r="AK55" i="1" s="1"/>
  <c r="AQ54" i="1"/>
  <c r="AQ55" i="1" s="1"/>
  <c r="AR58" i="1"/>
  <c r="AR141" i="1" s="1"/>
  <c r="AL58" i="1"/>
  <c r="AL141" i="1" s="1"/>
  <c r="AF58" i="1"/>
  <c r="AF141" i="1" s="1"/>
  <c r="Z58" i="1"/>
  <c r="Z141" i="1" s="1"/>
  <c r="T58" i="1"/>
  <c r="T141" i="1" s="1"/>
  <c r="N58" i="1"/>
  <c r="N141" i="1" s="1"/>
  <c r="H58" i="1"/>
  <c r="H141" i="1" s="1"/>
  <c r="AR62" i="1"/>
  <c r="AR61" i="1"/>
  <c r="AR149" i="1" s="1"/>
  <c r="AL62" i="1"/>
  <c r="AL61" i="1"/>
  <c r="AL149" i="1" s="1"/>
  <c r="AF62" i="1"/>
  <c r="AF61" i="1"/>
  <c r="AF149" i="1" s="1"/>
  <c r="Z62" i="1"/>
  <c r="Z61" i="1"/>
  <c r="Z149" i="1" s="1"/>
  <c r="T62" i="1"/>
  <c r="T61" i="1"/>
  <c r="T149" i="1" s="1"/>
  <c r="H62" i="1"/>
  <c r="H61" i="1"/>
  <c r="H149" i="1" s="1"/>
  <c r="G41" i="3" s="1"/>
  <c r="H81" i="1"/>
  <c r="G58" i="3" s="1"/>
  <c r="G59" i="3" s="1"/>
  <c r="H80" i="1"/>
  <c r="H370" i="1" s="1"/>
  <c r="N81" i="1"/>
  <c r="N75" i="1" s="1"/>
  <c r="N73" i="1" s="1"/>
  <c r="N80" i="1"/>
  <c r="N370" i="1" s="1"/>
  <c r="T81" i="1"/>
  <c r="T371" i="1" s="1"/>
  <c r="T80" i="1"/>
  <c r="T370" i="1" s="1"/>
  <c r="Z81" i="1"/>
  <c r="Z80" i="1"/>
  <c r="AF81" i="1"/>
  <c r="AF371" i="1" s="1"/>
  <c r="AF80" i="1"/>
  <c r="AF370" i="1" s="1"/>
  <c r="AL81" i="1"/>
  <c r="AL371" i="1" s="1"/>
  <c r="AL80" i="1"/>
  <c r="AL370" i="1" s="1"/>
  <c r="AR81" i="1"/>
  <c r="AR371" i="1" s="1"/>
  <c r="AR80" i="1"/>
  <c r="AR370" i="1" s="1"/>
  <c r="F55" i="1"/>
  <c r="E55" i="1"/>
  <c r="D55" i="1"/>
  <c r="AV55" i="1"/>
  <c r="AU55" i="1"/>
  <c r="AT55" i="1"/>
  <c r="AP55" i="1"/>
  <c r="AO55" i="1"/>
  <c r="AN55" i="1"/>
  <c r="AJ55" i="1"/>
  <c r="AI55" i="1"/>
  <c r="AH55" i="1"/>
  <c r="AB55" i="1"/>
  <c r="AD55" i="1"/>
  <c r="AC55" i="1"/>
  <c r="X55" i="1"/>
  <c r="W55" i="1"/>
  <c r="V55" i="1"/>
  <c r="R55" i="1"/>
  <c r="Q55" i="1"/>
  <c r="K55" i="1"/>
  <c r="J55" i="1"/>
  <c r="AR53" i="1"/>
  <c r="AR55" i="1" s="1"/>
  <c r="AL53" i="1"/>
  <c r="AL55" i="1" s="1"/>
  <c r="AF53" i="1"/>
  <c r="AF55" i="1" s="1"/>
  <c r="Z53" i="1"/>
  <c r="Z55" i="1" s="1"/>
  <c r="H55" i="1"/>
  <c r="D2" i="1"/>
  <c r="D5" i="1" s="1"/>
  <c r="D299" i="5"/>
  <c r="D301" i="5" s="1"/>
  <c r="E299" i="5"/>
  <c r="F299" i="5"/>
  <c r="F301" i="5" s="1"/>
  <c r="J299" i="5"/>
  <c r="J301" i="5" s="1"/>
  <c r="P299" i="5"/>
  <c r="P301" i="5" s="1"/>
  <c r="K299" i="5"/>
  <c r="K301" i="5" s="1"/>
  <c r="Q299" i="5"/>
  <c r="Q301" i="5" s="1"/>
  <c r="L299" i="5"/>
  <c r="L301" i="5" s="1"/>
  <c r="R299" i="5"/>
  <c r="R301" i="5" s="1"/>
  <c r="H299" i="5"/>
  <c r="N299" i="5"/>
  <c r="T299" i="5"/>
  <c r="G159" i="5"/>
  <c r="M159" i="5"/>
  <c r="G200" i="5"/>
  <c r="M200" i="5"/>
  <c r="M266" i="5"/>
  <c r="G266" i="5"/>
  <c r="G286" i="5"/>
  <c r="M286" i="5"/>
  <c r="S286" i="5"/>
  <c r="S266" i="5"/>
  <c r="S200" i="5"/>
  <c r="S159" i="5"/>
  <c r="V299" i="5"/>
  <c r="W299" i="5"/>
  <c r="Y200" i="5"/>
  <c r="Y266" i="5"/>
  <c r="X299" i="5"/>
  <c r="Z299" i="5"/>
  <c r="Y159" i="5"/>
  <c r="H124" i="5"/>
  <c r="G124" i="5"/>
  <c r="F124" i="5"/>
  <c r="E124" i="5"/>
  <c r="D124" i="5"/>
  <c r="H119" i="5"/>
  <c r="F119" i="5"/>
  <c r="F121" i="5" s="1"/>
  <c r="E119" i="5"/>
  <c r="E121" i="5" s="1"/>
  <c r="D119" i="5"/>
  <c r="D121" i="5" s="1"/>
  <c r="N124" i="5"/>
  <c r="M124" i="5"/>
  <c r="L124" i="5"/>
  <c r="K124" i="5"/>
  <c r="J124" i="5"/>
  <c r="N119" i="5"/>
  <c r="L119" i="5"/>
  <c r="L121" i="5" s="1"/>
  <c r="K119" i="5"/>
  <c r="J119" i="5"/>
  <c r="J121" i="5" s="1"/>
  <c r="T124" i="5"/>
  <c r="S124" i="5"/>
  <c r="R124" i="5"/>
  <c r="Q124" i="5"/>
  <c r="P124" i="5"/>
  <c r="T119" i="5"/>
  <c r="R119" i="5"/>
  <c r="R121" i="5" s="1"/>
  <c r="Q119" i="5"/>
  <c r="Q121" i="5" s="1"/>
  <c r="P119" i="5"/>
  <c r="Z124" i="5"/>
  <c r="X124" i="5"/>
  <c r="W124" i="5"/>
  <c r="V124" i="5"/>
  <c r="Z119" i="5"/>
  <c r="X119" i="5"/>
  <c r="X121" i="5" s="1"/>
  <c r="W119" i="5"/>
  <c r="W121" i="5" s="1"/>
  <c r="V119" i="5"/>
  <c r="V121" i="5" s="1"/>
  <c r="AR33" i="1"/>
  <c r="AP33" i="1"/>
  <c r="AO33" i="1"/>
  <c r="AN33" i="1"/>
  <c r="AL33" i="1"/>
  <c r="AJ33" i="1"/>
  <c r="AI33" i="1"/>
  <c r="AH33" i="1"/>
  <c r="AF33" i="1"/>
  <c r="AD33" i="1"/>
  <c r="AC33" i="1"/>
  <c r="AB33" i="1"/>
  <c r="Z33" i="1"/>
  <c r="X33" i="1"/>
  <c r="W33" i="1"/>
  <c r="V33" i="1"/>
  <c r="T33" i="1"/>
  <c r="R33" i="1"/>
  <c r="Q33" i="1"/>
  <c r="P33" i="1"/>
  <c r="N33" i="1"/>
  <c r="L33" i="1"/>
  <c r="K33" i="1"/>
  <c r="J33" i="1"/>
  <c r="E33" i="1"/>
  <c r="F33" i="1"/>
  <c r="H33" i="1"/>
  <c r="G22" i="3" s="1"/>
  <c r="D33" i="1"/>
  <c r="B33" i="1"/>
  <c r="C22" i="3" s="1"/>
  <c r="H31" i="1"/>
  <c r="G20" i="3" s="1"/>
  <c r="F31" i="1"/>
  <c r="E31" i="1"/>
  <c r="D31" i="1"/>
  <c r="H29" i="1"/>
  <c r="G18" i="3" s="1"/>
  <c r="F29" i="1"/>
  <c r="E29" i="1"/>
  <c r="D29" i="1"/>
  <c r="H27" i="1"/>
  <c r="G16" i="3" s="1"/>
  <c r="F27" i="1"/>
  <c r="E27" i="1"/>
  <c r="D27" i="1"/>
  <c r="E25" i="1"/>
  <c r="F25" i="1"/>
  <c r="H25" i="1"/>
  <c r="G14" i="3" s="1"/>
  <c r="D25" i="1"/>
  <c r="G35" i="5"/>
  <c r="G33" i="1" s="1"/>
  <c r="G32" i="5"/>
  <c r="G31" i="1" s="1"/>
  <c r="G21" i="5"/>
  <c r="G25" i="1" s="1"/>
  <c r="G15" i="5"/>
  <c r="M35" i="5"/>
  <c r="M33" i="1" s="1"/>
  <c r="M32" i="5"/>
  <c r="M21" i="5"/>
  <c r="S35" i="5"/>
  <c r="S33" i="1" s="1"/>
  <c r="S32" i="5"/>
  <c r="S29" i="5"/>
  <c r="Y35" i="5"/>
  <c r="Y33" i="1" s="1"/>
  <c r="Y29" i="5"/>
  <c r="Y21" i="5"/>
  <c r="Y15" i="5"/>
  <c r="Y32" i="5"/>
  <c r="AE35" i="5"/>
  <c r="AE33" i="1" s="1"/>
  <c r="AE32" i="5"/>
  <c r="AE21" i="5"/>
  <c r="AE15" i="5"/>
  <c r="AK15" i="5"/>
  <c r="AK21" i="5"/>
  <c r="AK32" i="5"/>
  <c r="AK35" i="5"/>
  <c r="AK33" i="1" s="1"/>
  <c r="AQ35" i="5"/>
  <c r="AQ33" i="1" s="1"/>
  <c r="AQ32" i="5"/>
  <c r="AQ29" i="5"/>
  <c r="AQ25" i="5"/>
  <c r="AQ21" i="5"/>
  <c r="AL29" i="5"/>
  <c r="AF29" i="5"/>
  <c r="M29" i="5"/>
  <c r="G29" i="5"/>
  <c r="G29" i="1" s="1"/>
  <c r="AL25" i="5"/>
  <c r="AF25" i="5"/>
  <c r="Z25" i="5"/>
  <c r="T25" i="5"/>
  <c r="N25" i="5"/>
  <c r="T21" i="5"/>
  <c r="BP181" i="1" l="1"/>
  <c r="AV378" i="1"/>
  <c r="BJ181" i="1"/>
  <c r="W357" i="1"/>
  <c r="N384" i="1"/>
  <c r="AF381" i="1"/>
  <c r="CH373" i="1"/>
  <c r="D383" i="1"/>
  <c r="AL384" i="1"/>
  <c r="BV181" i="1"/>
  <c r="CH181" i="1"/>
  <c r="AT378" i="1"/>
  <c r="T381" i="1"/>
  <c r="AJ378" i="1"/>
  <c r="AP378" i="1"/>
  <c r="H380" i="1"/>
  <c r="AE388" i="1"/>
  <c r="CN181" i="1"/>
  <c r="Z381" i="1"/>
  <c r="AR381" i="1"/>
  <c r="J388" i="1"/>
  <c r="J389" i="1" s="1"/>
  <c r="J377" i="1"/>
  <c r="BD373" i="1"/>
  <c r="N381" i="1"/>
  <c r="P383" i="1"/>
  <c r="Z380" i="1"/>
  <c r="Z384" i="1"/>
  <c r="BV373" i="1"/>
  <c r="H381" i="1"/>
  <c r="F383" i="1"/>
  <c r="F386" i="1" s="1"/>
  <c r="X383" i="1"/>
  <c r="X386" i="1" s="1"/>
  <c r="AL380" i="1"/>
  <c r="AP388" i="1"/>
  <c r="AP389" i="1" s="1"/>
  <c r="AI388" i="1"/>
  <c r="AI389" i="1" s="1"/>
  <c r="CH377" i="1"/>
  <c r="X389" i="1"/>
  <c r="AN382" i="1"/>
  <c r="AR382" i="1" s="1"/>
  <c r="AN388" i="1"/>
  <c r="AO388" i="1"/>
  <c r="AO389" i="1" s="1"/>
  <c r="AJ388" i="1"/>
  <c r="AJ389" i="1" s="1"/>
  <c r="P388" i="1"/>
  <c r="P389" i="1" s="1"/>
  <c r="D388" i="1"/>
  <c r="D389" i="1" s="1"/>
  <c r="BP373" i="1"/>
  <c r="K382" i="1"/>
  <c r="K383" i="1" s="1"/>
  <c r="K386" i="1" s="1"/>
  <c r="AT388" i="1"/>
  <c r="AT389" i="1" s="1"/>
  <c r="AK388" i="1"/>
  <c r="AK389" i="1" s="1"/>
  <c r="Q388" i="1"/>
  <c r="Q389" i="1" s="1"/>
  <c r="E388" i="1"/>
  <c r="E389" i="1" s="1"/>
  <c r="AT390" i="1"/>
  <c r="AU390" i="1" s="1"/>
  <c r="AV390" i="1" s="1"/>
  <c r="AW390" i="1" s="1"/>
  <c r="AZ390" i="1" s="1"/>
  <c r="BA390" i="1" s="1"/>
  <c r="BB390" i="1" s="1"/>
  <c r="BC390" i="1" s="1"/>
  <c r="BF390" i="1" s="1"/>
  <c r="BG390" i="1" s="1"/>
  <c r="BH390" i="1" s="1"/>
  <c r="BI390" i="1" s="1"/>
  <c r="BL390" i="1" s="1"/>
  <c r="BM390" i="1" s="1"/>
  <c r="BN390" i="1" s="1"/>
  <c r="BO390" i="1" s="1"/>
  <c r="BR390" i="1" s="1"/>
  <c r="BS390" i="1" s="1"/>
  <c r="BT390" i="1" s="1"/>
  <c r="BU390" i="1" s="1"/>
  <c r="AF384" i="1"/>
  <c r="AU388" i="1"/>
  <c r="V388" i="1"/>
  <c r="V389" i="1" s="1"/>
  <c r="R388" i="1"/>
  <c r="R389" i="1" s="1"/>
  <c r="F388" i="1"/>
  <c r="F389" i="1" s="1"/>
  <c r="CB181" i="1"/>
  <c r="AK378" i="1"/>
  <c r="AQ378" i="1"/>
  <c r="AU382" i="1"/>
  <c r="AU383" i="1" s="1"/>
  <c r="AU386" i="1" s="1"/>
  <c r="AV388" i="1"/>
  <c r="W388" i="1"/>
  <c r="W389" i="1" s="1"/>
  <c r="S388" i="1"/>
  <c r="K388" i="1"/>
  <c r="G388" i="1"/>
  <c r="Q383" i="1"/>
  <c r="Y382" i="1"/>
  <c r="Y383" i="1" s="1"/>
  <c r="AE382" i="1"/>
  <c r="AE383" i="1" s="1"/>
  <c r="AR380" i="1"/>
  <c r="AV382" i="1"/>
  <c r="AV383" i="1" s="1"/>
  <c r="AV386" i="1" s="1"/>
  <c r="AB388" i="1"/>
  <c r="AB389" i="1" s="1"/>
  <c r="E383" i="1"/>
  <c r="AR384" i="1"/>
  <c r="AC388" i="1"/>
  <c r="AC389" i="1" s="1"/>
  <c r="Y388" i="1"/>
  <c r="M388" i="1"/>
  <c r="AH377" i="1"/>
  <c r="AH378" i="1" s="1"/>
  <c r="AQ388" i="1"/>
  <c r="AQ389" i="1" s="1"/>
  <c r="AD388" i="1"/>
  <c r="AD389" i="1" s="1"/>
  <c r="BJ373" i="1"/>
  <c r="CB373" i="1"/>
  <c r="CN373" i="1"/>
  <c r="M22" i="13"/>
  <c r="M33" i="13"/>
  <c r="M20" i="13"/>
  <c r="M31" i="13"/>
  <c r="L33" i="13"/>
  <c r="L22" i="13"/>
  <c r="R89" i="13"/>
  <c r="R78" i="13"/>
  <c r="S10" i="13"/>
  <c r="N12" i="13"/>
  <c r="Y20" i="13"/>
  <c r="S39" i="13"/>
  <c r="S60" i="13" s="1"/>
  <c r="M41" i="13"/>
  <c r="M51" i="13" s="1"/>
  <c r="AE60" i="13"/>
  <c r="N32" i="13"/>
  <c r="AR39" i="13"/>
  <c r="N41" i="13"/>
  <c r="O49" i="13"/>
  <c r="Y49" i="13"/>
  <c r="L51" i="13"/>
  <c r="M62" i="13"/>
  <c r="X68" i="13"/>
  <c r="X78" i="13" s="1"/>
  <c r="M89" i="13"/>
  <c r="AE89" i="13"/>
  <c r="V49" i="13"/>
  <c r="Z10" i="13"/>
  <c r="H11" i="13"/>
  <c r="H12" i="13" s="1"/>
  <c r="AJ31" i="13"/>
  <c r="P49" i="13"/>
  <c r="L60" i="13"/>
  <c r="N62" i="13"/>
  <c r="Y78" i="13"/>
  <c r="N89" i="13"/>
  <c r="AA49" i="13"/>
  <c r="N51" i="13"/>
  <c r="M60" i="13"/>
  <c r="V60" i="13"/>
  <c r="N61" i="13"/>
  <c r="AH60" i="13"/>
  <c r="AJ68" i="13"/>
  <c r="AJ89" i="13" s="1"/>
  <c r="AE68" i="13"/>
  <c r="AK89" i="13"/>
  <c r="AD10" i="13"/>
  <c r="AD31" i="13" s="1"/>
  <c r="N10" i="13"/>
  <c r="M32" i="13"/>
  <c r="S49" i="13"/>
  <c r="AB49" i="13"/>
  <c r="N50" i="13"/>
  <c r="N60" i="13"/>
  <c r="AF68" i="13"/>
  <c r="AF89" i="13" s="1"/>
  <c r="Z89" i="13"/>
  <c r="M91" i="13"/>
  <c r="AF31" i="13"/>
  <c r="O60" i="13"/>
  <c r="Y60" i="13"/>
  <c r="AL60" i="13"/>
  <c r="AE10" i="13"/>
  <c r="AE31" i="13" s="1"/>
  <c r="L10" i="13"/>
  <c r="L20" i="13" s="1"/>
  <c r="L49" i="13"/>
  <c r="U49" i="13"/>
  <c r="P39" i="13"/>
  <c r="P60" i="13" s="1"/>
  <c r="S89" i="13"/>
  <c r="L91" i="13"/>
  <c r="M70" i="13"/>
  <c r="M80" i="13" s="1"/>
  <c r="N70" i="13"/>
  <c r="N80" i="13" s="1"/>
  <c r="S68" i="13"/>
  <c r="S78" i="13" s="1"/>
  <c r="AL68" i="13"/>
  <c r="AL89" i="13" s="1"/>
  <c r="I69" i="13"/>
  <c r="I70" i="13" s="1"/>
  <c r="AK68" i="13"/>
  <c r="T68" i="13"/>
  <c r="T78" i="13" s="1"/>
  <c r="AD68" i="13"/>
  <c r="AD89" i="13" s="1"/>
  <c r="AW68" i="13"/>
  <c r="L68" i="13"/>
  <c r="L69" i="13"/>
  <c r="M69" i="13"/>
  <c r="M79" i="13" s="1"/>
  <c r="N69" i="13"/>
  <c r="N79" i="13" s="1"/>
  <c r="AQ39" i="13"/>
  <c r="AD39" i="13"/>
  <c r="AD60" i="13" s="1"/>
  <c r="X39" i="13"/>
  <c r="X49" i="13" s="1"/>
  <c r="AH39" i="13"/>
  <c r="T39" i="13"/>
  <c r="T60" i="13" s="1"/>
  <c r="U39" i="13"/>
  <c r="U60" i="13" s="1"/>
  <c r="V39" i="13"/>
  <c r="J40" i="13"/>
  <c r="J41" i="13" s="1"/>
  <c r="L40" i="13"/>
  <c r="L50" i="13" s="1"/>
  <c r="Z39" i="13"/>
  <c r="Z60" i="13" s="1"/>
  <c r="AJ39" i="13"/>
  <c r="AJ60" i="13" s="1"/>
  <c r="AS39" i="13"/>
  <c r="M40" i="13"/>
  <c r="M50" i="13" s="1"/>
  <c r="R39" i="13"/>
  <c r="R60" i="13" s="1"/>
  <c r="AA39" i="13"/>
  <c r="AA60" i="13" s="1"/>
  <c r="AK39" i="13"/>
  <c r="AK60" i="13" s="1"/>
  <c r="AT39" i="13"/>
  <c r="AM39" i="13"/>
  <c r="AM60" i="13" s="1"/>
  <c r="AK31" i="13"/>
  <c r="X10" i="13"/>
  <c r="F11" i="13"/>
  <c r="F12" i="13" s="1"/>
  <c r="I11" i="13"/>
  <c r="I12" i="13" s="1"/>
  <c r="T10" i="13"/>
  <c r="T20" i="13" s="1"/>
  <c r="AU11" i="13"/>
  <c r="AU12" i="13" s="1"/>
  <c r="M11" i="13"/>
  <c r="M21" i="13" s="1"/>
  <c r="L11" i="13"/>
  <c r="L21" i="13" s="1"/>
  <c r="CN377" i="1"/>
  <c r="CB377" i="1"/>
  <c r="BV377" i="1"/>
  <c r="BP377" i="1"/>
  <c r="BJ377" i="1"/>
  <c r="AR385" i="1"/>
  <c r="AF385" i="1"/>
  <c r="H385" i="1"/>
  <c r="N385" i="1"/>
  <c r="Z385" i="1"/>
  <c r="AL385" i="1"/>
  <c r="L377" i="1"/>
  <c r="H384" i="1"/>
  <c r="J383" i="1"/>
  <c r="J386" i="1" s="1"/>
  <c r="V383" i="1"/>
  <c r="V386" i="1" s="1"/>
  <c r="AI383" i="1"/>
  <c r="AI386" i="1" s="1"/>
  <c r="W383" i="1"/>
  <c r="W386" i="1" s="1"/>
  <c r="AF380" i="1"/>
  <c r="AJ383" i="1"/>
  <c r="AJ386" i="1" s="1"/>
  <c r="AI378" i="1"/>
  <c r="L382" i="1"/>
  <c r="S382" i="1"/>
  <c r="S383" i="1" s="1"/>
  <c r="S386" i="1" s="1"/>
  <c r="T384" i="1"/>
  <c r="AH382" i="1"/>
  <c r="AH389" i="1" s="1"/>
  <c r="AK383" i="1"/>
  <c r="AK386" i="1" s="1"/>
  <c r="AN383" i="1"/>
  <c r="AN386" i="1" s="1"/>
  <c r="AB357" i="1"/>
  <c r="M382" i="1"/>
  <c r="M383" i="1" s="1"/>
  <c r="M386" i="1" s="1"/>
  <c r="AO383" i="1"/>
  <c r="AO386" i="1" s="1"/>
  <c r="AT383" i="1"/>
  <c r="AT386" i="1" s="1"/>
  <c r="N380" i="1"/>
  <c r="AP383" i="1"/>
  <c r="AP386" i="1" s="1"/>
  <c r="T385" i="1"/>
  <c r="AQ383" i="1"/>
  <c r="AQ386" i="1" s="1"/>
  <c r="AB383" i="1"/>
  <c r="AB386" i="1" s="1"/>
  <c r="AC383" i="1"/>
  <c r="AC386" i="1" s="1"/>
  <c r="AD386" i="1"/>
  <c r="R383" i="1"/>
  <c r="R386" i="1" s="1"/>
  <c r="T380" i="1"/>
  <c r="P386" i="1"/>
  <c r="Q386" i="1"/>
  <c r="G382" i="1"/>
  <c r="H382" i="1" s="1"/>
  <c r="D386" i="1"/>
  <c r="E386" i="1"/>
  <c r="AR373" i="1"/>
  <c r="AU378" i="1"/>
  <c r="AF373" i="1"/>
  <c r="AX373" i="1"/>
  <c r="N373" i="1"/>
  <c r="H373" i="1"/>
  <c r="AR372" i="1"/>
  <c r="T373" i="1"/>
  <c r="Z362" i="1"/>
  <c r="AO378" i="1"/>
  <c r="Z373" i="1"/>
  <c r="AF372" i="1"/>
  <c r="AL373" i="1"/>
  <c r="AX372" i="1"/>
  <c r="N371" i="1"/>
  <c r="AL372" i="1"/>
  <c r="AL388" i="1" s="1"/>
  <c r="P357" i="1"/>
  <c r="N372" i="1"/>
  <c r="N388" i="1" s="1"/>
  <c r="Z372" i="1"/>
  <c r="H371" i="1"/>
  <c r="G53" i="3" s="1"/>
  <c r="AP357" i="1"/>
  <c r="T372" i="1"/>
  <c r="H372" i="1"/>
  <c r="X377" i="1"/>
  <c r="AN357" i="1"/>
  <c r="J357" i="1"/>
  <c r="J364" i="1" s="1"/>
  <c r="J366" i="1" s="1"/>
  <c r="J358" i="1" s="1"/>
  <c r="AZ364" i="1"/>
  <c r="K357" i="1"/>
  <c r="K364" i="1" s="1"/>
  <c r="K366" i="1" s="1"/>
  <c r="K358" i="1" s="1"/>
  <c r="K361" i="1" s="1"/>
  <c r="V357" i="1"/>
  <c r="V364" i="1" s="1"/>
  <c r="V366" i="1" s="1"/>
  <c r="V358" i="1" s="1"/>
  <c r="AO357" i="1"/>
  <c r="L357" i="1"/>
  <c r="L364" i="1" s="1"/>
  <c r="X357" i="1"/>
  <c r="X364" i="1" s="1"/>
  <c r="X366" i="1" s="1"/>
  <c r="X358" i="1" s="1"/>
  <c r="X361" i="1" s="1"/>
  <c r="AQ357" i="1"/>
  <c r="AR357" i="1" s="1"/>
  <c r="Y357" i="1"/>
  <c r="Z357" i="1" s="1"/>
  <c r="AI357" i="1"/>
  <c r="AT357" i="1"/>
  <c r="AD357" i="1"/>
  <c r="Q357" i="1"/>
  <c r="Q364" i="1" s="1"/>
  <c r="Q366" i="1" s="1"/>
  <c r="Q358" i="1" s="1"/>
  <c r="Q361" i="1" s="1"/>
  <c r="AJ357" i="1"/>
  <c r="AU357" i="1"/>
  <c r="P362" i="1"/>
  <c r="L362" i="1"/>
  <c r="R357" i="1"/>
  <c r="R364" i="1" s="1"/>
  <c r="R366" i="1" s="1"/>
  <c r="R358" i="1" s="1"/>
  <c r="AV357" i="1"/>
  <c r="AC357" i="1"/>
  <c r="AW357" i="1"/>
  <c r="AX357" i="1" s="1"/>
  <c r="AX364" i="1" s="1"/>
  <c r="AR356" i="1"/>
  <c r="AK357" i="1"/>
  <c r="AL357" i="1" s="1"/>
  <c r="AE357" i="1"/>
  <c r="AF357" i="1" s="1"/>
  <c r="Z356" i="1"/>
  <c r="W364" i="1"/>
  <c r="W366" i="1" s="1"/>
  <c r="W358" i="1" s="1"/>
  <c r="W361" i="1" s="1"/>
  <c r="S357" i="1"/>
  <c r="M357" i="1"/>
  <c r="L55" i="1"/>
  <c r="G48" i="3"/>
  <c r="G60" i="3"/>
  <c r="G49" i="3"/>
  <c r="AN154" i="1"/>
  <c r="AX182" i="1"/>
  <c r="J154" i="1"/>
  <c r="P155" i="1"/>
  <c r="AB157" i="1"/>
  <c r="AV90" i="1"/>
  <c r="BB90" i="1" s="1"/>
  <c r="BH90" i="1" s="1"/>
  <c r="H194" i="1"/>
  <c r="G62" i="3"/>
  <c r="G39" i="3"/>
  <c r="AT90" i="1"/>
  <c r="AZ90" i="1" s="1"/>
  <c r="AU90" i="1"/>
  <c r="BA90" i="1" s="1"/>
  <c r="BG90" i="1" s="1"/>
  <c r="BM90" i="1" s="1"/>
  <c r="AT159" i="1"/>
  <c r="BB83" i="1"/>
  <c r="AT192" i="1"/>
  <c r="AX192" i="1"/>
  <c r="AW109" i="1"/>
  <c r="AX109" i="1" s="1"/>
  <c r="AZ109" i="1" s="1"/>
  <c r="BA109" i="1" s="1"/>
  <c r="BB109" i="1" s="1"/>
  <c r="BC109" i="1" s="1"/>
  <c r="BD109" i="1" s="1"/>
  <c r="BF109" i="1" s="1"/>
  <c r="BG109" i="1" s="1"/>
  <c r="BH109" i="1" s="1"/>
  <c r="BI109" i="1" s="1"/>
  <c r="BJ109" i="1" s="1"/>
  <c r="BL109" i="1" s="1"/>
  <c r="BM109" i="1" s="1"/>
  <c r="BN109" i="1" s="1"/>
  <c r="BO109" i="1" s="1"/>
  <c r="BP109" i="1" s="1"/>
  <c r="BR109" i="1" s="1"/>
  <c r="BS109" i="1" s="1"/>
  <c r="BT109" i="1" s="1"/>
  <c r="BU109" i="1" s="1"/>
  <c r="BV109" i="1" s="1"/>
  <c r="BX109" i="1" s="1"/>
  <c r="BY109" i="1" s="1"/>
  <c r="BZ109" i="1" s="1"/>
  <c r="CA109" i="1" s="1"/>
  <c r="CB109" i="1" s="1"/>
  <c r="CD109" i="1" s="1"/>
  <c r="CE109" i="1" s="1"/>
  <c r="CF109" i="1" s="1"/>
  <c r="CG109" i="1" s="1"/>
  <c r="CH109" i="1" s="1"/>
  <c r="CJ109" i="1" s="1"/>
  <c r="CK109" i="1" s="1"/>
  <c r="CL109" i="1" s="1"/>
  <c r="CM109" i="1" s="1"/>
  <c r="CN109" i="1" s="1"/>
  <c r="BC148" i="1"/>
  <c r="BD54" i="1"/>
  <c r="BD148" i="1" s="1"/>
  <c r="M188" i="1"/>
  <c r="M193" i="1" s="1"/>
  <c r="M194" i="1" s="1"/>
  <c r="M195" i="1" s="1"/>
  <c r="Y188" i="1"/>
  <c r="Y193" i="1" s="1"/>
  <c r="Y194" i="1" s="1"/>
  <c r="Y195" i="1" s="1"/>
  <c r="AK188" i="1"/>
  <c r="AK193" i="1" s="1"/>
  <c r="AK194" i="1" s="1"/>
  <c r="AK195" i="1" s="1"/>
  <c r="AX39" i="1"/>
  <c r="AX73" i="1"/>
  <c r="AX75" i="1" s="1"/>
  <c r="AQ39" i="1"/>
  <c r="AR86" i="1"/>
  <c r="AL86" i="1"/>
  <c r="AF86" i="1"/>
  <c r="Z86" i="1"/>
  <c r="T86" i="1"/>
  <c r="H86" i="1"/>
  <c r="BI91" i="5"/>
  <c r="AZ53" i="5"/>
  <c r="AZ65" i="5" s="1"/>
  <c r="CN184" i="5"/>
  <c r="CL271" i="5"/>
  <c r="AV71" i="5"/>
  <c r="BS91" i="5"/>
  <c r="BY91" i="5"/>
  <c r="BL271" i="5"/>
  <c r="P46" i="5"/>
  <c r="P49" i="1" s="1"/>
  <c r="AV72" i="5"/>
  <c r="CK54" i="5"/>
  <c r="BJ91" i="5"/>
  <c r="AV73" i="5"/>
  <c r="BU91" i="5"/>
  <c r="BG91" i="5"/>
  <c r="BL91" i="5"/>
  <c r="AT72" i="5"/>
  <c r="CL91" i="5"/>
  <c r="AZ55" i="5"/>
  <c r="AZ67" i="5" s="1"/>
  <c r="AZ54" i="5"/>
  <c r="AZ66" i="5" s="1"/>
  <c r="BH52" i="5"/>
  <c r="AZ119" i="5"/>
  <c r="CE91" i="5"/>
  <c r="AW52" i="5"/>
  <c r="AX52" i="5" s="1"/>
  <c r="AU72" i="5"/>
  <c r="AU60" i="5"/>
  <c r="CK91" i="5"/>
  <c r="CE54" i="5"/>
  <c r="BC91" i="5"/>
  <c r="AU73" i="5"/>
  <c r="BG55" i="5"/>
  <c r="BF159" i="5"/>
  <c r="AU74" i="5"/>
  <c r="BF91" i="5"/>
  <c r="BN91" i="5"/>
  <c r="BC129" i="5"/>
  <c r="BD129" i="5" s="1"/>
  <c r="AX129" i="5"/>
  <c r="BH129" i="5"/>
  <c r="BB54" i="5"/>
  <c r="CF169" i="5"/>
  <c r="CL169" i="5" s="1"/>
  <c r="CL53" i="5" s="1"/>
  <c r="BZ53" i="5"/>
  <c r="BZ171" i="5"/>
  <c r="CF171" i="5" s="1"/>
  <c r="BT55" i="5"/>
  <c r="BF211" i="5"/>
  <c r="BL211" i="5" s="1"/>
  <c r="BR211" i="5" s="1"/>
  <c r="BX211" i="5" s="1"/>
  <c r="BG164" i="5"/>
  <c r="BA124" i="5"/>
  <c r="BA165" i="1" s="1"/>
  <c r="BA381" i="1" s="1"/>
  <c r="BF266" i="5"/>
  <c r="BL266" i="5" s="1"/>
  <c r="BR266" i="5" s="1"/>
  <c r="BX266" i="5" s="1"/>
  <c r="CD266" i="5" s="1"/>
  <c r="CJ266" i="5" s="1"/>
  <c r="BB119" i="5"/>
  <c r="AW54" i="5"/>
  <c r="AX54" i="5" s="1"/>
  <c r="BC128" i="5"/>
  <c r="BD128" i="5" s="1"/>
  <c r="AX128" i="5"/>
  <c r="AW53" i="5"/>
  <c r="AX53" i="5" s="1"/>
  <c r="BA53" i="5"/>
  <c r="BC209" i="5"/>
  <c r="BD209" i="5" s="1"/>
  <c r="AX209" i="5"/>
  <c r="BF164" i="5"/>
  <c r="AZ124" i="5"/>
  <c r="AZ165" i="1" s="1"/>
  <c r="BA119" i="5"/>
  <c r="BX91" i="5"/>
  <c r="CD91" i="5"/>
  <c r="BS130" i="5"/>
  <c r="BM55" i="5"/>
  <c r="BM169" i="5"/>
  <c r="BG53" i="5"/>
  <c r="BA55" i="5"/>
  <c r="BH53" i="5"/>
  <c r="AV74" i="5"/>
  <c r="BC130" i="5"/>
  <c r="BD130" i="5" s="1"/>
  <c r="AX130" i="5"/>
  <c r="BC168" i="5"/>
  <c r="BI168" i="5" s="1"/>
  <c r="BO168" i="5" s="1"/>
  <c r="AX168" i="5"/>
  <c r="BC170" i="5"/>
  <c r="BI170" i="5" s="1"/>
  <c r="BO170" i="5" s="1"/>
  <c r="BU170" i="5" s="1"/>
  <c r="CA170" i="5" s="1"/>
  <c r="CG170" i="5" s="1"/>
  <c r="CM170" i="5" s="1"/>
  <c r="AX170" i="5"/>
  <c r="BH164" i="5"/>
  <c r="BB124" i="5"/>
  <c r="BB165" i="1" s="1"/>
  <c r="BB381" i="1" s="1"/>
  <c r="BB53" i="5"/>
  <c r="BB55" i="5"/>
  <c r="BH55" i="5"/>
  <c r="BS54" i="5"/>
  <c r="BV91" i="5"/>
  <c r="CN83" i="5"/>
  <c r="CN91" i="5" s="1"/>
  <c r="BF127" i="5"/>
  <c r="BL127" i="5" s="1"/>
  <c r="BF168" i="5"/>
  <c r="BL168" i="5" s="1"/>
  <c r="BF170" i="5"/>
  <c r="BL170" i="5" s="1"/>
  <c r="BF205" i="5"/>
  <c r="BL205" i="5" s="1"/>
  <c r="BF296" i="5"/>
  <c r="BF128" i="5"/>
  <c r="BC210" i="5"/>
  <c r="BI210" i="5" s="1"/>
  <c r="BO210" i="5" s="1"/>
  <c r="BU210" i="5" s="1"/>
  <c r="CA210" i="5" s="1"/>
  <c r="CG210" i="5" s="1"/>
  <c r="CM210" i="5" s="1"/>
  <c r="AX210" i="5"/>
  <c r="BC212" i="5"/>
  <c r="BI212" i="5" s="1"/>
  <c r="BO212" i="5" s="1"/>
  <c r="BU212" i="5" s="1"/>
  <c r="CA212" i="5" s="1"/>
  <c r="CG212" i="5" s="1"/>
  <c r="CM212" i="5" s="1"/>
  <c r="AX212" i="5"/>
  <c r="BF200" i="5"/>
  <c r="BL200" i="5" s="1"/>
  <c r="BR200" i="5" s="1"/>
  <c r="AZ52" i="5"/>
  <c r="BG54" i="5"/>
  <c r="BN53" i="5"/>
  <c r="BY54" i="5"/>
  <c r="CB83" i="5"/>
  <c r="CB91" i="5" s="1"/>
  <c r="AT73" i="5"/>
  <c r="BF129" i="5"/>
  <c r="BL129" i="5" s="1"/>
  <c r="BF210" i="5"/>
  <c r="BL210" i="5" s="1"/>
  <c r="BF212" i="5"/>
  <c r="BL212" i="5" s="1"/>
  <c r="BR212" i="5" s="1"/>
  <c r="AW55" i="5"/>
  <c r="AX55" i="5" s="1"/>
  <c r="BA52" i="5"/>
  <c r="BA54" i="5"/>
  <c r="BN55" i="5"/>
  <c r="BF130" i="5"/>
  <c r="BL130" i="5" s="1"/>
  <c r="BC169" i="5"/>
  <c r="BI169" i="5" s="1"/>
  <c r="BO169" i="5" s="1"/>
  <c r="BU169" i="5" s="1"/>
  <c r="CA169" i="5" s="1"/>
  <c r="CG169" i="5" s="1"/>
  <c r="CM169" i="5" s="1"/>
  <c r="AX169" i="5"/>
  <c r="AT56" i="5"/>
  <c r="BB52" i="5"/>
  <c r="AT71" i="5"/>
  <c r="BF169" i="5"/>
  <c r="BL169" i="5" s="1"/>
  <c r="BR169" i="5" s="1"/>
  <c r="BF171" i="5"/>
  <c r="BC296" i="5"/>
  <c r="AX296" i="5"/>
  <c r="AU56" i="5"/>
  <c r="BM54" i="5"/>
  <c r="BP91" i="5"/>
  <c r="BT53" i="5"/>
  <c r="AU71" i="5"/>
  <c r="AT74" i="5"/>
  <c r="BO91" i="5"/>
  <c r="CA91" i="5"/>
  <c r="CG91" i="5"/>
  <c r="BR91" i="5"/>
  <c r="BZ91" i="5"/>
  <c r="CJ91" i="5"/>
  <c r="CM91" i="5"/>
  <c r="BD143" i="5"/>
  <c r="AT9" i="1"/>
  <c r="AU9" i="1"/>
  <c r="AV9" i="1"/>
  <c r="BD184" i="5"/>
  <c r="R57" i="3"/>
  <c r="CF91" i="5"/>
  <c r="BT91" i="5"/>
  <c r="BM91" i="5"/>
  <c r="BH91" i="5"/>
  <c r="AV60" i="5"/>
  <c r="AV56" i="5"/>
  <c r="AU61" i="5"/>
  <c r="AV61" i="5"/>
  <c r="CB184" i="5"/>
  <c r="CH184" i="5"/>
  <c r="BP184" i="5"/>
  <c r="K46" i="5"/>
  <c r="K49" i="1" s="1"/>
  <c r="Y299" i="5"/>
  <c r="AW132" i="5"/>
  <c r="BC211" i="5"/>
  <c r="BI211" i="5" s="1"/>
  <c r="BO211" i="5" s="1"/>
  <c r="BU211" i="5" s="1"/>
  <c r="CA211" i="5" s="1"/>
  <c r="CG211" i="5" s="1"/>
  <c r="CM211" i="5" s="1"/>
  <c r="BN209" i="5"/>
  <c r="BT209" i="5" s="1"/>
  <c r="BZ209" i="5" s="1"/>
  <c r="M299" i="5"/>
  <c r="M301" i="5" s="1"/>
  <c r="BV184" i="5"/>
  <c r="BF209" i="5"/>
  <c r="BL209" i="5" s="1"/>
  <c r="BR209" i="5" s="1"/>
  <c r="BG209" i="5"/>
  <c r="BM209" i="5" s="1"/>
  <c r="BS209" i="5" s="1"/>
  <c r="BC127" i="5"/>
  <c r="Z46" i="5"/>
  <c r="BC171" i="5"/>
  <c r="BD171" i="5" s="1"/>
  <c r="AW173" i="5"/>
  <c r="BG173" i="5"/>
  <c r="BG80" i="5" s="1"/>
  <c r="BM168" i="5"/>
  <c r="BH173" i="5"/>
  <c r="BH80" i="5" s="1"/>
  <c r="BN168" i="5"/>
  <c r="AZ173" i="5"/>
  <c r="BA173" i="5"/>
  <c r="BB173" i="5"/>
  <c r="BJ184" i="5"/>
  <c r="BN127" i="5"/>
  <c r="BM127" i="5"/>
  <c r="Y39" i="1"/>
  <c r="AL143" i="1"/>
  <c r="S73" i="1"/>
  <c r="S75" i="1" s="1"/>
  <c r="AE39" i="1"/>
  <c r="H143" i="1"/>
  <c r="G38" i="3" s="1"/>
  <c r="AK39" i="1"/>
  <c r="Y73" i="1"/>
  <c r="J39" i="1"/>
  <c r="H75" i="1"/>
  <c r="H73" i="1" s="1"/>
  <c r="AP188" i="1"/>
  <c r="AP193" i="1" s="1"/>
  <c r="AP194" i="1" s="1"/>
  <c r="AP195" i="1" s="1"/>
  <c r="S39" i="1"/>
  <c r="V103" i="11"/>
  <c r="AH103" i="11"/>
  <c r="AJ103" i="11" s="1"/>
  <c r="L101" i="11"/>
  <c r="X100" i="11"/>
  <c r="AS101" i="11"/>
  <c r="AR100" i="11"/>
  <c r="AI103" i="11"/>
  <c r="AG101" i="11"/>
  <c r="AJ101" i="11" s="1"/>
  <c r="AF100" i="11"/>
  <c r="AJ100" i="11" s="1"/>
  <c r="AS89" i="11"/>
  <c r="U89" i="11"/>
  <c r="I89" i="11"/>
  <c r="V101" i="11"/>
  <c r="X101" i="11" s="1"/>
  <c r="U100" i="11"/>
  <c r="AR89" i="11"/>
  <c r="AR103" i="11" s="1"/>
  <c r="T89" i="11"/>
  <c r="T103" i="11" s="1"/>
  <c r="H89" i="11"/>
  <c r="H103" i="11" s="1"/>
  <c r="W103" i="11"/>
  <c r="J101" i="11"/>
  <c r="I100" i="11"/>
  <c r="L100" i="11" s="1"/>
  <c r="K103" i="11"/>
  <c r="AQ73" i="1"/>
  <c r="AR186" i="1"/>
  <c r="AR143" i="1"/>
  <c r="D188" i="1"/>
  <c r="J188" i="1"/>
  <c r="J193" i="1" s="1"/>
  <c r="V188" i="1"/>
  <c r="V193" i="1" s="1"/>
  <c r="AH188" i="1"/>
  <c r="AH193" i="1" s="1"/>
  <c r="AT188" i="1"/>
  <c r="AT193" i="1" s="1"/>
  <c r="P188" i="1"/>
  <c r="P193" i="1" s="1"/>
  <c r="P194" i="1" s="1"/>
  <c r="P195" i="1" s="1"/>
  <c r="AB188" i="1"/>
  <c r="AB193" i="1" s="1"/>
  <c r="AB194" i="1" s="1"/>
  <c r="AB195" i="1" s="1"/>
  <c r="Q188" i="1"/>
  <c r="Q193" i="1" s="1"/>
  <c r="Q194" i="1" s="1"/>
  <c r="Q195" i="1" s="1"/>
  <c r="N143" i="1"/>
  <c r="T143" i="1"/>
  <c r="H186" i="1"/>
  <c r="G54" i="3" s="1"/>
  <c r="AN188" i="1"/>
  <c r="AN193" i="1" s="1"/>
  <c r="AN194" i="1" s="1"/>
  <c r="AN195" i="1" s="1"/>
  <c r="N186" i="1"/>
  <c r="J192" i="1"/>
  <c r="J152" i="1"/>
  <c r="T192" i="1"/>
  <c r="N192" i="1"/>
  <c r="V192" i="1"/>
  <c r="Z143" i="1"/>
  <c r="AF192" i="1"/>
  <c r="AH192" i="1"/>
  <c r="AR192" i="1"/>
  <c r="F188" i="1"/>
  <c r="R188" i="1"/>
  <c r="R193" i="1" s="1"/>
  <c r="R194" i="1" s="1"/>
  <c r="R195" i="1" s="1"/>
  <c r="AD188" i="1"/>
  <c r="AD193" i="1" s="1"/>
  <c r="AD194" i="1" s="1"/>
  <c r="AD195" i="1" s="1"/>
  <c r="L188" i="1"/>
  <c r="L193" i="1" s="1"/>
  <c r="L194" i="1" s="1"/>
  <c r="L195" i="1" s="1"/>
  <c r="X188" i="1"/>
  <c r="X193" i="1" s="1"/>
  <c r="X194" i="1" s="1"/>
  <c r="X195" i="1" s="1"/>
  <c r="AJ188" i="1"/>
  <c r="AJ193" i="1" s="1"/>
  <c r="AJ194" i="1" s="1"/>
  <c r="AJ195" i="1" s="1"/>
  <c r="AV188" i="1"/>
  <c r="AV193" i="1" s="1"/>
  <c r="AV194" i="1" s="1"/>
  <c r="AV195" i="1" s="1"/>
  <c r="E188" i="1"/>
  <c r="AC188" i="1"/>
  <c r="AC193" i="1" s="1"/>
  <c r="AC194" i="1" s="1"/>
  <c r="AC195" i="1" s="1"/>
  <c r="AO188" i="1"/>
  <c r="AO193" i="1" s="1"/>
  <c r="AO194" i="1" s="1"/>
  <c r="AO195" i="1" s="1"/>
  <c r="AL186" i="1"/>
  <c r="AL176" i="1"/>
  <c r="H182" i="1"/>
  <c r="S188" i="1"/>
  <c r="S193" i="1" s="1"/>
  <c r="S194" i="1" s="1"/>
  <c r="S195" i="1" s="1"/>
  <c r="AE188" i="1"/>
  <c r="AE193" i="1" s="1"/>
  <c r="AE194" i="1" s="1"/>
  <c r="AE195" i="1" s="1"/>
  <c r="AQ188" i="1"/>
  <c r="AQ193" i="1" s="1"/>
  <c r="AQ194" i="1" s="1"/>
  <c r="AQ195" i="1" s="1"/>
  <c r="AF186" i="1"/>
  <c r="T182" i="1"/>
  <c r="AF182" i="1"/>
  <c r="AR182" i="1"/>
  <c r="Z186" i="1"/>
  <c r="G188" i="1"/>
  <c r="K188" i="1"/>
  <c r="K193" i="1" s="1"/>
  <c r="K194" i="1" s="1"/>
  <c r="K195" i="1" s="1"/>
  <c r="W188" i="1"/>
  <c r="W193" i="1" s="1"/>
  <c r="W194" i="1" s="1"/>
  <c r="W195" i="1" s="1"/>
  <c r="AI188" i="1"/>
  <c r="AI193" i="1" s="1"/>
  <c r="AI194" i="1" s="1"/>
  <c r="AI195" i="1" s="1"/>
  <c r="AU188" i="1"/>
  <c r="AU193" i="1" s="1"/>
  <c r="AU194" i="1" s="1"/>
  <c r="AU195" i="1" s="1"/>
  <c r="T186" i="1"/>
  <c r="T176" i="1"/>
  <c r="N182" i="1"/>
  <c r="Z182" i="1"/>
  <c r="AL182" i="1"/>
  <c r="AR176" i="1"/>
  <c r="N176" i="1"/>
  <c r="Z176" i="1"/>
  <c r="H176" i="1"/>
  <c r="AF176" i="1"/>
  <c r="AF143" i="1"/>
  <c r="R158" i="1"/>
  <c r="R160" i="1" s="1"/>
  <c r="AT152" i="1"/>
  <c r="Z153" i="1"/>
  <c r="W158" i="1"/>
  <c r="W160" i="1" s="1"/>
  <c r="AR156" i="1"/>
  <c r="AR152" i="1"/>
  <c r="N153" i="1"/>
  <c r="T156" i="1"/>
  <c r="L158" i="1"/>
  <c r="L160" i="1" s="1"/>
  <c r="AF159" i="1"/>
  <c r="AR159" i="1"/>
  <c r="AR147" i="1"/>
  <c r="AR158" i="1"/>
  <c r="AL153" i="1"/>
  <c r="Y158" i="1"/>
  <c r="Y160" i="1" s="1"/>
  <c r="P158" i="1"/>
  <c r="AR157" i="1"/>
  <c r="AF147" i="1"/>
  <c r="AR155" i="1"/>
  <c r="T147" i="1"/>
  <c r="AR154" i="1"/>
  <c r="AL147" i="1"/>
  <c r="AR153" i="1"/>
  <c r="Z147" i="1"/>
  <c r="N159" i="1"/>
  <c r="AN152" i="1"/>
  <c r="T159" i="1"/>
  <c r="J158" i="1"/>
  <c r="Q158" i="1"/>
  <c r="Q160" i="1" s="1"/>
  <c r="AF153" i="1"/>
  <c r="AF157" i="1"/>
  <c r="AL159" i="1"/>
  <c r="M158" i="1"/>
  <c r="M160" i="1" s="1"/>
  <c r="P152" i="1"/>
  <c r="AV160" i="1"/>
  <c r="AB152" i="1"/>
  <c r="AK160" i="1"/>
  <c r="AH152" i="1"/>
  <c r="AL158" i="1"/>
  <c r="S158" i="1"/>
  <c r="S160" i="1" s="1"/>
  <c r="AD160" i="1"/>
  <c r="AN159" i="1"/>
  <c r="V158" i="1"/>
  <c r="AL155" i="1"/>
  <c r="T153" i="1"/>
  <c r="N156" i="1"/>
  <c r="Z159" i="1"/>
  <c r="K158" i="1"/>
  <c r="K160" i="1" s="1"/>
  <c r="AT156" i="1"/>
  <c r="N158" i="1"/>
  <c r="N154" i="1"/>
  <c r="T154" i="1"/>
  <c r="AF156" i="1"/>
  <c r="AH157" i="1"/>
  <c r="Z158" i="1"/>
  <c r="T158" i="1"/>
  <c r="V152" i="1"/>
  <c r="Z154" i="1"/>
  <c r="AL156" i="1"/>
  <c r="AJ160" i="1"/>
  <c r="AF158" i="1"/>
  <c r="AH159" i="1"/>
  <c r="AT153" i="1"/>
  <c r="AL152" i="1"/>
  <c r="AH156" i="1"/>
  <c r="AE160" i="1"/>
  <c r="AF155" i="1"/>
  <c r="AB159" i="1"/>
  <c r="Z155" i="1"/>
  <c r="V159" i="1"/>
  <c r="T155" i="1"/>
  <c r="P159" i="1"/>
  <c r="N155" i="1"/>
  <c r="AT158" i="1"/>
  <c r="AH153" i="1"/>
  <c r="AL157" i="1"/>
  <c r="AF152" i="1"/>
  <c r="Z152" i="1"/>
  <c r="V156" i="1"/>
  <c r="T152" i="1"/>
  <c r="P156" i="1"/>
  <c r="N152" i="1"/>
  <c r="AL154" i="1"/>
  <c r="AH158" i="1"/>
  <c r="AB153" i="1"/>
  <c r="V153" i="1"/>
  <c r="Z157" i="1"/>
  <c r="P153" i="1"/>
  <c r="T157" i="1"/>
  <c r="J153" i="1"/>
  <c r="N157" i="1"/>
  <c r="AK148" i="1"/>
  <c r="Y148" i="1"/>
  <c r="AF154" i="1"/>
  <c r="AU160" i="1"/>
  <c r="AI160" i="1"/>
  <c r="Z156" i="1"/>
  <c r="X158" i="1"/>
  <c r="X160" i="1" s="1"/>
  <c r="AO159" i="1"/>
  <c r="AO160" i="1" s="1"/>
  <c r="AC160" i="1"/>
  <c r="L147" i="1"/>
  <c r="AN155" i="1"/>
  <c r="AN156" i="1"/>
  <c r="AE148" i="1"/>
  <c r="P147" i="1"/>
  <c r="AQ148" i="1"/>
  <c r="J121" i="1"/>
  <c r="J125" i="1" s="1"/>
  <c r="J133" i="1" s="1"/>
  <c r="Y137" i="1"/>
  <c r="F121" i="1"/>
  <c r="F125" i="1" s="1"/>
  <c r="F133" i="1" s="1"/>
  <c r="AQ137" i="1"/>
  <c r="AE137" i="1"/>
  <c r="S137" i="1"/>
  <c r="F137" i="1"/>
  <c r="L121" i="1"/>
  <c r="L125" i="1" s="1"/>
  <c r="L133" i="1" s="1"/>
  <c r="AK137" i="1"/>
  <c r="D121" i="1"/>
  <c r="D125" i="1" s="1"/>
  <c r="D133" i="1" s="1"/>
  <c r="Q137" i="1"/>
  <c r="E137" i="1"/>
  <c r="AP160" i="1"/>
  <c r="AQ160" i="1"/>
  <c r="AO137" i="1"/>
  <c r="L137" i="1"/>
  <c r="AC137" i="1"/>
  <c r="G137" i="1"/>
  <c r="AV137" i="1"/>
  <c r="AI137" i="1"/>
  <c r="AU137" i="1"/>
  <c r="W137" i="1"/>
  <c r="M137" i="1"/>
  <c r="K121" i="1"/>
  <c r="K125" i="1" s="1"/>
  <c r="K133" i="1" s="1"/>
  <c r="R137" i="1"/>
  <c r="AD137" i="1"/>
  <c r="AP137" i="1"/>
  <c r="H136" i="1"/>
  <c r="J137" i="1" s="1"/>
  <c r="K137" i="1"/>
  <c r="T136" i="1"/>
  <c r="N132" i="1"/>
  <c r="X137" i="1"/>
  <c r="AJ137" i="1"/>
  <c r="AF136" i="1"/>
  <c r="Z136" i="1"/>
  <c r="AL136" i="1"/>
  <c r="AR136" i="1"/>
  <c r="N136" i="1"/>
  <c r="L111" i="1"/>
  <c r="N121" i="1"/>
  <c r="N125" i="1" s="1"/>
  <c r="H121" i="1"/>
  <c r="H125" i="1" s="1"/>
  <c r="E121" i="1"/>
  <c r="E125" i="1" s="1"/>
  <c r="E133" i="1" s="1"/>
  <c r="H132" i="1"/>
  <c r="M121" i="1"/>
  <c r="M125" i="1" s="1"/>
  <c r="M133" i="1" s="1"/>
  <c r="G121" i="1"/>
  <c r="G125" i="1" s="1"/>
  <c r="G133" i="1" s="1"/>
  <c r="J111" i="1"/>
  <c r="K111" i="1"/>
  <c r="N104" i="1"/>
  <c r="N111" i="1" s="1"/>
  <c r="M111" i="1"/>
  <c r="D111" i="1"/>
  <c r="D134" i="1" s="1"/>
  <c r="M53" i="1"/>
  <c r="M362" i="1" s="1"/>
  <c r="F111" i="1"/>
  <c r="G111" i="1"/>
  <c r="H104" i="1"/>
  <c r="H111" i="1" s="1"/>
  <c r="E111" i="1"/>
  <c r="S53" i="1"/>
  <c r="S362" i="1" s="1"/>
  <c r="E2" i="1"/>
  <c r="F2" i="1" s="1"/>
  <c r="G2" i="1" s="1"/>
  <c r="J2" i="1" s="1"/>
  <c r="K2" i="1" s="1"/>
  <c r="L2" i="1" s="1"/>
  <c r="M2" i="1" s="1"/>
  <c r="P2" i="1" s="1"/>
  <c r="Q2" i="1" s="1"/>
  <c r="R2" i="1" s="1"/>
  <c r="S2" i="1" s="1"/>
  <c r="V2" i="1" s="1"/>
  <c r="W2" i="1" s="1"/>
  <c r="X2" i="1" s="1"/>
  <c r="Y2" i="1" s="1"/>
  <c r="AB2" i="1" s="1"/>
  <c r="AC2" i="1" s="1"/>
  <c r="AD2" i="1" s="1"/>
  <c r="AE2" i="1" s="1"/>
  <c r="AH2" i="1" s="1"/>
  <c r="AI2" i="1" s="1"/>
  <c r="AJ2" i="1" s="1"/>
  <c r="AK2" i="1" s="1"/>
  <c r="AN2" i="1" s="1"/>
  <c r="AO2" i="1" s="1"/>
  <c r="AP2" i="1" s="1"/>
  <c r="AQ2" i="1" s="1"/>
  <c r="AT2" i="1" s="1"/>
  <c r="AU2" i="1" s="1"/>
  <c r="AV2" i="1" s="1"/>
  <c r="AW2" i="1" s="1"/>
  <c r="AZ2" i="1" s="1"/>
  <c r="BA2" i="1" s="1"/>
  <c r="BB2" i="1" s="1"/>
  <c r="BC2" i="1" s="1"/>
  <c r="BF2" i="1" s="1"/>
  <c r="BG2" i="1" s="1"/>
  <c r="BH2" i="1" s="1"/>
  <c r="BI2" i="1" s="1"/>
  <c r="BL2" i="1" s="1"/>
  <c r="BM2" i="1" s="1"/>
  <c r="BN2" i="1" s="1"/>
  <c r="BO2" i="1" s="1"/>
  <c r="BR2" i="1" s="1"/>
  <c r="BS2" i="1" s="1"/>
  <c r="BT2" i="1" s="1"/>
  <c r="BU2" i="1" s="1"/>
  <c r="BX2" i="1" s="1"/>
  <c r="BY2" i="1" s="1"/>
  <c r="BZ2" i="1" s="1"/>
  <c r="CA2" i="1" s="1"/>
  <c r="CD2" i="1" s="1"/>
  <c r="CE2" i="1" s="1"/>
  <c r="CF2" i="1" s="1"/>
  <c r="CG2" i="1" s="1"/>
  <c r="CJ2" i="1" s="1"/>
  <c r="CK2" i="1" s="1"/>
  <c r="CL2" i="1" s="1"/>
  <c r="CM2" i="1" s="1"/>
  <c r="CM5" i="1" s="1"/>
  <c r="G55" i="1"/>
  <c r="G299" i="5"/>
  <c r="G301" i="5" s="1"/>
  <c r="E301" i="5"/>
  <c r="S299" i="5"/>
  <c r="S301" i="5" s="1"/>
  <c r="M119" i="5"/>
  <c r="M121" i="5" s="1"/>
  <c r="G119" i="5"/>
  <c r="G121" i="5" s="1"/>
  <c r="D46" i="5"/>
  <c r="F46" i="5"/>
  <c r="E46" i="5"/>
  <c r="H46" i="5"/>
  <c r="K121" i="5"/>
  <c r="N46" i="5"/>
  <c r="J46" i="5"/>
  <c r="L46" i="5"/>
  <c r="S119" i="5"/>
  <c r="Q46" i="5"/>
  <c r="P121" i="5"/>
  <c r="R46" i="5"/>
  <c r="T46" i="5"/>
  <c r="V46" i="5"/>
  <c r="Y119" i="5"/>
  <c r="Y121" i="5" s="1"/>
  <c r="X46" i="5"/>
  <c r="W46" i="5"/>
  <c r="Z388" i="1" l="1"/>
  <c r="T382" i="1"/>
  <c r="T383" i="1" s="1"/>
  <c r="H388" i="1"/>
  <c r="H389" i="1" s="1"/>
  <c r="Y386" i="1"/>
  <c r="Z386" i="1" s="1"/>
  <c r="Z382" i="1"/>
  <c r="Z383" i="1" s="1"/>
  <c r="AF388" i="1"/>
  <c r="AZ381" i="1"/>
  <c r="G389" i="1"/>
  <c r="K389" i="1"/>
  <c r="S389" i="1"/>
  <c r="AV389" i="1"/>
  <c r="AU389" i="1"/>
  <c r="Z389" i="1"/>
  <c r="Y389" i="1"/>
  <c r="AN389" i="1"/>
  <c r="N382" i="1"/>
  <c r="N389" i="1" s="1"/>
  <c r="AH383" i="1"/>
  <c r="AH386" i="1" s="1"/>
  <c r="AL386" i="1" s="1"/>
  <c r="T388" i="1"/>
  <c r="AR383" i="1"/>
  <c r="AR388" i="1"/>
  <c r="AR389" i="1" s="1"/>
  <c r="AF382" i="1"/>
  <c r="AF383" i="1" s="1"/>
  <c r="L389" i="1"/>
  <c r="AE389" i="1"/>
  <c r="AE386" i="1"/>
  <c r="AF386" i="1" s="1"/>
  <c r="L383" i="1"/>
  <c r="L386" i="1" s="1"/>
  <c r="N386" i="1" s="1"/>
  <c r="M389" i="1"/>
  <c r="X89" i="13"/>
  <c r="M61" i="13"/>
  <c r="M90" i="13"/>
  <c r="S31" i="13"/>
  <c r="S20" i="13"/>
  <c r="N22" i="13"/>
  <c r="N33" i="13"/>
  <c r="L79" i="13"/>
  <c r="L90" i="13"/>
  <c r="N31" i="13"/>
  <c r="N20" i="13"/>
  <c r="N90" i="13"/>
  <c r="X31" i="13"/>
  <c r="X20" i="13"/>
  <c r="L31" i="13"/>
  <c r="T49" i="13"/>
  <c r="L32" i="13"/>
  <c r="Z31" i="13"/>
  <c r="Z20" i="13"/>
  <c r="L61" i="13"/>
  <c r="T31" i="13"/>
  <c r="L78" i="13"/>
  <c r="L89" i="13"/>
  <c r="X60" i="13"/>
  <c r="R49" i="13"/>
  <c r="T89" i="13"/>
  <c r="Z49" i="13"/>
  <c r="N91" i="13"/>
  <c r="AR386" i="1"/>
  <c r="H383" i="1"/>
  <c r="AL382" i="1"/>
  <c r="AL383" i="1" s="1"/>
  <c r="T386" i="1"/>
  <c r="G383" i="1"/>
  <c r="G386" i="1" s="1"/>
  <c r="H386" i="1" s="1"/>
  <c r="AZ183" i="1"/>
  <c r="AZ186" i="1" s="1"/>
  <c r="AZ385" i="1" s="1"/>
  <c r="R361" i="1"/>
  <c r="R363" i="1" s="1"/>
  <c r="P364" i="1"/>
  <c r="P366" i="1" s="1"/>
  <c r="P358" i="1" s="1"/>
  <c r="P361" i="1" s="1"/>
  <c r="L366" i="1"/>
  <c r="L358" i="1" s="1"/>
  <c r="L361" i="1" s="1"/>
  <c r="V361" i="1"/>
  <c r="V363" i="1" s="1"/>
  <c r="J361" i="1"/>
  <c r="W363" i="1"/>
  <c r="W367" i="1"/>
  <c r="X363" i="1"/>
  <c r="X367" i="1"/>
  <c r="Q363" i="1"/>
  <c r="Q367" i="1"/>
  <c r="K363" i="1"/>
  <c r="K367" i="1"/>
  <c r="L134" i="1"/>
  <c r="N362" i="1"/>
  <c r="K134" i="1"/>
  <c r="G134" i="1"/>
  <c r="T362" i="1"/>
  <c r="Y364" i="1"/>
  <c r="Y366" i="1" s="1"/>
  <c r="Y358" i="1" s="1"/>
  <c r="Y361" i="1" s="1"/>
  <c r="Z364" i="1"/>
  <c r="Z366" i="1" s="1"/>
  <c r="T357" i="1"/>
  <c r="T364" i="1" s="1"/>
  <c r="S364" i="1"/>
  <c r="S366" i="1" s="1"/>
  <c r="S358" i="1" s="1"/>
  <c r="S361" i="1" s="1"/>
  <c r="S367" i="1" s="1"/>
  <c r="N357" i="1"/>
  <c r="N364" i="1" s="1"/>
  <c r="M364" i="1"/>
  <c r="M366" i="1" s="1"/>
  <c r="M358" i="1" s="1"/>
  <c r="M361" i="1" s="1"/>
  <c r="M367" i="1" s="1"/>
  <c r="M134" i="1"/>
  <c r="AT194" i="1"/>
  <c r="AT195" i="1" s="1"/>
  <c r="J134" i="1"/>
  <c r="E134" i="1"/>
  <c r="AT137" i="1"/>
  <c r="AR137" i="1"/>
  <c r="BF90" i="1"/>
  <c r="BN90" i="1"/>
  <c r="P137" i="1"/>
  <c r="N137" i="1"/>
  <c r="F134" i="1"/>
  <c r="AN137" i="1"/>
  <c r="AL137" i="1"/>
  <c r="V137" i="1"/>
  <c r="T137" i="1"/>
  <c r="AB137" i="1"/>
  <c r="Z137" i="1"/>
  <c r="AH137" i="1"/>
  <c r="AF137" i="1"/>
  <c r="AV28" i="1"/>
  <c r="AV92" i="1"/>
  <c r="BB92" i="1" s="1"/>
  <c r="AV93" i="1"/>
  <c r="BB93" i="1" s="1"/>
  <c r="AV95" i="1"/>
  <c r="BB95" i="1" s="1"/>
  <c r="AV94" i="1"/>
  <c r="BB94" i="1" s="1"/>
  <c r="AV96" i="1"/>
  <c r="BB96" i="1" s="1"/>
  <c r="AU34" i="1"/>
  <c r="AU95" i="1"/>
  <c r="BA95" i="1" s="1"/>
  <c r="AU96" i="1"/>
  <c r="BA96" i="1" s="1"/>
  <c r="AU92" i="1"/>
  <c r="BA92" i="1" s="1"/>
  <c r="AU93" i="1"/>
  <c r="BA93" i="1" s="1"/>
  <c r="AU94" i="1"/>
  <c r="BA94" i="1" s="1"/>
  <c r="AT32" i="1"/>
  <c r="AT96" i="1"/>
  <c r="AZ96" i="1" s="1"/>
  <c r="AT92" i="1"/>
  <c r="AZ92" i="1" s="1"/>
  <c r="AT95" i="1"/>
  <c r="AZ95" i="1" s="1"/>
  <c r="AT94" i="1"/>
  <c r="AZ94" i="1" s="1"/>
  <c r="AT93" i="1"/>
  <c r="AZ93" i="1" s="1"/>
  <c r="BS90" i="1"/>
  <c r="BY90" i="1" s="1"/>
  <c r="CE90" i="1" s="1"/>
  <c r="CK90" i="1" s="1"/>
  <c r="AV87" i="1"/>
  <c r="AU87" i="1"/>
  <c r="G63" i="3"/>
  <c r="G65" i="3" s="1"/>
  <c r="AR188" i="1"/>
  <c r="AR193" i="1" s="1"/>
  <c r="AR194" i="1" s="1"/>
  <c r="AR195" i="1" s="1"/>
  <c r="AT87" i="1"/>
  <c r="P44" i="1"/>
  <c r="AU32" i="1"/>
  <c r="BP212" i="5"/>
  <c r="BD141" i="5"/>
  <c r="BH64" i="5"/>
  <c r="BR271" i="5"/>
  <c r="BI296" i="5"/>
  <c r="BJ296" i="5" s="1"/>
  <c r="CK66" i="5"/>
  <c r="AU26" i="1"/>
  <c r="BZ55" i="5"/>
  <c r="BZ67" i="5" s="1"/>
  <c r="AT26" i="1"/>
  <c r="BJ170" i="5"/>
  <c r="BJ212" i="5"/>
  <c r="AT28" i="1"/>
  <c r="AT34" i="1"/>
  <c r="AT12" i="1"/>
  <c r="AT13" i="1"/>
  <c r="BA80" i="5"/>
  <c r="BG88" i="5" s="1"/>
  <c r="AZ80" i="5"/>
  <c r="AW80" i="5"/>
  <c r="AV12" i="1"/>
  <c r="BB80" i="5"/>
  <c r="BH88" i="5" s="1"/>
  <c r="CE66" i="5"/>
  <c r="AV30" i="1"/>
  <c r="BL54" i="5"/>
  <c r="AW79" i="5"/>
  <c r="O8" i="13" s="1"/>
  <c r="O10" i="13" s="1"/>
  <c r="AV13" i="1"/>
  <c r="BD170" i="5"/>
  <c r="BD182" i="5" s="1"/>
  <c r="BI209" i="5"/>
  <c r="BJ209" i="5" s="1"/>
  <c r="BJ221" i="5" s="1"/>
  <c r="AV26" i="1"/>
  <c r="AT23" i="1"/>
  <c r="AT35" i="1" s="1"/>
  <c r="BD142" i="5"/>
  <c r="BL159" i="5"/>
  <c r="AU30" i="1"/>
  <c r="AT30" i="1"/>
  <c r="BD296" i="5"/>
  <c r="AU28" i="1"/>
  <c r="BG52" i="5"/>
  <c r="BG64" i="5" s="1"/>
  <c r="BJ210" i="5"/>
  <c r="BF173" i="5"/>
  <c r="BF80" i="5" s="1"/>
  <c r="BD212" i="5"/>
  <c r="BD224" i="5" s="1"/>
  <c r="BD183" i="5"/>
  <c r="BD221" i="5"/>
  <c r="BB65" i="5"/>
  <c r="AZ57" i="5"/>
  <c r="AZ64" i="5"/>
  <c r="BB66" i="5"/>
  <c r="BL171" i="5"/>
  <c r="BL55" i="5" s="1"/>
  <c r="AV32" i="1"/>
  <c r="AU23" i="1"/>
  <c r="AU12" i="1"/>
  <c r="AU83" i="5"/>
  <c r="AU75" i="5"/>
  <c r="AU76" i="5" s="1"/>
  <c r="BF55" i="5"/>
  <c r="BD140" i="5"/>
  <c r="BI130" i="5"/>
  <c r="BC55" i="5"/>
  <c r="BD55" i="5" s="1"/>
  <c r="BG65" i="5"/>
  <c r="BI128" i="5"/>
  <c r="BC53" i="5"/>
  <c r="BD211" i="5"/>
  <c r="BD223" i="5" s="1"/>
  <c r="BN129" i="5"/>
  <c r="BH54" i="5"/>
  <c r="BA67" i="5"/>
  <c r="BD169" i="5"/>
  <c r="AX173" i="5"/>
  <c r="BT65" i="5"/>
  <c r="AX56" i="5"/>
  <c r="AX83" i="5" s="1"/>
  <c r="AT83" i="5"/>
  <c r="AT75" i="5"/>
  <c r="AT76" i="5" s="1"/>
  <c r="BD210" i="5"/>
  <c r="BD222" i="5" s="1"/>
  <c r="CF53" i="5"/>
  <c r="BL128" i="5"/>
  <c r="BF53" i="5"/>
  <c r="BS169" i="5"/>
  <c r="BV169" i="5" s="1"/>
  <c r="BM53" i="5"/>
  <c r="BI127" i="5"/>
  <c r="BC52" i="5"/>
  <c r="BD52" i="5" s="1"/>
  <c r="BD168" i="5"/>
  <c r="BN164" i="5"/>
  <c r="BH124" i="5"/>
  <c r="BH165" i="1" s="1"/>
  <c r="BM67" i="5"/>
  <c r="CH91" i="5"/>
  <c r="BI129" i="5"/>
  <c r="BC54" i="5"/>
  <c r="BD54" i="5" s="1"/>
  <c r="BF124" i="5"/>
  <c r="BF165" i="1" s="1"/>
  <c r="BL52" i="5"/>
  <c r="BM66" i="5"/>
  <c r="BN67" i="5"/>
  <c r="BS66" i="5"/>
  <c r="BY130" i="5"/>
  <c r="BS55" i="5"/>
  <c r="BH119" i="5"/>
  <c r="BT67" i="5"/>
  <c r="BB64" i="5"/>
  <c r="BB57" i="5"/>
  <c r="BG66" i="5"/>
  <c r="BM164" i="5"/>
  <c r="BG124" i="5"/>
  <c r="BG165" i="1" s="1"/>
  <c r="BM52" i="5"/>
  <c r="BJ168" i="5"/>
  <c r="AV75" i="5"/>
  <c r="AV76" i="5" s="1"/>
  <c r="AV83" i="5"/>
  <c r="AU13" i="1"/>
  <c r="BF119" i="5"/>
  <c r="BA66" i="5"/>
  <c r="BF54" i="5"/>
  <c r="BY66" i="5"/>
  <c r="BD127" i="5"/>
  <c r="BH67" i="5"/>
  <c r="BH65" i="5"/>
  <c r="BG119" i="5"/>
  <c r="BG67" i="5"/>
  <c r="CL171" i="5"/>
  <c r="CL55" i="5" s="1"/>
  <c r="CF55" i="5"/>
  <c r="BN52" i="5"/>
  <c r="BL164" i="5"/>
  <c r="BL124" i="5" s="1"/>
  <c r="BL165" i="1" s="1"/>
  <c r="AX132" i="5"/>
  <c r="AX147" i="5" s="1"/>
  <c r="AV34" i="1"/>
  <c r="AV23" i="1"/>
  <c r="BA64" i="5"/>
  <c r="BA57" i="5"/>
  <c r="BA74" i="5" s="1"/>
  <c r="BN65" i="5"/>
  <c r="BL296" i="5"/>
  <c r="BF52" i="5"/>
  <c r="BB67" i="5"/>
  <c r="BA65" i="5"/>
  <c r="BZ65" i="5"/>
  <c r="AW57" i="5"/>
  <c r="AX80" i="5"/>
  <c r="S57" i="3"/>
  <c r="K44" i="1"/>
  <c r="BX200" i="5"/>
  <c r="BJ211" i="5"/>
  <c r="BR205" i="5"/>
  <c r="BP211" i="5"/>
  <c r="BV211" i="5"/>
  <c r="F49" i="1"/>
  <c r="F44" i="1"/>
  <c r="T44" i="1"/>
  <c r="T49" i="1"/>
  <c r="R44" i="1"/>
  <c r="R49" i="1"/>
  <c r="H49" i="1"/>
  <c r="H44" i="1"/>
  <c r="G27" i="3" s="1"/>
  <c r="W44" i="1"/>
  <c r="W49" i="1"/>
  <c r="E49" i="1"/>
  <c r="E44" i="1"/>
  <c r="Q44" i="1"/>
  <c r="Q49" i="1"/>
  <c r="X44" i="1"/>
  <c r="X49" i="1"/>
  <c r="L44" i="1"/>
  <c r="L49" i="1"/>
  <c r="D49" i="1"/>
  <c r="D44" i="1"/>
  <c r="J44" i="1"/>
  <c r="J49" i="1"/>
  <c r="Z49" i="1"/>
  <c r="Z44" i="1"/>
  <c r="V49" i="1"/>
  <c r="V44" i="1"/>
  <c r="N49" i="1"/>
  <c r="N44" i="1"/>
  <c r="CF209" i="5"/>
  <c r="CD211" i="5"/>
  <c r="CB211" i="5"/>
  <c r="BX212" i="5"/>
  <c r="BV212" i="5"/>
  <c r="BV224" i="5" s="1"/>
  <c r="BY209" i="5"/>
  <c r="BX209" i="5"/>
  <c r="BR210" i="5"/>
  <c r="BP210" i="5"/>
  <c r="BJ169" i="5"/>
  <c r="BI171" i="5"/>
  <c r="BC173" i="5"/>
  <c r="BT168" i="5"/>
  <c r="BN173" i="5"/>
  <c r="BN80" i="5" s="1"/>
  <c r="BN88" i="5" s="1"/>
  <c r="BB177" i="5"/>
  <c r="BB176" i="5"/>
  <c r="BR170" i="5"/>
  <c r="BP170" i="5"/>
  <c r="BR168" i="5"/>
  <c r="BP168" i="5"/>
  <c r="BJ182" i="5"/>
  <c r="BS168" i="5"/>
  <c r="BM173" i="5"/>
  <c r="BM80" i="5" s="1"/>
  <c r="BA177" i="5"/>
  <c r="BA176" i="5"/>
  <c r="BG185" i="5"/>
  <c r="BG174" i="5"/>
  <c r="BG175" i="5"/>
  <c r="BH176" i="5"/>
  <c r="BH185" i="5"/>
  <c r="BH174" i="5"/>
  <c r="BH177" i="5"/>
  <c r="BH175" i="5"/>
  <c r="AZ177" i="5"/>
  <c r="AZ176" i="5"/>
  <c r="BP169" i="5"/>
  <c r="BU168" i="5"/>
  <c r="BX169" i="5"/>
  <c r="BR129" i="5"/>
  <c r="BR130" i="5"/>
  <c r="BS127" i="5"/>
  <c r="BT127" i="5"/>
  <c r="BR127" i="5"/>
  <c r="U103" i="11"/>
  <c r="AT103" i="11"/>
  <c r="AS103" i="11"/>
  <c r="X103" i="11"/>
  <c r="L103" i="11"/>
  <c r="I103" i="11"/>
  <c r="J103" i="11"/>
  <c r="AF188" i="1"/>
  <c r="AF193" i="1" s="1"/>
  <c r="AF194" i="1" s="1"/>
  <c r="AF195" i="1" s="1"/>
  <c r="N188" i="1"/>
  <c r="N193" i="1" s="1"/>
  <c r="N194" i="1" s="1"/>
  <c r="N195" i="1" s="1"/>
  <c r="AH194" i="1"/>
  <c r="AH195" i="1" s="1"/>
  <c r="V194" i="1"/>
  <c r="V195" i="1" s="1"/>
  <c r="J194" i="1"/>
  <c r="J195" i="1" s="1"/>
  <c r="Z188" i="1"/>
  <c r="Z193" i="1" s="1"/>
  <c r="Z194" i="1" s="1"/>
  <c r="Z195" i="1" s="1"/>
  <c r="H188" i="1"/>
  <c r="T188" i="1"/>
  <c r="T193" i="1" s="1"/>
  <c r="T194" i="1" s="1"/>
  <c r="T195" i="1" s="1"/>
  <c r="J160" i="1"/>
  <c r="AL188" i="1"/>
  <c r="AL193" i="1" s="1"/>
  <c r="AL194" i="1" s="1"/>
  <c r="AL195" i="1" s="1"/>
  <c r="P160" i="1"/>
  <c r="AN160" i="1"/>
  <c r="AB160" i="1"/>
  <c r="AT160" i="1"/>
  <c r="V160" i="1"/>
  <c r="Z160" i="1"/>
  <c r="T160" i="1"/>
  <c r="AH160" i="1"/>
  <c r="AF160" i="1"/>
  <c r="AL160" i="1"/>
  <c r="N160" i="1"/>
  <c r="S55" i="1"/>
  <c r="S147" i="1"/>
  <c r="M55" i="1"/>
  <c r="M147" i="1"/>
  <c r="AR160" i="1"/>
  <c r="N133" i="1"/>
  <c r="N134" i="1" s="1"/>
  <c r="H133" i="1"/>
  <c r="H134" i="1" s="1"/>
  <c r="L5" i="1"/>
  <c r="K5" i="1"/>
  <c r="BA5" i="1"/>
  <c r="AK5" i="1"/>
  <c r="AP5" i="1"/>
  <c r="AE5" i="1"/>
  <c r="AC5" i="1"/>
  <c r="M5" i="1"/>
  <c r="CD5" i="1"/>
  <c r="V5" i="1"/>
  <c r="R5" i="1"/>
  <c r="Q5" i="1"/>
  <c r="P5" i="1"/>
  <c r="CE5" i="1"/>
  <c r="BR5" i="1"/>
  <c r="G5" i="1"/>
  <c r="CF5" i="1"/>
  <c r="BF5" i="1"/>
  <c r="CL5" i="1"/>
  <c r="CK5" i="1"/>
  <c r="CJ5" i="1"/>
  <c r="CG5" i="1"/>
  <c r="BT5" i="1"/>
  <c r="BG5" i="1"/>
  <c r="AT5" i="1"/>
  <c r="AT91" i="1" s="1"/>
  <c r="AZ91" i="1" s="1"/>
  <c r="BO5" i="1"/>
  <c r="AZ5" i="1"/>
  <c r="BC5" i="1"/>
  <c r="AO5" i="1"/>
  <c r="Y5" i="1"/>
  <c r="F5" i="1"/>
  <c r="BS5" i="1"/>
  <c r="BZ5" i="1"/>
  <c r="BY5" i="1"/>
  <c r="BX5" i="1"/>
  <c r="BU5" i="1"/>
  <c r="BH5" i="1"/>
  <c r="AU5" i="1"/>
  <c r="AU91" i="1" s="1"/>
  <c r="BA91" i="1" s="1"/>
  <c r="AI5" i="1"/>
  <c r="BB5" i="1"/>
  <c r="AW5" i="1"/>
  <c r="X5" i="1"/>
  <c r="AQ5" i="1"/>
  <c r="AN5" i="1"/>
  <c r="AH5" i="1"/>
  <c r="AD5" i="1"/>
  <c r="AB5" i="1"/>
  <c r="S5" i="1"/>
  <c r="J5" i="1"/>
  <c r="E5" i="1"/>
  <c r="CA5" i="1"/>
  <c r="BN5" i="1"/>
  <c r="BM5" i="1"/>
  <c r="BL5" i="1"/>
  <c r="BI5" i="1"/>
  <c r="AV5" i="1"/>
  <c r="AV91" i="1" s="1"/>
  <c r="BB91" i="1" s="1"/>
  <c r="AJ5" i="1"/>
  <c r="W5" i="1"/>
  <c r="S46" i="5"/>
  <c r="M46" i="5"/>
  <c r="G46" i="5"/>
  <c r="S121" i="5"/>
  <c r="Y46" i="5"/>
  <c r="O31" i="13" l="1"/>
  <c r="O20" i="13"/>
  <c r="AW73" i="5"/>
  <c r="AW112" i="5"/>
  <c r="T389" i="1"/>
  <c r="N383" i="1"/>
  <c r="AL389" i="1"/>
  <c r="BH381" i="1"/>
  <c r="BH176" i="1"/>
  <c r="BG381" i="1"/>
  <c r="BG176" i="1"/>
  <c r="BF381" i="1"/>
  <c r="BF176" i="1"/>
  <c r="BL381" i="1"/>
  <c r="BL176" i="1"/>
  <c r="AF389" i="1"/>
  <c r="R367" i="1"/>
  <c r="T366" i="1"/>
  <c r="P367" i="1"/>
  <c r="P363" i="1"/>
  <c r="V367" i="1"/>
  <c r="J363" i="1"/>
  <c r="J367" i="1"/>
  <c r="N366" i="1"/>
  <c r="Y363" i="1"/>
  <c r="Y367" i="1"/>
  <c r="L363" i="1"/>
  <c r="L367" i="1"/>
  <c r="Z361" i="1"/>
  <c r="T361" i="1"/>
  <c r="T367" i="1" s="1"/>
  <c r="S363" i="1"/>
  <c r="N361" i="1"/>
  <c r="M363" i="1"/>
  <c r="AU89" i="1"/>
  <c r="BA89" i="1" s="1"/>
  <c r="BG89" i="1" s="1"/>
  <c r="BM89" i="1" s="1"/>
  <c r="BS89" i="1" s="1"/>
  <c r="BY89" i="1" s="1"/>
  <c r="CE89" i="1" s="1"/>
  <c r="CK89" i="1" s="1"/>
  <c r="AV88" i="1"/>
  <c r="BB88" i="1" s="1"/>
  <c r="BH88" i="1" s="1"/>
  <c r="BF96" i="1"/>
  <c r="BG96" i="1"/>
  <c r="BH93" i="1"/>
  <c r="BT90" i="1"/>
  <c r="BZ90" i="1" s="1"/>
  <c r="CF90" i="1" s="1"/>
  <c r="CL90" i="1" s="1"/>
  <c r="BG92" i="1"/>
  <c r="BF93" i="1"/>
  <c r="BG95" i="1"/>
  <c r="BH92" i="1"/>
  <c r="BF94" i="1"/>
  <c r="BL90" i="1"/>
  <c r="BR90" i="1" s="1"/>
  <c r="BH91" i="1"/>
  <c r="AT88" i="1"/>
  <c r="AZ88" i="1" s="1"/>
  <c r="BG94" i="1"/>
  <c r="AV89" i="1"/>
  <c r="BB89" i="1" s="1"/>
  <c r="BH89" i="1" s="1"/>
  <c r="BN89" i="1" s="1"/>
  <c r="BT89" i="1" s="1"/>
  <c r="BZ89" i="1" s="1"/>
  <c r="CF89" i="1" s="1"/>
  <c r="CL89" i="1" s="1"/>
  <c r="BF91" i="1"/>
  <c r="BF95" i="1"/>
  <c r="BH96" i="1"/>
  <c r="BG93" i="1"/>
  <c r="BG91" i="1"/>
  <c r="AT89" i="1"/>
  <c r="AZ89" i="1" s="1"/>
  <c r="BF89" i="1" s="1"/>
  <c r="BL89" i="1" s="1"/>
  <c r="BR89" i="1" s="1"/>
  <c r="BX89" i="1" s="1"/>
  <c r="CD89" i="1" s="1"/>
  <c r="CJ89" i="1" s="1"/>
  <c r="AU88" i="1"/>
  <c r="BA88" i="1" s="1"/>
  <c r="BH94" i="1"/>
  <c r="BF92" i="1"/>
  <c r="BH95" i="1"/>
  <c r="AT24" i="1"/>
  <c r="BP224" i="5"/>
  <c r="AT14" i="1"/>
  <c r="BF88" i="5"/>
  <c r="BJ180" i="5"/>
  <c r="AX79" i="5"/>
  <c r="P8" i="13" s="1"/>
  <c r="P10" i="13" s="1"/>
  <c r="BO209" i="5"/>
  <c r="BU209" i="5" s="1"/>
  <c r="BO296" i="5"/>
  <c r="BP296" i="5" s="1"/>
  <c r="BT52" i="5"/>
  <c r="BT64" i="5" s="1"/>
  <c r="BX271" i="5"/>
  <c r="BP182" i="5"/>
  <c r="BL66" i="5"/>
  <c r="BJ224" i="5"/>
  <c r="BR164" i="5"/>
  <c r="BR124" i="5" s="1"/>
  <c r="BR165" i="1" s="1"/>
  <c r="BR171" i="5"/>
  <c r="BR55" i="5" s="1"/>
  <c r="BR67" i="5" s="1"/>
  <c r="BF175" i="5"/>
  <c r="BG176" i="5"/>
  <c r="BF174" i="5"/>
  <c r="BG177" i="5"/>
  <c r="BF185" i="5"/>
  <c r="AX149" i="5"/>
  <c r="AV14" i="1"/>
  <c r="BR54" i="5"/>
  <c r="BR66" i="5" s="1"/>
  <c r="BR159" i="5"/>
  <c r="BL119" i="5"/>
  <c r="AW74" i="5"/>
  <c r="BJ222" i="5"/>
  <c r="BA72" i="5"/>
  <c r="BA73" i="5"/>
  <c r="BL173" i="5"/>
  <c r="BL80" i="5" s="1"/>
  <c r="BL88" i="5" s="1"/>
  <c r="BS52" i="5"/>
  <c r="BS64" i="5" s="1"/>
  <c r="BJ223" i="5"/>
  <c r="AX150" i="5"/>
  <c r="BG57" i="5"/>
  <c r="BG72" i="5" s="1"/>
  <c r="AX151" i="5"/>
  <c r="BP222" i="5"/>
  <c r="AX148" i="5"/>
  <c r="BL67" i="5"/>
  <c r="BB91" i="5"/>
  <c r="BF57" i="5"/>
  <c r="BF71" i="5" s="1"/>
  <c r="BF64" i="5"/>
  <c r="BN119" i="5"/>
  <c r="AZ7" i="5"/>
  <c r="AZ75" i="5"/>
  <c r="AZ68" i="5"/>
  <c r="AZ58" i="5"/>
  <c r="AZ72" i="5"/>
  <c r="AZ61" i="5"/>
  <c r="AZ73" i="5"/>
  <c r="AZ74" i="5"/>
  <c r="AZ59" i="5"/>
  <c r="BM88" i="5"/>
  <c r="BR296" i="5"/>
  <c r="AV24" i="1"/>
  <c r="AV35" i="1"/>
  <c r="CF67" i="5"/>
  <c r="AW72" i="5"/>
  <c r="BC66" i="5"/>
  <c r="BT164" i="5"/>
  <c r="BN124" i="5"/>
  <c r="BN165" i="1" s="1"/>
  <c r="BF65" i="5"/>
  <c r="AZ71" i="5"/>
  <c r="BN64" i="5"/>
  <c r="BO127" i="5"/>
  <c r="BI52" i="5"/>
  <c r="BJ52" i="5" s="1"/>
  <c r="BO128" i="5"/>
  <c r="BP128" i="5" s="1"/>
  <c r="BI53" i="5"/>
  <c r="BJ128" i="5"/>
  <c r="CL67" i="5"/>
  <c r="BD132" i="5"/>
  <c r="BD147" i="5" s="1"/>
  <c r="BD139" i="5"/>
  <c r="BB59" i="5"/>
  <c r="BB7" i="5"/>
  <c r="BB7" i="1" s="1"/>
  <c r="BB68" i="5"/>
  <c r="BB75" i="5"/>
  <c r="BB61" i="5"/>
  <c r="BB58" i="5"/>
  <c r="BB60" i="5"/>
  <c r="BO129" i="5"/>
  <c r="BI54" i="5"/>
  <c r="BJ54" i="5" s="1"/>
  <c r="BJ129" i="5"/>
  <c r="BD173" i="5"/>
  <c r="BD188" i="5" s="1"/>
  <c r="BD180" i="5"/>
  <c r="BR128" i="5"/>
  <c r="BL53" i="5"/>
  <c r="BD64" i="5"/>
  <c r="BC65" i="5"/>
  <c r="BJ127" i="5"/>
  <c r="BD181" i="5"/>
  <c r="BM64" i="5"/>
  <c r="BM57" i="5"/>
  <c r="BM71" i="5" s="1"/>
  <c r="BB71" i="5"/>
  <c r="BS67" i="5"/>
  <c r="CF65" i="5"/>
  <c r="AX192" i="5"/>
  <c r="AX191" i="5"/>
  <c r="AX190" i="5"/>
  <c r="AX189" i="5"/>
  <c r="BC67" i="5"/>
  <c r="BA91" i="5"/>
  <c r="BD53" i="5"/>
  <c r="BD57" i="5" s="1"/>
  <c r="CL65" i="5"/>
  <c r="BD91" i="5"/>
  <c r="BF177" i="5"/>
  <c r="BC80" i="5"/>
  <c r="BJ181" i="5"/>
  <c r="BD66" i="5"/>
  <c r="CE130" i="5"/>
  <c r="BY55" i="5"/>
  <c r="BH66" i="5"/>
  <c r="BH57" i="5"/>
  <c r="BH73" i="5" s="1"/>
  <c r="BO130" i="5"/>
  <c r="BI55" i="5"/>
  <c r="BJ55" i="5" s="1"/>
  <c r="BJ130" i="5"/>
  <c r="BB73" i="5"/>
  <c r="BB72" i="5"/>
  <c r="AX57" i="5"/>
  <c r="BR52" i="5"/>
  <c r="BA7" i="5"/>
  <c r="BA7" i="1" s="1"/>
  <c r="BA68" i="5"/>
  <c r="BA60" i="5"/>
  <c r="BA75" i="5"/>
  <c r="BA59" i="5"/>
  <c r="BA61" i="5"/>
  <c r="BA58" i="5"/>
  <c r="BM119" i="5"/>
  <c r="BS164" i="5"/>
  <c r="BM124" i="5"/>
  <c r="BM165" i="1" s="1"/>
  <c r="BL64" i="5"/>
  <c r="BM65" i="5"/>
  <c r="BT129" i="5"/>
  <c r="BN54" i="5"/>
  <c r="BN57" i="5" s="1"/>
  <c r="AU14" i="1"/>
  <c r="BF67" i="5"/>
  <c r="AZ60" i="5"/>
  <c r="AW7" i="5"/>
  <c r="AW75" i="5"/>
  <c r="AW60" i="5"/>
  <c r="AW71" i="5"/>
  <c r="AW61" i="5"/>
  <c r="BB74" i="5"/>
  <c r="BA71" i="5"/>
  <c r="BF66" i="5"/>
  <c r="BD67" i="5"/>
  <c r="BC64" i="5"/>
  <c r="BC57" i="5"/>
  <c r="BY169" i="5"/>
  <c r="CB169" i="5" s="1"/>
  <c r="CB181" i="5" s="1"/>
  <c r="BS53" i="5"/>
  <c r="AZ91" i="5"/>
  <c r="AU24" i="1"/>
  <c r="AU35" i="1"/>
  <c r="AX188" i="5"/>
  <c r="AT36" i="1"/>
  <c r="AT43" i="1"/>
  <c r="AT38" i="1"/>
  <c r="AT40" i="1" s="1"/>
  <c r="T57" i="3"/>
  <c r="BP223" i="5"/>
  <c r="CD200" i="5"/>
  <c r="BX205" i="5"/>
  <c r="BX164" i="5"/>
  <c r="BV223" i="5"/>
  <c r="CB223" i="5"/>
  <c r="Y44" i="1"/>
  <c r="Y49" i="1"/>
  <c r="G44" i="1"/>
  <c r="G49" i="1"/>
  <c r="BP181" i="5"/>
  <c r="M49" i="1"/>
  <c r="M44" i="1"/>
  <c r="S44" i="1"/>
  <c r="S49" i="1"/>
  <c r="CL209" i="5"/>
  <c r="CD209" i="5"/>
  <c r="CJ211" i="5"/>
  <c r="CN211" i="5" s="1"/>
  <c r="CH211" i="5"/>
  <c r="CH223" i="5" s="1"/>
  <c r="BX210" i="5"/>
  <c r="BV210" i="5"/>
  <c r="BV222" i="5" s="1"/>
  <c r="CE209" i="5"/>
  <c r="CD212" i="5"/>
  <c r="CB212" i="5"/>
  <c r="CB224" i="5" s="1"/>
  <c r="BC177" i="5"/>
  <c r="BD177" i="5" s="1"/>
  <c r="BV181" i="5"/>
  <c r="BC174" i="5"/>
  <c r="BC185" i="5"/>
  <c r="BF176" i="5"/>
  <c r="BC175" i="5"/>
  <c r="BO171" i="5"/>
  <c r="BJ171" i="5"/>
  <c r="BI173" i="5"/>
  <c r="BC176" i="5"/>
  <c r="BD176" i="5" s="1"/>
  <c r="BX168" i="5"/>
  <c r="BV168" i="5"/>
  <c r="BX170" i="5"/>
  <c r="BV170" i="5"/>
  <c r="BV182" i="5" s="1"/>
  <c r="BN175" i="5"/>
  <c r="BN176" i="5"/>
  <c r="BN185" i="5"/>
  <c r="BN174" i="5"/>
  <c r="BN177" i="5"/>
  <c r="BZ168" i="5"/>
  <c r="BT173" i="5"/>
  <c r="BT80" i="5" s="1"/>
  <c r="BM175" i="5"/>
  <c r="BM185" i="5"/>
  <c r="BM174" i="5"/>
  <c r="CD169" i="5"/>
  <c r="BY168" i="5"/>
  <c r="BS173" i="5"/>
  <c r="BS80" i="5" s="1"/>
  <c r="BP180" i="5"/>
  <c r="CA168" i="5"/>
  <c r="BX130" i="5"/>
  <c r="BX129" i="5"/>
  <c r="BZ127" i="5"/>
  <c r="BY127" i="5"/>
  <c r="BX127" i="5"/>
  <c r="BV5" i="1"/>
  <c r="AF5" i="1"/>
  <c r="CN5" i="1"/>
  <c r="AR5" i="1"/>
  <c r="Z5" i="1"/>
  <c r="N5" i="1"/>
  <c r="AX5" i="1"/>
  <c r="AL5" i="1"/>
  <c r="BP5" i="1"/>
  <c r="BD5" i="1"/>
  <c r="T5" i="1"/>
  <c r="H5" i="1"/>
  <c r="CB5" i="1"/>
  <c r="BJ5" i="1"/>
  <c r="CH5" i="1"/>
  <c r="P20" i="13" l="1"/>
  <c r="P31" i="13"/>
  <c r="BC72" i="5"/>
  <c r="BC112" i="5"/>
  <c r="BM381" i="1"/>
  <c r="BM176" i="1"/>
  <c r="BN381" i="1"/>
  <c r="BN176" i="1"/>
  <c r="BR381" i="1"/>
  <c r="BR176" i="1"/>
  <c r="Z363" i="1"/>
  <c r="Z367" i="1"/>
  <c r="T363" i="1"/>
  <c r="N363" i="1"/>
  <c r="N367" i="1"/>
  <c r="BM94" i="1"/>
  <c r="BL94" i="1"/>
  <c r="BN94" i="1"/>
  <c r="BM96" i="1"/>
  <c r="BG88" i="1"/>
  <c r="BN96" i="1"/>
  <c r="BF88" i="1"/>
  <c r="BN95" i="1"/>
  <c r="BL95" i="1"/>
  <c r="BM92" i="1"/>
  <c r="BN88" i="1"/>
  <c r="BN92" i="1"/>
  <c r="BL92" i="1"/>
  <c r="BL91" i="1"/>
  <c r="BN91" i="1"/>
  <c r="BM95" i="1"/>
  <c r="BL96" i="1"/>
  <c r="BM91" i="1"/>
  <c r="BX90" i="1"/>
  <c r="BN93" i="1"/>
  <c r="BM93" i="1"/>
  <c r="BL93" i="1"/>
  <c r="BP209" i="5"/>
  <c r="BP221" i="5" s="1"/>
  <c r="BR173" i="5"/>
  <c r="BR80" i="5" s="1"/>
  <c r="BR88" i="5" s="1"/>
  <c r="BX171" i="5"/>
  <c r="BX173" i="5" s="1"/>
  <c r="BX80" i="5" s="1"/>
  <c r="BG71" i="5"/>
  <c r="BG73" i="5"/>
  <c r="BG74" i="5"/>
  <c r="BU296" i="5"/>
  <c r="BV296" i="5" s="1"/>
  <c r="CD271" i="5"/>
  <c r="BF72" i="5"/>
  <c r="BG59" i="5"/>
  <c r="BG58" i="5"/>
  <c r="BM177" i="5"/>
  <c r="BG68" i="5"/>
  <c r="BG75" i="5"/>
  <c r="BG7" i="5"/>
  <c r="BG7" i="1" s="1"/>
  <c r="BG17" i="1" s="1"/>
  <c r="BL174" i="5"/>
  <c r="BL185" i="5"/>
  <c r="BL175" i="5"/>
  <c r="AX152" i="5"/>
  <c r="BY52" i="5"/>
  <c r="BY64" i="5" s="1"/>
  <c r="BM176" i="5"/>
  <c r="BM72" i="5"/>
  <c r="BX159" i="5"/>
  <c r="BR119" i="5"/>
  <c r="BX52" i="5"/>
  <c r="BX64" i="5" s="1"/>
  <c r="BP140" i="5"/>
  <c r="BA76" i="5"/>
  <c r="BG61" i="5"/>
  <c r="BN7" i="5"/>
  <c r="BN7" i="1" s="1"/>
  <c r="BN68" i="5"/>
  <c r="BN75" i="5"/>
  <c r="BN58" i="5"/>
  <c r="BN278" i="5" s="1"/>
  <c r="BN61" i="5"/>
  <c r="BN59" i="5"/>
  <c r="BN60" i="5"/>
  <c r="BN72" i="5"/>
  <c r="BN74" i="5"/>
  <c r="BN71" i="5"/>
  <c r="BJ64" i="5"/>
  <c r="BD75" i="5"/>
  <c r="BD59" i="5"/>
  <c r="BD58" i="5"/>
  <c r="BD68" i="5"/>
  <c r="BD73" i="5"/>
  <c r="BD74" i="5"/>
  <c r="BD71" i="5"/>
  <c r="BC88" i="5"/>
  <c r="BJ66" i="5"/>
  <c r="BZ164" i="5"/>
  <c r="BT124" i="5"/>
  <c r="BT165" i="1" s="1"/>
  <c r="BX54" i="5"/>
  <c r="CE169" i="5"/>
  <c r="CH169" i="5" s="1"/>
  <c r="CH181" i="5" s="1"/>
  <c r="BY53" i="5"/>
  <c r="BS119" i="5"/>
  <c r="BR64" i="5"/>
  <c r="BY67" i="5"/>
  <c r="BB17" i="1"/>
  <c r="BS57" i="5"/>
  <c r="BS72" i="5" s="1"/>
  <c r="BS65" i="5"/>
  <c r="AZ7" i="1"/>
  <c r="BC68" i="5"/>
  <c r="BC75" i="5"/>
  <c r="BC7" i="5"/>
  <c r="BC7" i="1" s="1"/>
  <c r="BC59" i="5"/>
  <c r="BC58" i="5"/>
  <c r="BC61" i="5"/>
  <c r="BD61" i="5" s="1"/>
  <c r="BC60" i="5"/>
  <c r="BD60" i="5" s="1"/>
  <c r="BF73" i="5"/>
  <c r="AX75" i="5"/>
  <c r="AX71" i="5"/>
  <c r="AX73" i="5"/>
  <c r="AX74" i="5"/>
  <c r="AX72" i="5"/>
  <c r="CK130" i="5"/>
  <c r="CK55" i="5" s="1"/>
  <c r="CE55" i="5"/>
  <c r="BI66" i="5"/>
  <c r="AZ76" i="5"/>
  <c r="BC73" i="5"/>
  <c r="BX296" i="5"/>
  <c r="BT119" i="5"/>
  <c r="BD80" i="5"/>
  <c r="BD88" i="5" s="1"/>
  <c r="BD190" i="5"/>
  <c r="BD174" i="5"/>
  <c r="BD192" i="5"/>
  <c r="BD185" i="5"/>
  <c r="BD175" i="5"/>
  <c r="BD191" i="5"/>
  <c r="BA17" i="1"/>
  <c r="BI174" i="5"/>
  <c r="BI80" i="5"/>
  <c r="BX124" i="5"/>
  <c r="BX165" i="1" s="1"/>
  <c r="AX193" i="5"/>
  <c r="BC71" i="5"/>
  <c r="BF74" i="5"/>
  <c r="BI67" i="5"/>
  <c r="BC74" i="5"/>
  <c r="BU129" i="5"/>
  <c r="BV129" i="5" s="1"/>
  <c r="BO54" i="5"/>
  <c r="BP54" i="5" s="1"/>
  <c r="BP129" i="5"/>
  <c r="BP141" i="5" s="1"/>
  <c r="BI57" i="5"/>
  <c r="BI65" i="5"/>
  <c r="AV38" i="1"/>
  <c r="AV40" i="1" s="1"/>
  <c r="AV43" i="1"/>
  <c r="AV36" i="1"/>
  <c r="AU36" i="1"/>
  <c r="AU38" i="1"/>
  <c r="AU40" i="1" s="1"/>
  <c r="AU43" i="1"/>
  <c r="AW7" i="1"/>
  <c r="AX7" i="5"/>
  <c r="BJ67" i="5"/>
  <c r="BU130" i="5"/>
  <c r="BO55" i="5"/>
  <c r="BP130" i="5"/>
  <c r="BP142" i="5" s="1"/>
  <c r="BD189" i="5"/>
  <c r="BL65" i="5"/>
  <c r="BO53" i="5"/>
  <c r="BU128" i="5"/>
  <c r="AW76" i="5"/>
  <c r="BZ129" i="5"/>
  <c r="BT54" i="5"/>
  <c r="BY164" i="5"/>
  <c r="BS124" i="5"/>
  <c r="BS165" i="1" s="1"/>
  <c r="BZ52" i="5"/>
  <c r="BS88" i="5"/>
  <c r="BL57" i="5"/>
  <c r="BL72" i="5" s="1"/>
  <c r="BH7" i="5"/>
  <c r="BH7" i="1" s="1"/>
  <c r="BH68" i="5"/>
  <c r="BH75" i="5"/>
  <c r="BH58" i="5"/>
  <c r="BH61" i="5"/>
  <c r="BH59" i="5"/>
  <c r="BH60" i="5"/>
  <c r="BH71" i="5"/>
  <c r="BH72" i="5"/>
  <c r="BH74" i="5"/>
  <c r="BB76" i="5"/>
  <c r="BG60" i="5"/>
  <c r="BX128" i="5"/>
  <c r="BR53" i="5"/>
  <c r="BI64" i="5"/>
  <c r="BJ53" i="5"/>
  <c r="BD72" i="5"/>
  <c r="BD65" i="5"/>
  <c r="BT88" i="5"/>
  <c r="BN73" i="5"/>
  <c r="BN66" i="5"/>
  <c r="BM7" i="5"/>
  <c r="BM7" i="1" s="1"/>
  <c r="BM68" i="5"/>
  <c r="BM75" i="5"/>
  <c r="BM58" i="5"/>
  <c r="BM278" i="5" s="1"/>
  <c r="BM59" i="5"/>
  <c r="BM73" i="5"/>
  <c r="BM74" i="5"/>
  <c r="BD133" i="5"/>
  <c r="BD79" i="5"/>
  <c r="V8" i="13" s="1"/>
  <c r="V10" i="13" s="1"/>
  <c r="BD149" i="5"/>
  <c r="BD151" i="5"/>
  <c r="BD144" i="5"/>
  <c r="BD150" i="5"/>
  <c r="BD134" i="5"/>
  <c r="BD148" i="5"/>
  <c r="BU127" i="5"/>
  <c r="BO52" i="5"/>
  <c r="BP127" i="5"/>
  <c r="BP139" i="5" s="1"/>
  <c r="BF7" i="5"/>
  <c r="BF68" i="5"/>
  <c r="BF75" i="5"/>
  <c r="BF61" i="5"/>
  <c r="BF59" i="5"/>
  <c r="BF60" i="5"/>
  <c r="BF58" i="5"/>
  <c r="AT48" i="1"/>
  <c r="AT41" i="1"/>
  <c r="U57" i="3"/>
  <c r="CJ200" i="5"/>
  <c r="CD205" i="5"/>
  <c r="CD164" i="5"/>
  <c r="CB210" i="5"/>
  <c r="CB222" i="5" s="1"/>
  <c r="CD210" i="5"/>
  <c r="CA209" i="5"/>
  <c r="BV209" i="5"/>
  <c r="CH212" i="5"/>
  <c r="CH224" i="5" s="1"/>
  <c r="CJ212" i="5"/>
  <c r="CN212" i="5" s="1"/>
  <c r="CN223" i="5"/>
  <c r="CJ209" i="5"/>
  <c r="CK209" i="5"/>
  <c r="BI176" i="5"/>
  <c r="BJ176" i="5" s="1"/>
  <c r="BI175" i="5"/>
  <c r="BU171" i="5"/>
  <c r="BP171" i="5"/>
  <c r="BO173" i="5"/>
  <c r="BO80" i="5" s="1"/>
  <c r="BI185" i="5"/>
  <c r="BJ183" i="5"/>
  <c r="BJ173" i="5"/>
  <c r="BJ80" i="5" s="1"/>
  <c r="BL176" i="5"/>
  <c r="BI177" i="5"/>
  <c r="BJ177" i="5" s="1"/>
  <c r="BL177" i="5"/>
  <c r="BS174" i="5"/>
  <c r="BS185" i="5"/>
  <c r="BS175" i="5"/>
  <c r="CG168" i="5"/>
  <c r="CE168" i="5"/>
  <c r="BY173" i="5"/>
  <c r="BY80" i="5" s="1"/>
  <c r="BT174" i="5"/>
  <c r="BT177" i="5"/>
  <c r="BT175" i="5"/>
  <c r="BT176" i="5"/>
  <c r="BT185" i="5"/>
  <c r="CB170" i="5"/>
  <c r="CB182" i="5" s="1"/>
  <c r="CD170" i="5"/>
  <c r="BZ173" i="5"/>
  <c r="BZ80" i="5" s="1"/>
  <c r="CF168" i="5"/>
  <c r="CJ169" i="5"/>
  <c r="BV180" i="5"/>
  <c r="CD168" i="5"/>
  <c r="CB168" i="5"/>
  <c r="CD129" i="5"/>
  <c r="CD130" i="5"/>
  <c r="CE127" i="5"/>
  <c r="CF127" i="5"/>
  <c r="CD127" i="5"/>
  <c r="BI73" i="5" l="1"/>
  <c r="BI112" i="5"/>
  <c r="V31" i="13"/>
  <c r="V20" i="13"/>
  <c r="BT381" i="1"/>
  <c r="BT176" i="1"/>
  <c r="BS381" i="1"/>
  <c r="BS176" i="1"/>
  <c r="BX381" i="1"/>
  <c r="BX176" i="1"/>
  <c r="BT93" i="1"/>
  <c r="BS96" i="1"/>
  <c r="CD90" i="1"/>
  <c r="BT91" i="1"/>
  <c r="BT92" i="1"/>
  <c r="BT95" i="1"/>
  <c r="BM88" i="1"/>
  <c r="BT88" i="1"/>
  <c r="BL88" i="1"/>
  <c r="BT94" i="1"/>
  <c r="BR93" i="1"/>
  <c r="BS91" i="1"/>
  <c r="BR91" i="1"/>
  <c r="BS95" i="1"/>
  <c r="BS93" i="1"/>
  <c r="BR96" i="1"/>
  <c r="BR92" i="1"/>
  <c r="BR94" i="1"/>
  <c r="BS92" i="1"/>
  <c r="BT96" i="1"/>
  <c r="BR95" i="1"/>
  <c r="BS94" i="1"/>
  <c r="CD171" i="5"/>
  <c r="CD173" i="5" s="1"/>
  <c r="CD80" i="5" s="1"/>
  <c r="BX55" i="5"/>
  <c r="BX67" i="5" s="1"/>
  <c r="BR175" i="5"/>
  <c r="BR174" i="5"/>
  <c r="BS177" i="5"/>
  <c r="BR185" i="5"/>
  <c r="BS176" i="5"/>
  <c r="BG76" i="5"/>
  <c r="CJ271" i="5"/>
  <c r="CA296" i="5"/>
  <c r="CB296" i="5" s="1"/>
  <c r="CF52" i="5"/>
  <c r="CF64" i="5" s="1"/>
  <c r="BD7" i="5"/>
  <c r="BD7" i="1" s="1"/>
  <c r="BI72" i="5"/>
  <c r="BI74" i="5"/>
  <c r="BM60" i="5"/>
  <c r="CD54" i="5"/>
  <c r="CD66" i="5" s="1"/>
  <c r="CD52" i="5"/>
  <c r="CD64" i="5" s="1"/>
  <c r="BV141" i="5"/>
  <c r="BM76" i="5"/>
  <c r="CE52" i="5"/>
  <c r="CE64" i="5" s="1"/>
  <c r="BM61" i="5"/>
  <c r="BF76" i="5"/>
  <c r="CD159" i="5"/>
  <c r="BX119" i="5"/>
  <c r="BD152" i="5"/>
  <c r="CD124" i="5"/>
  <c r="CD165" i="1" s="1"/>
  <c r="BD193" i="5"/>
  <c r="BY119" i="5"/>
  <c r="BO64" i="5"/>
  <c r="BP52" i="5"/>
  <c r="BO57" i="5"/>
  <c r="BO65" i="5"/>
  <c r="BY57" i="5"/>
  <c r="BY72" i="5" s="1"/>
  <c r="BY65" i="5"/>
  <c r="BO88" i="5"/>
  <c r="CA127" i="5"/>
  <c r="BU52" i="5"/>
  <c r="BV127" i="5"/>
  <c r="BV139" i="5" s="1"/>
  <c r="BD87" i="5"/>
  <c r="BZ64" i="5"/>
  <c r="BO67" i="5"/>
  <c r="BP55" i="5"/>
  <c r="CK169" i="5"/>
  <c r="CK53" i="5" s="1"/>
  <c r="CE53" i="5"/>
  <c r="BF7" i="1"/>
  <c r="BR65" i="5"/>
  <c r="AU48" i="1"/>
  <c r="AU41" i="1"/>
  <c r="BJ65" i="5"/>
  <c r="CA130" i="5"/>
  <c r="BU55" i="5"/>
  <c r="BV130" i="5"/>
  <c r="BV142" i="5" s="1"/>
  <c r="BO66" i="5"/>
  <c r="BC76" i="5"/>
  <c r="BJ57" i="5"/>
  <c r="BU53" i="5"/>
  <c r="BV53" i="5" s="1"/>
  <c r="CA128" i="5"/>
  <c r="CB128" i="5" s="1"/>
  <c r="CD296" i="5"/>
  <c r="BI75" i="5"/>
  <c r="BI68" i="5"/>
  <c r="BI7" i="5"/>
  <c r="BI7" i="1" s="1"/>
  <c r="BI58" i="5"/>
  <c r="BI61" i="5"/>
  <c r="BJ61" i="5" s="1"/>
  <c r="BI59" i="5"/>
  <c r="BI60" i="5"/>
  <c r="BJ60" i="5" s="1"/>
  <c r="AZ17" i="1"/>
  <c r="BZ88" i="5"/>
  <c r="BY88" i="5"/>
  <c r="BM17" i="1"/>
  <c r="BH76" i="5"/>
  <c r="BH17" i="1"/>
  <c r="CE164" i="5"/>
  <c r="BY124" i="5"/>
  <c r="BY165" i="1" s="1"/>
  <c r="BP53" i="5"/>
  <c r="CA129" i="5"/>
  <c r="BU54" i="5"/>
  <c r="BV54" i="5" s="1"/>
  <c r="BS75" i="5"/>
  <c r="BS7" i="5"/>
  <c r="BS68" i="5"/>
  <c r="BS59" i="5"/>
  <c r="BS58" i="5"/>
  <c r="BS278" i="5" s="1"/>
  <c r="BS73" i="5"/>
  <c r="BS71" i="5"/>
  <c r="BS74" i="5"/>
  <c r="BN76" i="5"/>
  <c r="CD128" i="5"/>
  <c r="BX53" i="5"/>
  <c r="BI71" i="5"/>
  <c r="BL7" i="5"/>
  <c r="BL75" i="5"/>
  <c r="BL68" i="5"/>
  <c r="BL59" i="5"/>
  <c r="BL61" i="5"/>
  <c r="BL60" i="5"/>
  <c r="BL58" i="5"/>
  <c r="BL278" i="5" s="1"/>
  <c r="BL73" i="5"/>
  <c r="BL74" i="5"/>
  <c r="BL71" i="5"/>
  <c r="BT66" i="5"/>
  <c r="BT57" i="5"/>
  <c r="BT73" i="5" s="1"/>
  <c r="AV41" i="1"/>
  <c r="AV48" i="1"/>
  <c r="CE67" i="5"/>
  <c r="BC17" i="1"/>
  <c r="BX66" i="5"/>
  <c r="BN17" i="1"/>
  <c r="BX88" i="5"/>
  <c r="BP66" i="5"/>
  <c r="BV128" i="5"/>
  <c r="BV140" i="5" s="1"/>
  <c r="CF129" i="5"/>
  <c r="BZ54" i="5"/>
  <c r="BZ57" i="5" s="1"/>
  <c r="AX7" i="1"/>
  <c r="BI88" i="5"/>
  <c r="BZ119" i="5"/>
  <c r="CK67" i="5"/>
  <c r="AX76" i="5"/>
  <c r="BR57" i="5"/>
  <c r="BS60" i="5" s="1"/>
  <c r="BJ88" i="5"/>
  <c r="CF164" i="5"/>
  <c r="BZ124" i="5"/>
  <c r="BZ165" i="1" s="1"/>
  <c r="BD76" i="5"/>
  <c r="CJ205" i="5"/>
  <c r="CJ164" i="5"/>
  <c r="CN224" i="5"/>
  <c r="BV221" i="5"/>
  <c r="CG209" i="5"/>
  <c r="CB209" i="5"/>
  <c r="CJ210" i="5"/>
  <c r="CN210" i="5" s="1"/>
  <c r="CH210" i="5"/>
  <c r="CH222" i="5" s="1"/>
  <c r="BJ174" i="5"/>
  <c r="BJ185" i="5"/>
  <c r="BJ175" i="5"/>
  <c r="BO185" i="5"/>
  <c r="BO174" i="5"/>
  <c r="BO177" i="5"/>
  <c r="BP177" i="5" s="1"/>
  <c r="BO175" i="5"/>
  <c r="BO176" i="5"/>
  <c r="BP176" i="5" s="1"/>
  <c r="BR177" i="5"/>
  <c r="BP183" i="5"/>
  <c r="BP173" i="5"/>
  <c r="BP80" i="5" s="1"/>
  <c r="CA171" i="5"/>
  <c r="BU173" i="5"/>
  <c r="BV171" i="5"/>
  <c r="BR176" i="5"/>
  <c r="CL168" i="5"/>
  <c r="CL173" i="5" s="1"/>
  <c r="CL80" i="5" s="1"/>
  <c r="CF173" i="5"/>
  <c r="CF80" i="5" s="1"/>
  <c r="CF88" i="5" s="1"/>
  <c r="BZ176" i="5"/>
  <c r="BZ185" i="5"/>
  <c r="BZ174" i="5"/>
  <c r="BZ177" i="5"/>
  <c r="BZ175" i="5"/>
  <c r="BY176" i="5"/>
  <c r="BY185" i="5"/>
  <c r="BY174" i="5"/>
  <c r="BY177" i="5"/>
  <c r="BY175" i="5"/>
  <c r="CJ170" i="5"/>
  <c r="CN170" i="5" s="1"/>
  <c r="CH170" i="5"/>
  <c r="CH182" i="5" s="1"/>
  <c r="CK168" i="5"/>
  <c r="CE173" i="5"/>
  <c r="CE80" i="5" s="1"/>
  <c r="CJ168" i="5"/>
  <c r="CH168" i="5"/>
  <c r="CM168" i="5"/>
  <c r="CB180" i="5"/>
  <c r="BX175" i="5"/>
  <c r="BX185" i="5"/>
  <c r="BX174" i="5"/>
  <c r="CJ130" i="5"/>
  <c r="CJ129" i="5"/>
  <c r="CL127" i="5"/>
  <c r="CK127" i="5"/>
  <c r="CJ127" i="5"/>
  <c r="BO73" i="5" l="1"/>
  <c r="BO112" i="5"/>
  <c r="BY381" i="1"/>
  <c r="BY176" i="1"/>
  <c r="BZ381" i="1"/>
  <c r="BZ176" i="1"/>
  <c r="CD381" i="1"/>
  <c r="CD176" i="1"/>
  <c r="BX96" i="1"/>
  <c r="BZ88" i="1"/>
  <c r="BZ93" i="1"/>
  <c r="BZ96" i="1"/>
  <c r="BY91" i="1"/>
  <c r="BZ91" i="1"/>
  <c r="BY92" i="1"/>
  <c r="BX93" i="1"/>
  <c r="CJ90" i="1"/>
  <c r="BS88" i="1"/>
  <c r="BY94" i="1"/>
  <c r="BZ95" i="1"/>
  <c r="BY93" i="1"/>
  <c r="BX94" i="1"/>
  <c r="BY95" i="1"/>
  <c r="BZ94" i="1"/>
  <c r="BY96" i="1"/>
  <c r="BX95" i="1"/>
  <c r="BX92" i="1"/>
  <c r="BX91" i="1"/>
  <c r="BR88" i="1"/>
  <c r="BZ92" i="1"/>
  <c r="CD55" i="5"/>
  <c r="CD67" i="5" s="1"/>
  <c r="CJ171" i="5"/>
  <c r="CK173" i="5"/>
  <c r="CK80" i="5" s="1"/>
  <c r="CK88" i="5" s="1"/>
  <c r="CG296" i="5"/>
  <c r="CH296" i="5" s="1"/>
  <c r="CJ52" i="5"/>
  <c r="CJ64" i="5" s="1"/>
  <c r="CJ124" i="5"/>
  <c r="CJ165" i="1" s="1"/>
  <c r="CN169" i="5"/>
  <c r="CN181" i="5" s="1"/>
  <c r="BS61" i="5"/>
  <c r="CJ159" i="5"/>
  <c r="CD119" i="5"/>
  <c r="CK52" i="5"/>
  <c r="CK64" i="5" s="1"/>
  <c r="CL52" i="5"/>
  <c r="CL64" i="5" s="1"/>
  <c r="BI76" i="5"/>
  <c r="BO71" i="5"/>
  <c r="BO74" i="5"/>
  <c r="CB140" i="5"/>
  <c r="BR72" i="5"/>
  <c r="BO72" i="5"/>
  <c r="BZ75" i="5"/>
  <c r="BZ68" i="5"/>
  <c r="BZ7" i="5"/>
  <c r="BZ58" i="5"/>
  <c r="BZ278" i="5" s="1"/>
  <c r="BZ61" i="5"/>
  <c r="BZ59" i="5"/>
  <c r="BZ60" i="5"/>
  <c r="BZ74" i="5"/>
  <c r="BZ72" i="5"/>
  <c r="BZ71" i="5"/>
  <c r="BJ75" i="5"/>
  <c r="BJ68" i="5"/>
  <c r="BJ58" i="5"/>
  <c r="BJ59" i="5"/>
  <c r="BJ73" i="5"/>
  <c r="BJ74" i="5"/>
  <c r="BJ71" i="5"/>
  <c r="BJ72" i="5"/>
  <c r="BU64" i="5"/>
  <c r="BV52" i="5"/>
  <c r="CJ55" i="5"/>
  <c r="BV65" i="5"/>
  <c r="CG127" i="5"/>
  <c r="CA52" i="5"/>
  <c r="CB127" i="5"/>
  <c r="CB139" i="5" s="1"/>
  <c r="BX57" i="5"/>
  <c r="BY60" i="5" s="1"/>
  <c r="BX65" i="5"/>
  <c r="BP65" i="5"/>
  <c r="BF17" i="1"/>
  <c r="BR7" i="5"/>
  <c r="BR75" i="5"/>
  <c r="BR68" i="5"/>
  <c r="BR59" i="5"/>
  <c r="BR60" i="5"/>
  <c r="BR58" i="5"/>
  <c r="BR278" i="5" s="1"/>
  <c r="BR61" i="5"/>
  <c r="BR73" i="5"/>
  <c r="BR74" i="5"/>
  <c r="BR71" i="5"/>
  <c r="BV66" i="5"/>
  <c r="CD88" i="5"/>
  <c r="BZ73" i="5"/>
  <c r="BZ66" i="5"/>
  <c r="CD53" i="5"/>
  <c r="CJ128" i="5"/>
  <c r="BD17" i="1"/>
  <c r="BJ7" i="5"/>
  <c r="BJ7" i="1" s="1"/>
  <c r="BY7" i="5"/>
  <c r="BY68" i="5"/>
  <c r="BY75" i="5"/>
  <c r="BY59" i="5"/>
  <c r="BY58" i="5"/>
  <c r="BY278" i="5" s="1"/>
  <c r="BY73" i="5"/>
  <c r="BY74" i="5"/>
  <c r="BY71" i="5"/>
  <c r="BT7" i="5"/>
  <c r="BT68" i="5"/>
  <c r="BT75" i="5"/>
  <c r="BT61" i="5"/>
  <c r="BT59" i="5"/>
  <c r="BT60" i="5"/>
  <c r="BT58" i="5"/>
  <c r="BT278" i="5" s="1"/>
  <c r="BT74" i="5"/>
  <c r="BT72" i="5"/>
  <c r="BT71" i="5"/>
  <c r="CG129" i="5"/>
  <c r="CA54" i="5"/>
  <c r="CB54" i="5" s="1"/>
  <c r="CB129" i="5"/>
  <c r="CB141" i="5" s="1"/>
  <c r="CL88" i="5"/>
  <c r="CL129" i="5"/>
  <c r="CL54" i="5" s="1"/>
  <c r="CF54" i="5"/>
  <c r="BL76" i="5"/>
  <c r="CK164" i="5"/>
  <c r="CK124" i="5" s="1"/>
  <c r="CK165" i="1" s="1"/>
  <c r="CE124" i="5"/>
  <c r="CE165" i="1" s="1"/>
  <c r="BS7" i="1"/>
  <c r="CJ296" i="5"/>
  <c r="CJ54" i="5"/>
  <c r="BP88" i="5"/>
  <c r="CE88" i="5"/>
  <c r="CL164" i="5"/>
  <c r="CL124" i="5" s="1"/>
  <c r="CL165" i="1" s="1"/>
  <c r="CF124" i="5"/>
  <c r="CF165" i="1" s="1"/>
  <c r="CE65" i="5"/>
  <c r="CL119" i="5"/>
  <c r="CF119" i="5"/>
  <c r="BL7" i="1"/>
  <c r="BS76" i="5"/>
  <c r="CA53" i="5"/>
  <c r="CG128" i="5"/>
  <c r="BU67" i="5"/>
  <c r="BV55" i="5"/>
  <c r="CK65" i="5"/>
  <c r="CE57" i="5"/>
  <c r="CE72" i="5" s="1"/>
  <c r="BO7" i="5"/>
  <c r="BO7" i="1" s="1"/>
  <c r="BO68" i="5"/>
  <c r="BO75" i="5"/>
  <c r="BO58" i="5"/>
  <c r="BO278" i="5" s="1"/>
  <c r="BO61" i="5"/>
  <c r="BP61" i="5" s="1"/>
  <c r="BO59" i="5"/>
  <c r="BO60" i="5"/>
  <c r="BP60" i="5" s="1"/>
  <c r="CK119" i="5"/>
  <c r="CE119" i="5"/>
  <c r="BX176" i="5"/>
  <c r="BU80" i="5"/>
  <c r="BU66" i="5"/>
  <c r="BI17" i="1"/>
  <c r="BU57" i="5"/>
  <c r="BU65" i="5"/>
  <c r="CG130" i="5"/>
  <c r="CA55" i="5"/>
  <c r="CB130" i="5"/>
  <c r="CB142" i="5" s="1"/>
  <c r="BP67" i="5"/>
  <c r="BP57" i="5"/>
  <c r="BP72" i="5" s="1"/>
  <c r="BP64" i="5"/>
  <c r="CN222" i="5"/>
  <c r="CB221" i="5"/>
  <c r="CM209" i="5"/>
  <c r="CH209" i="5"/>
  <c r="BU177" i="5"/>
  <c r="BV177" i="5" s="1"/>
  <c r="BU175" i="5"/>
  <c r="BU185" i="5"/>
  <c r="BU174" i="5"/>
  <c r="BU176" i="5"/>
  <c r="BV176" i="5" s="1"/>
  <c r="CG171" i="5"/>
  <c r="CB171" i="5"/>
  <c r="CA173" i="5"/>
  <c r="BV183" i="5"/>
  <c r="BV173" i="5"/>
  <c r="BV80" i="5" s="1"/>
  <c r="BX177" i="5"/>
  <c r="BP174" i="5"/>
  <c r="BP185" i="5"/>
  <c r="BP175" i="5"/>
  <c r="CF175" i="5"/>
  <c r="CF176" i="5"/>
  <c r="CF185" i="5"/>
  <c r="CF174" i="5"/>
  <c r="CF177" i="5"/>
  <c r="CL174" i="5"/>
  <c r="CL175" i="5"/>
  <c r="CL185" i="5"/>
  <c r="CE177" i="5"/>
  <c r="CE175" i="5"/>
  <c r="CE176" i="5"/>
  <c r="CE185" i="5"/>
  <c r="CE174" i="5"/>
  <c r="CN182" i="5"/>
  <c r="CJ173" i="5"/>
  <c r="CN168" i="5"/>
  <c r="CH180" i="5"/>
  <c r="CD174" i="5"/>
  <c r="CD175" i="5"/>
  <c r="CD185" i="5"/>
  <c r="BU71" i="5" l="1"/>
  <c r="BU112" i="5"/>
  <c r="CL381" i="1"/>
  <c r="CL176" i="1"/>
  <c r="CE381" i="1"/>
  <c r="CE176" i="1"/>
  <c r="CF381" i="1"/>
  <c r="CF176" i="1"/>
  <c r="CK381" i="1"/>
  <c r="CK176" i="1"/>
  <c r="CJ381" i="1"/>
  <c r="CJ176" i="1"/>
  <c r="CD91" i="1"/>
  <c r="CD93" i="1"/>
  <c r="CF95" i="1"/>
  <c r="CF94" i="1"/>
  <c r="CF96" i="1"/>
  <c r="CE95" i="1"/>
  <c r="CE94" i="1"/>
  <c r="CE92" i="1"/>
  <c r="CF93" i="1"/>
  <c r="CD92" i="1"/>
  <c r="CF92" i="1"/>
  <c r="CD94" i="1"/>
  <c r="CF88" i="1"/>
  <c r="CD95" i="1"/>
  <c r="BY88" i="1"/>
  <c r="CF91" i="1"/>
  <c r="BX88" i="1"/>
  <c r="CE96" i="1"/>
  <c r="CE93" i="1"/>
  <c r="CE91" i="1"/>
  <c r="CD96" i="1"/>
  <c r="CK174" i="5"/>
  <c r="CK175" i="5"/>
  <c r="CK185" i="5"/>
  <c r="CL177" i="5"/>
  <c r="CL176" i="5"/>
  <c r="BP71" i="5"/>
  <c r="CM296" i="5"/>
  <c r="CN296" i="5" s="1"/>
  <c r="CK57" i="5"/>
  <c r="CK72" i="5" s="1"/>
  <c r="CL57" i="5"/>
  <c r="CL73" i="5" s="1"/>
  <c r="BU72" i="5"/>
  <c r="CJ119" i="5"/>
  <c r="BO76" i="5"/>
  <c r="BY61" i="5"/>
  <c r="BT76" i="5"/>
  <c r="BU74" i="5"/>
  <c r="BX72" i="5"/>
  <c r="CB66" i="5"/>
  <c r="BU88" i="5"/>
  <c r="BP68" i="5"/>
  <c r="BP75" i="5"/>
  <c r="BP58" i="5"/>
  <c r="BP59" i="5"/>
  <c r="BP73" i="5"/>
  <c r="BP74" i="5"/>
  <c r="CE7" i="5"/>
  <c r="CE75" i="5"/>
  <c r="CE68" i="5"/>
  <c r="CE59" i="5"/>
  <c r="CE58" i="5"/>
  <c r="CE278" i="5" s="1"/>
  <c r="CE73" i="5"/>
  <c r="CE74" i="5"/>
  <c r="CE71" i="5"/>
  <c r="CA65" i="5"/>
  <c r="CM129" i="5"/>
  <c r="CM54" i="5" s="1"/>
  <c r="CN54" i="5" s="1"/>
  <c r="CG54" i="5"/>
  <c r="CH129" i="5"/>
  <c r="CH141" i="5" s="1"/>
  <c r="CB53" i="5"/>
  <c r="BO17" i="1"/>
  <c r="BS17" i="1"/>
  <c r="CF66" i="5"/>
  <c r="CF57" i="5"/>
  <c r="BR76" i="5"/>
  <c r="BV57" i="5"/>
  <c r="BV74" i="5" s="1"/>
  <c r="BV64" i="5"/>
  <c r="CJ67" i="5"/>
  <c r="CL66" i="5"/>
  <c r="BT7" i="1"/>
  <c r="BR7" i="1"/>
  <c r="CA57" i="5"/>
  <c r="CA64" i="5"/>
  <c r="CB52" i="5"/>
  <c r="CD176" i="5"/>
  <c r="CA80" i="5"/>
  <c r="BU7" i="5"/>
  <c r="BU68" i="5"/>
  <c r="BU75" i="5"/>
  <c r="BU61" i="5"/>
  <c r="BV61" i="5" s="1"/>
  <c r="BU59" i="5"/>
  <c r="BU60" i="5"/>
  <c r="BV60" i="5" s="1"/>
  <c r="BU58" i="5"/>
  <c r="BU278" i="5" s="1"/>
  <c r="CG53" i="5"/>
  <c r="CH53" i="5" s="1"/>
  <c r="CM128" i="5"/>
  <c r="CM53" i="5" s="1"/>
  <c r="CJ66" i="5"/>
  <c r="CH128" i="5"/>
  <c r="CH140" i="5" s="1"/>
  <c r="CA67" i="5"/>
  <c r="CB55" i="5"/>
  <c r="BP7" i="5"/>
  <c r="BP7" i="1" s="1"/>
  <c r="BY76" i="5"/>
  <c r="CJ53" i="5"/>
  <c r="BX75" i="5"/>
  <c r="BX7" i="5"/>
  <c r="BX68" i="5"/>
  <c r="BX61" i="5"/>
  <c r="BX58" i="5"/>
  <c r="BX278" i="5" s="1"/>
  <c r="BX59" i="5"/>
  <c r="BX60" i="5"/>
  <c r="BX71" i="5"/>
  <c r="BX74" i="5"/>
  <c r="BX73" i="5"/>
  <c r="CM127" i="5"/>
  <c r="CG52" i="5"/>
  <c r="CH127" i="5"/>
  <c r="CH139" i="5" s="1"/>
  <c r="BZ7" i="1"/>
  <c r="CA66" i="5"/>
  <c r="CK176" i="5"/>
  <c r="CJ80" i="5"/>
  <c r="BV88" i="5"/>
  <c r="CM130" i="5"/>
  <c r="CG55" i="5"/>
  <c r="CH130" i="5"/>
  <c r="CH142" i="5" s="1"/>
  <c r="BU73" i="5"/>
  <c r="BV67" i="5"/>
  <c r="BL17" i="1"/>
  <c r="BY7" i="1"/>
  <c r="CD65" i="5"/>
  <c r="CD57" i="5"/>
  <c r="CE61" i="5" s="1"/>
  <c r="BZ76" i="5"/>
  <c r="BJ17" i="1"/>
  <c r="BJ76" i="5"/>
  <c r="CH221" i="5"/>
  <c r="CN209" i="5"/>
  <c r="BV174" i="5"/>
  <c r="BV185" i="5"/>
  <c r="BV175" i="5"/>
  <c r="CA176" i="5"/>
  <c r="CB176" i="5" s="1"/>
  <c r="CA174" i="5"/>
  <c r="CA177" i="5"/>
  <c r="CB177" i="5" s="1"/>
  <c r="CA175" i="5"/>
  <c r="CA185" i="5"/>
  <c r="CB183" i="5"/>
  <c r="CB173" i="5"/>
  <c r="CB80" i="5" s="1"/>
  <c r="CD177" i="5"/>
  <c r="CM171" i="5"/>
  <c r="CH171" i="5"/>
  <c r="CG173" i="5"/>
  <c r="CN180" i="5"/>
  <c r="CK177" i="5"/>
  <c r="CJ185" i="5"/>
  <c r="CJ174" i="5"/>
  <c r="CJ175" i="5"/>
  <c r="CA71" i="5" l="1"/>
  <c r="CA112" i="5"/>
  <c r="CJ94" i="1"/>
  <c r="CL91" i="1"/>
  <c r="CL94" i="1"/>
  <c r="CK93" i="1"/>
  <c r="CL92" i="1"/>
  <c r="CK91" i="1"/>
  <c r="CK92" i="1"/>
  <c r="CE88" i="1"/>
  <c r="CK94" i="1"/>
  <c r="CL95" i="1"/>
  <c r="CJ95" i="1"/>
  <c r="CJ93" i="1"/>
  <c r="CJ96" i="1"/>
  <c r="CJ92" i="1"/>
  <c r="CK96" i="1"/>
  <c r="CK95" i="1"/>
  <c r="CD88" i="1"/>
  <c r="CL88" i="1"/>
  <c r="CL93" i="1"/>
  <c r="CL96" i="1"/>
  <c r="CJ91" i="1"/>
  <c r="CL75" i="5"/>
  <c r="CL74" i="5"/>
  <c r="CL71" i="5"/>
  <c r="CL7" i="5"/>
  <c r="CL7" i="1" s="1"/>
  <c r="CL72" i="5"/>
  <c r="CL58" i="5"/>
  <c r="CL278" i="5" s="1"/>
  <c r="CN129" i="5"/>
  <c r="CN141" i="5" s="1"/>
  <c r="CK59" i="5"/>
  <c r="CK58" i="5"/>
  <c r="CK278" i="5" s="1"/>
  <c r="CK68" i="5"/>
  <c r="CK75" i="5"/>
  <c r="CL60" i="5"/>
  <c r="CK74" i="5"/>
  <c r="CK7" i="5"/>
  <c r="CK7" i="1" s="1"/>
  <c r="BV71" i="5"/>
  <c r="CK73" i="5"/>
  <c r="CK71" i="5"/>
  <c r="CL61" i="5"/>
  <c r="CA73" i="5"/>
  <c r="BX76" i="5"/>
  <c r="CN128" i="5"/>
  <c r="CN140" i="5" s="1"/>
  <c r="CA72" i="5"/>
  <c r="BP76" i="5"/>
  <c r="CE76" i="5"/>
  <c r="BU76" i="5"/>
  <c r="CH65" i="5"/>
  <c r="CB64" i="5"/>
  <c r="BT17" i="1"/>
  <c r="CF73" i="5"/>
  <c r="CB57" i="5"/>
  <c r="CB71" i="5" s="1"/>
  <c r="CB65" i="5"/>
  <c r="CG64" i="5"/>
  <c r="CG57" i="5"/>
  <c r="CH52" i="5"/>
  <c r="CL68" i="5"/>
  <c r="CG66" i="5"/>
  <c r="CE60" i="5"/>
  <c r="CJ176" i="5"/>
  <c r="CG80" i="5"/>
  <c r="CM52" i="5"/>
  <c r="CN127" i="5"/>
  <c r="CN139" i="5" s="1"/>
  <c r="BY17" i="1"/>
  <c r="CG67" i="5"/>
  <c r="CH55" i="5"/>
  <c r="BP17" i="1"/>
  <c r="CA7" i="5"/>
  <c r="CB7" i="5" s="1"/>
  <c r="CA75" i="5"/>
  <c r="CA68" i="5"/>
  <c r="CA58" i="5"/>
  <c r="CA278" i="5" s="1"/>
  <c r="CA61" i="5"/>
  <c r="CB61" i="5" s="1"/>
  <c r="CA59" i="5"/>
  <c r="CA60" i="5"/>
  <c r="CB60" i="5" s="1"/>
  <c r="BV75" i="5"/>
  <c r="BV68" i="5"/>
  <c r="BV58" i="5"/>
  <c r="BV59" i="5"/>
  <c r="BV72" i="5"/>
  <c r="BV73" i="5"/>
  <c r="CM66" i="5"/>
  <c r="CM65" i="5"/>
  <c r="CM55" i="5"/>
  <c r="CN130" i="5"/>
  <c r="CN142" i="5" s="1"/>
  <c r="BX7" i="1"/>
  <c r="CB67" i="5"/>
  <c r="BU7" i="1"/>
  <c r="BV7" i="5"/>
  <c r="CA74" i="5"/>
  <c r="CG65" i="5"/>
  <c r="CA88" i="5"/>
  <c r="CH54" i="5"/>
  <c r="BR17" i="1"/>
  <c r="CF7" i="5"/>
  <c r="CF75" i="5"/>
  <c r="CF68" i="5"/>
  <c r="CF61" i="5"/>
  <c r="CF59" i="5"/>
  <c r="CF60" i="5"/>
  <c r="CF58" i="5"/>
  <c r="CF278" i="5" s="1"/>
  <c r="CF74" i="5"/>
  <c r="CF72" i="5"/>
  <c r="CF71" i="5"/>
  <c r="CB88" i="5"/>
  <c r="CD7" i="5"/>
  <c r="CD75" i="5"/>
  <c r="CD60" i="5"/>
  <c r="CD58" i="5"/>
  <c r="CD278" i="5" s="1"/>
  <c r="CD68" i="5"/>
  <c r="CD61" i="5"/>
  <c r="CD59" i="5"/>
  <c r="CD71" i="5"/>
  <c r="CD74" i="5"/>
  <c r="CD73" i="5"/>
  <c r="CD72" i="5"/>
  <c r="CJ88" i="5"/>
  <c r="BZ17" i="1"/>
  <c r="CJ65" i="5"/>
  <c r="CN53" i="5"/>
  <c r="CJ57" i="5"/>
  <c r="CJ72" i="5" s="1"/>
  <c r="CL59" i="5"/>
  <c r="CE7" i="1"/>
  <c r="CN221" i="5"/>
  <c r="CG176" i="5"/>
  <c r="CH176" i="5" s="1"/>
  <c r="CG177" i="5"/>
  <c r="CH177" i="5" s="1"/>
  <c r="CG185" i="5"/>
  <c r="CG174" i="5"/>
  <c r="CG175" i="5"/>
  <c r="CH183" i="5"/>
  <c r="CH173" i="5"/>
  <c r="CH80" i="5" s="1"/>
  <c r="CN171" i="5"/>
  <c r="CM173" i="5"/>
  <c r="CM80" i="5" s="1"/>
  <c r="CB175" i="5"/>
  <c r="CB174" i="5"/>
  <c r="CB185" i="5"/>
  <c r="CJ177" i="5"/>
  <c r="CG74" i="5" l="1"/>
  <c r="CG112" i="5"/>
  <c r="CK88" i="1"/>
  <c r="CJ88" i="1"/>
  <c r="CL76" i="5"/>
  <c r="CK76" i="5"/>
  <c r="CA76" i="5"/>
  <c r="CB74" i="5"/>
  <c r="BV76" i="5"/>
  <c r="CG72" i="5"/>
  <c r="CG71" i="5"/>
  <c r="CD76" i="5"/>
  <c r="CH88" i="5"/>
  <c r="CB7" i="1"/>
  <c r="CH67" i="5"/>
  <c r="CM57" i="5"/>
  <c r="CM64" i="5"/>
  <c r="CN52" i="5"/>
  <c r="CB72" i="5"/>
  <c r="BX17" i="1"/>
  <c r="CG88" i="5"/>
  <c r="CH64" i="5"/>
  <c r="CH57" i="5"/>
  <c r="CH74" i="5" s="1"/>
  <c r="CB68" i="5"/>
  <c r="CB75" i="5"/>
  <c r="CB59" i="5"/>
  <c r="CB58" i="5"/>
  <c r="CB73" i="5"/>
  <c r="CE17" i="1"/>
  <c r="CD7" i="1"/>
  <c r="BV7" i="1"/>
  <c r="CG68" i="5"/>
  <c r="CG75" i="5"/>
  <c r="CG7" i="5"/>
  <c r="CH7" i="5" s="1"/>
  <c r="CH7" i="1" s="1"/>
  <c r="CG61" i="5"/>
  <c r="CH61" i="5" s="1"/>
  <c r="CG59" i="5"/>
  <c r="CG60" i="5"/>
  <c r="CH60" i="5" s="1"/>
  <c r="CG58" i="5"/>
  <c r="CG278" i="5" s="1"/>
  <c r="CH66" i="5"/>
  <c r="CM67" i="5"/>
  <c r="CN55" i="5"/>
  <c r="BU17" i="1"/>
  <c r="CA7" i="1"/>
  <c r="CG73" i="5"/>
  <c r="CN66" i="5"/>
  <c r="CJ60" i="5"/>
  <c r="CJ7" i="5"/>
  <c r="CJ68" i="5"/>
  <c r="CJ75" i="5"/>
  <c r="CJ59" i="5"/>
  <c r="CJ58" i="5"/>
  <c r="CJ278" i="5" s="1"/>
  <c r="CJ61" i="5"/>
  <c r="CJ71" i="5"/>
  <c r="CK61" i="5"/>
  <c r="CJ74" i="5"/>
  <c r="CK60" i="5"/>
  <c r="CJ73" i="5"/>
  <c r="CM88" i="5"/>
  <c r="CN65" i="5"/>
  <c r="CF76" i="5"/>
  <c r="CF7" i="1"/>
  <c r="CK17" i="1"/>
  <c r="CH185" i="5"/>
  <c r="CH174" i="5"/>
  <c r="CH175" i="5"/>
  <c r="CM174" i="5"/>
  <c r="CM177" i="5"/>
  <c r="CN177" i="5" s="1"/>
  <c r="CM185" i="5"/>
  <c r="CM175" i="5"/>
  <c r="CM176" i="5"/>
  <c r="CN176" i="5" s="1"/>
  <c r="CN183" i="5"/>
  <c r="CN173" i="5"/>
  <c r="CN80" i="5" s="1"/>
  <c r="CM71" i="5" l="1"/>
  <c r="CM112" i="5"/>
  <c r="CG76" i="5"/>
  <c r="CB76" i="5"/>
  <c r="CN57" i="5"/>
  <c r="CN59" i="5" s="1"/>
  <c r="CM74" i="5"/>
  <c r="CH71" i="5"/>
  <c r="CG7" i="1"/>
  <c r="CF17" i="1"/>
  <c r="CJ76" i="5"/>
  <c r="CA17" i="1"/>
  <c r="CH59" i="5"/>
  <c r="CH68" i="5"/>
  <c r="CH75" i="5"/>
  <c r="CH58" i="5"/>
  <c r="CH72" i="5"/>
  <c r="CB17" i="1"/>
  <c r="CN64" i="5"/>
  <c r="CH73" i="5"/>
  <c r="BV17" i="1"/>
  <c r="CL17" i="1"/>
  <c r="CN67" i="5"/>
  <c r="CN88" i="5"/>
  <c r="CJ7" i="1"/>
  <c r="CH17" i="1"/>
  <c r="CD17" i="1"/>
  <c r="CM58" i="5"/>
  <c r="CM278" i="5" s="1"/>
  <c r="CM7" i="5"/>
  <c r="CM68" i="5"/>
  <c r="CM75" i="5"/>
  <c r="CM59" i="5"/>
  <c r="CM60" i="5"/>
  <c r="CN60" i="5" s="1"/>
  <c r="CM61" i="5"/>
  <c r="CN61" i="5" s="1"/>
  <c r="CM73" i="5"/>
  <c r="CM72" i="5"/>
  <c r="CN185" i="5"/>
  <c r="CN174" i="5"/>
  <c r="CN175" i="5"/>
  <c r="CN68" i="5" l="1"/>
  <c r="CN71" i="5"/>
  <c r="CN72" i="5"/>
  <c r="CN73" i="5"/>
  <c r="CN75" i="5"/>
  <c r="CN74" i="5"/>
  <c r="CN58" i="5"/>
  <c r="CM76" i="5"/>
  <c r="CH76" i="5"/>
  <c r="CM7" i="1"/>
  <c r="CN7" i="5"/>
  <c r="CJ17" i="1"/>
  <c r="CG17" i="1"/>
  <c r="CN76" i="5" l="1"/>
  <c r="CM17" i="1"/>
  <c r="CN7" i="1"/>
  <c r="CN17" i="1" l="1"/>
  <c r="AR303" i="5" l="1"/>
  <c r="AR299" i="5"/>
  <c r="D2" i="5" l="1"/>
  <c r="D5" i="5" s="1"/>
  <c r="D9" i="5"/>
  <c r="D17" i="5" s="1"/>
  <c r="D39" i="5"/>
  <c r="D52" i="5"/>
  <c r="D53" i="5"/>
  <c r="D54" i="5"/>
  <c r="D55" i="5"/>
  <c r="D57" i="5"/>
  <c r="D82" i="5"/>
  <c r="D132" i="5"/>
  <c r="D173" i="5"/>
  <c r="D191" i="5" s="1"/>
  <c r="D214" i="5"/>
  <c r="D229" i="5" s="1"/>
  <c r="D242" i="5"/>
  <c r="D256" i="5" s="1"/>
  <c r="D277" i="5"/>
  <c r="D284" i="5" s="1"/>
  <c r="D7" i="1"/>
  <c r="AB303" i="5"/>
  <c r="AB299" i="5"/>
  <c r="AC303" i="5"/>
  <c r="AC299" i="5"/>
  <c r="AD303" i="5"/>
  <c r="AD299" i="5"/>
  <c r="AF303" i="5"/>
  <c r="AF299" i="5"/>
  <c r="AE286" i="5"/>
  <c r="AH303" i="5"/>
  <c r="AH299" i="5"/>
  <c r="AH291" i="5"/>
  <c r="AI299" i="5"/>
  <c r="AI303" i="5"/>
  <c r="AJ303" i="5"/>
  <c r="AJ299" i="5"/>
  <c r="AL303" i="5"/>
  <c r="AL299" i="5"/>
  <c r="AK286" i="5"/>
  <c r="AN303" i="5"/>
  <c r="AN299" i="5"/>
  <c r="AO303" i="5"/>
  <c r="AO299" i="5"/>
  <c r="AP303" i="5"/>
  <c r="AP299" i="5"/>
  <c r="AQ286" i="5"/>
  <c r="AW286" i="5" s="1"/>
  <c r="BC286" i="5" s="1"/>
  <c r="BI286" i="5" s="1"/>
  <c r="BO286" i="5" s="1"/>
  <c r="BU286" i="5" s="1"/>
  <c r="CA286" i="5" s="1"/>
  <c r="CG286" i="5" s="1"/>
  <c r="CM286" i="5" s="1"/>
  <c r="AT303" i="5"/>
  <c r="AT299" i="5"/>
  <c r="AT291" i="5"/>
  <c r="AT286" i="5"/>
  <c r="AU303" i="5"/>
  <c r="BA303" i="5" s="1"/>
  <c r="BG303" i="5" s="1"/>
  <c r="BM303" i="5" s="1"/>
  <c r="BS303" i="5" s="1"/>
  <c r="BY303" i="5" s="1"/>
  <c r="CE303" i="5" s="1"/>
  <c r="CK303" i="5" s="1"/>
  <c r="AU299" i="5"/>
  <c r="BA299" i="5" s="1"/>
  <c r="BA301" i="5" s="1"/>
  <c r="AV303" i="5"/>
  <c r="BB303" i="5" s="1"/>
  <c r="BH303" i="5" s="1"/>
  <c r="BN303" i="5" s="1"/>
  <c r="BT303" i="5" s="1"/>
  <c r="BZ303" i="5" s="1"/>
  <c r="CF303" i="5" s="1"/>
  <c r="CL303" i="5" s="1"/>
  <c r="AV299" i="5"/>
  <c r="BB299" i="5" s="1"/>
  <c r="BB301" i="5" s="1"/>
  <c r="BH299" i="5" l="1"/>
  <c r="BH301" i="5" s="1"/>
  <c r="BB46" i="5"/>
  <c r="BG299" i="5"/>
  <c r="BG301" i="5" s="1"/>
  <c r="BA46" i="5"/>
  <c r="AX286" i="5"/>
  <c r="AZ286" i="5"/>
  <c r="AZ291" i="5"/>
  <c r="AZ299" i="5"/>
  <c r="AZ301" i="5" s="1"/>
  <c r="AZ303" i="5"/>
  <c r="D155" i="5"/>
  <c r="D103" i="5" s="1"/>
  <c r="D148" i="5"/>
  <c r="D151" i="5"/>
  <c r="D149" i="5"/>
  <c r="D147" i="5"/>
  <c r="D150" i="5"/>
  <c r="D115" i="5"/>
  <c r="D122" i="5"/>
  <c r="D203" i="5"/>
  <c r="D196" i="5"/>
  <c r="D104" i="5" s="1"/>
  <c r="D192" i="5"/>
  <c r="D189" i="5"/>
  <c r="D269" i="5"/>
  <c r="D40" i="5"/>
  <c r="D255" i="5"/>
  <c r="D33" i="5"/>
  <c r="D258" i="5"/>
  <c r="D257" i="5"/>
  <c r="D190" i="5"/>
  <c r="D80" i="5"/>
  <c r="D36" i="5"/>
  <c r="D79" i="5"/>
  <c r="D254" i="5"/>
  <c r="D188" i="5"/>
  <c r="D30" i="5"/>
  <c r="D22" i="5"/>
  <c r="D162" i="5"/>
  <c r="D18" i="5"/>
  <c r="D42" i="5"/>
  <c r="D243" i="5"/>
  <c r="D262" i="5"/>
  <c r="D105" i="5" s="1"/>
  <c r="D56" i="5"/>
  <c r="D83" i="5" s="1"/>
  <c r="D26" i="5"/>
  <c r="D233" i="5"/>
  <c r="D232" i="5"/>
  <c r="D289" i="5"/>
  <c r="D231" i="5"/>
  <c r="D81" i="5"/>
  <c r="D230" i="5"/>
  <c r="AE299" i="5"/>
  <c r="AQ299" i="5"/>
  <c r="AW299" i="5" s="1"/>
  <c r="AK299" i="5"/>
  <c r="BC299" i="5" l="1"/>
  <c r="BD299" i="5" s="1"/>
  <c r="BD301" i="5" s="1"/>
  <c r="AW301" i="5"/>
  <c r="BD286" i="5"/>
  <c r="BF286" i="5"/>
  <c r="AZ46" i="5"/>
  <c r="BF291" i="5"/>
  <c r="BL291" i="5" s="1"/>
  <c r="BF303" i="5"/>
  <c r="BA49" i="1"/>
  <c r="BA44" i="1"/>
  <c r="BM299" i="5"/>
  <c r="BM301" i="5" s="1"/>
  <c r="BG46" i="5"/>
  <c r="BF299" i="5"/>
  <c r="BF301" i="5" s="1"/>
  <c r="BB49" i="1"/>
  <c r="BB44" i="1"/>
  <c r="AX299" i="5"/>
  <c r="AX301" i="5" s="1"/>
  <c r="BN299" i="5"/>
  <c r="BN301" i="5" s="1"/>
  <c r="BH46" i="5"/>
  <c r="D84" i="5"/>
  <c r="D95" i="5" s="1"/>
  <c r="D152" i="5"/>
  <c r="D44" i="5"/>
  <c r="D48" i="5"/>
  <c r="D49" i="5" s="1"/>
  <c r="D193" i="5"/>
  <c r="D259" i="5"/>
  <c r="D234" i="5"/>
  <c r="D43" i="5"/>
  <c r="D97" i="5" l="1"/>
  <c r="BI299" i="5"/>
  <c r="BJ299" i="5" s="1"/>
  <c r="BJ301" i="5" s="1"/>
  <c r="BC301" i="5"/>
  <c r="D98" i="5"/>
  <c r="D96" i="5"/>
  <c r="D99" i="5"/>
  <c r="BL299" i="5"/>
  <c r="BL301" i="5" s="1"/>
  <c r="BL303" i="5"/>
  <c r="AZ49" i="1"/>
  <c r="AZ44" i="1"/>
  <c r="BG44" i="1"/>
  <c r="BG49" i="1"/>
  <c r="BL286" i="5"/>
  <c r="BJ286" i="5"/>
  <c r="BF46" i="5"/>
  <c r="BH44" i="1"/>
  <c r="BH49" i="1"/>
  <c r="BS299" i="5"/>
  <c r="BM46" i="5"/>
  <c r="BT299" i="5"/>
  <c r="BN46" i="5"/>
  <c r="BR291" i="5"/>
  <c r="D106" i="5" l="1"/>
  <c r="D107" i="5" s="1"/>
  <c r="BT301" i="5"/>
  <c r="BT46" i="5"/>
  <c r="BS301" i="5"/>
  <c r="BS46" i="5"/>
  <c r="BO299" i="5"/>
  <c r="BP299" i="5" s="1"/>
  <c r="BP301" i="5" s="1"/>
  <c r="BI301" i="5"/>
  <c r="D100" i="5"/>
  <c r="BZ299" i="5"/>
  <c r="BM44" i="1"/>
  <c r="BM49" i="1"/>
  <c r="BF44" i="1"/>
  <c r="BF49" i="1"/>
  <c r="BR303" i="5"/>
  <c r="BY299" i="5"/>
  <c r="BN49" i="1"/>
  <c r="BN44" i="1"/>
  <c r="BP286" i="5"/>
  <c r="BR286" i="5"/>
  <c r="BL46" i="5"/>
  <c r="BR299" i="5"/>
  <c r="BR301" i="5" s="1"/>
  <c r="BX291" i="5"/>
  <c r="AR296" i="5"/>
  <c r="AL296" i="5"/>
  <c r="AF296" i="5"/>
  <c r="Z296" i="5"/>
  <c r="T296" i="5"/>
  <c r="N296" i="5"/>
  <c r="H296" i="5"/>
  <c r="H301" i="5" s="1"/>
  <c r="AR283" i="5"/>
  <c r="AL283" i="5"/>
  <c r="AF283" i="5"/>
  <c r="Z283" i="5"/>
  <c r="T283" i="5"/>
  <c r="N283" i="5"/>
  <c r="H283" i="5"/>
  <c r="AU277" i="5"/>
  <c r="BA277" i="5" s="1"/>
  <c r="AT277" i="5"/>
  <c r="AQ277" i="5"/>
  <c r="AW277" i="5" s="1"/>
  <c r="AP277" i="5"/>
  <c r="AO277" i="5"/>
  <c r="AN277" i="5"/>
  <c r="AK277" i="5"/>
  <c r="AJ277" i="5"/>
  <c r="AI277" i="5"/>
  <c r="AH277" i="5"/>
  <c r="AE277" i="5"/>
  <c r="AD277" i="5"/>
  <c r="AC277" i="5"/>
  <c r="AB277" i="5"/>
  <c r="Y277" i="5"/>
  <c r="X277" i="5"/>
  <c r="W277" i="5"/>
  <c r="V277" i="5"/>
  <c r="S277" i="5"/>
  <c r="R277" i="5"/>
  <c r="Q277" i="5"/>
  <c r="P277" i="5"/>
  <c r="M277" i="5"/>
  <c r="L277" i="5"/>
  <c r="K277" i="5"/>
  <c r="J277" i="5"/>
  <c r="G277" i="5"/>
  <c r="F277" i="5"/>
  <c r="E277" i="5"/>
  <c r="AV277" i="5"/>
  <c r="BB277" i="5" s="1"/>
  <c r="AQ303" i="5"/>
  <c r="AW303" i="5" s="1"/>
  <c r="AK303" i="5"/>
  <c r="AE303" i="5"/>
  <c r="AV301" i="5"/>
  <c r="AU301" i="5"/>
  <c r="AT301" i="5"/>
  <c r="AQ301" i="5"/>
  <c r="AP301" i="5"/>
  <c r="AO301" i="5"/>
  <c r="AN301" i="5"/>
  <c r="AK301" i="5"/>
  <c r="AJ301" i="5"/>
  <c r="AI301" i="5"/>
  <c r="AH301" i="5"/>
  <c r="AE301" i="5"/>
  <c r="AD301" i="5"/>
  <c r="AC301" i="5"/>
  <c r="AB301" i="5"/>
  <c r="Y301" i="5"/>
  <c r="X301" i="5"/>
  <c r="W301" i="5"/>
  <c r="V301" i="5"/>
  <c r="AD119" i="5"/>
  <c r="AD46" i="5" s="1"/>
  <c r="AC119" i="5"/>
  <c r="AC46" i="5" s="1"/>
  <c r="AB119" i="5"/>
  <c r="AB46" i="5" s="1"/>
  <c r="AJ119" i="5"/>
  <c r="AJ46" i="5" s="1"/>
  <c r="AI119" i="5"/>
  <c r="AI46" i="5" s="1"/>
  <c r="AH119" i="5"/>
  <c r="AH46" i="5" s="1"/>
  <c r="AF124" i="5"/>
  <c r="AD124" i="5"/>
  <c r="AC124" i="5"/>
  <c r="AB124" i="5"/>
  <c r="AL124" i="5"/>
  <c r="AJ124" i="5"/>
  <c r="AI124" i="5"/>
  <c r="AH124" i="5"/>
  <c r="AR124" i="5"/>
  <c r="AP124" i="5"/>
  <c r="AO124" i="5"/>
  <c r="AN124" i="5"/>
  <c r="AP119" i="5"/>
  <c r="AP46" i="5" s="1"/>
  <c r="AO119" i="5"/>
  <c r="AO46" i="5" s="1"/>
  <c r="AN119" i="5"/>
  <c r="AN46" i="5" s="1"/>
  <c r="AU124" i="5"/>
  <c r="AT124" i="5"/>
  <c r="AV124" i="5"/>
  <c r="AU119" i="5"/>
  <c r="AU46" i="5" s="1"/>
  <c r="AT119" i="5"/>
  <c r="AT46" i="5" s="1"/>
  <c r="AV119" i="5"/>
  <c r="AV46" i="5" s="1"/>
  <c r="AR114" i="5"/>
  <c r="AL114" i="5"/>
  <c r="AF114" i="5"/>
  <c r="Z114" i="5"/>
  <c r="T114" i="5"/>
  <c r="N114" i="5"/>
  <c r="H114" i="5"/>
  <c r="H121" i="5" l="1"/>
  <c r="T121" i="5"/>
  <c r="Z121" i="5"/>
  <c r="N121" i="5"/>
  <c r="BZ301" i="5"/>
  <c r="BZ46" i="5"/>
  <c r="BY301" i="5"/>
  <c r="BY46" i="5"/>
  <c r="BU299" i="5"/>
  <c r="BV299" i="5" s="1"/>
  <c r="BV301" i="5" s="1"/>
  <c r="BO301" i="5"/>
  <c r="BR46" i="5"/>
  <c r="AR297" i="5"/>
  <c r="N301" i="5"/>
  <c r="N297" i="5"/>
  <c r="BX299" i="5"/>
  <c r="BX301" i="5" s="1"/>
  <c r="BC303" i="5"/>
  <c r="AX303" i="5"/>
  <c r="T301" i="5"/>
  <c r="T297" i="5"/>
  <c r="BL44" i="1"/>
  <c r="BL49" i="1"/>
  <c r="BX303" i="5"/>
  <c r="BB8" i="5"/>
  <c r="BB8" i="1" s="1"/>
  <c r="BB283" i="5"/>
  <c r="Z301" i="5"/>
  <c r="Z297" i="5"/>
  <c r="BV286" i="5"/>
  <c r="BX286" i="5"/>
  <c r="AV44" i="1"/>
  <c r="AV45" i="1" s="1"/>
  <c r="AV46" i="1" s="1"/>
  <c r="AV49" i="1"/>
  <c r="AV50" i="1" s="1"/>
  <c r="AV51" i="1" s="1"/>
  <c r="AF297" i="5"/>
  <c r="AU49" i="1"/>
  <c r="AU50" i="1" s="1"/>
  <c r="AU51" i="1" s="1"/>
  <c r="AU44" i="1"/>
  <c r="AU45" i="1" s="1"/>
  <c r="AU46" i="1" s="1"/>
  <c r="AL297" i="5"/>
  <c r="BC277" i="5"/>
  <c r="AW283" i="5"/>
  <c r="AW8" i="5"/>
  <c r="AX277" i="5"/>
  <c r="AZ277" i="5"/>
  <c r="BS49" i="1"/>
  <c r="BS44" i="1"/>
  <c r="BT49" i="1"/>
  <c r="BT44" i="1"/>
  <c r="AT49" i="1"/>
  <c r="AT50" i="1" s="1"/>
  <c r="AT51" i="1" s="1"/>
  <c r="AT44" i="1"/>
  <c r="AT45" i="1" s="1"/>
  <c r="AT46" i="1" s="1"/>
  <c r="BA283" i="5"/>
  <c r="BA8" i="5"/>
  <c r="BA8" i="1" s="1"/>
  <c r="CE299" i="5"/>
  <c r="CF299" i="5"/>
  <c r="AW281" i="5"/>
  <c r="AW280" i="5"/>
  <c r="AW279" i="5"/>
  <c r="CD291" i="5"/>
  <c r="AH49" i="1"/>
  <c r="AH44" i="1"/>
  <c r="AI49" i="1"/>
  <c r="AI44" i="1"/>
  <c r="AJ49" i="1"/>
  <c r="AJ44" i="1"/>
  <c r="AO44" i="1"/>
  <c r="AO49" i="1"/>
  <c r="AB44" i="1"/>
  <c r="AB49" i="1"/>
  <c r="AC44" i="1"/>
  <c r="AC49" i="1"/>
  <c r="AD49" i="1"/>
  <c r="AD44" i="1"/>
  <c r="AN49" i="1"/>
  <c r="AN44" i="1"/>
  <c r="AP49" i="1"/>
  <c r="AP44" i="1"/>
  <c r="AF301" i="5"/>
  <c r="AR301" i="5"/>
  <c r="AL301" i="5"/>
  <c r="BX46" i="5" l="1"/>
  <c r="CF301" i="5"/>
  <c r="CF46" i="5"/>
  <c r="CE301" i="5"/>
  <c r="CE46" i="5"/>
  <c r="CA299" i="5"/>
  <c r="BU301" i="5"/>
  <c r="BA18" i="1"/>
  <c r="BA9" i="1"/>
  <c r="BD277" i="5"/>
  <c r="AZ283" i="5"/>
  <c r="AZ288" i="5" s="1"/>
  <c r="AZ289" i="5" s="1"/>
  <c r="AZ8" i="5"/>
  <c r="BB9" i="1"/>
  <c r="BB18" i="1"/>
  <c r="AW8" i="1"/>
  <c r="AX8" i="5"/>
  <c r="BI303" i="5"/>
  <c r="BD303" i="5"/>
  <c r="BZ44" i="1"/>
  <c r="BZ49" i="1"/>
  <c r="AX283" i="5"/>
  <c r="AW288" i="5"/>
  <c r="AW289" i="5" s="1"/>
  <c r="BR44" i="1"/>
  <c r="BR49" i="1"/>
  <c r="CL299" i="5"/>
  <c r="BC8" i="5"/>
  <c r="BC8" i="1" s="1"/>
  <c r="BC283" i="5"/>
  <c r="BC288" i="5" s="1"/>
  <c r="BC289" i="5" s="1"/>
  <c r="CD286" i="5"/>
  <c r="CB286" i="5"/>
  <c r="CD303" i="5"/>
  <c r="CD299" i="5"/>
  <c r="CD301" i="5" s="1"/>
  <c r="BY44" i="1"/>
  <c r="BY49" i="1"/>
  <c r="CK299" i="5"/>
  <c r="CJ291" i="5"/>
  <c r="G82" i="5"/>
  <c r="F82" i="5"/>
  <c r="E82" i="5"/>
  <c r="M82" i="5"/>
  <c r="L82" i="5"/>
  <c r="K82" i="5"/>
  <c r="J82" i="5"/>
  <c r="S82" i="5"/>
  <c r="R82" i="5"/>
  <c r="Q82" i="5"/>
  <c r="P82" i="5"/>
  <c r="Y82" i="5"/>
  <c r="X82" i="5"/>
  <c r="W82" i="5"/>
  <c r="V82" i="5"/>
  <c r="AE82" i="5"/>
  <c r="AD82" i="5"/>
  <c r="AC82" i="5"/>
  <c r="AB82" i="5"/>
  <c r="AI82" i="5"/>
  <c r="AJ82" i="5"/>
  <c r="AK82" i="5"/>
  <c r="AH82" i="5"/>
  <c r="AQ82" i="5"/>
  <c r="AP82" i="5"/>
  <c r="AV90" i="5" s="1"/>
  <c r="AO82" i="5"/>
  <c r="AU90" i="5" s="1"/>
  <c r="AN82" i="5"/>
  <c r="AT90" i="5" s="1"/>
  <c r="AE266" i="5"/>
  <c r="AE268" i="5" s="1"/>
  <c r="AK266" i="5"/>
  <c r="AK268" i="5" s="1"/>
  <c r="AQ266" i="5"/>
  <c r="AE200" i="5"/>
  <c r="AE202" i="5" s="1"/>
  <c r="AQ200" i="5"/>
  <c r="AK200" i="5"/>
  <c r="AK202" i="5" s="1"/>
  <c r="AF159" i="5"/>
  <c r="AL159" i="5"/>
  <c r="AR159" i="5"/>
  <c r="AR7" i="5"/>
  <c r="AR57" i="5" s="1"/>
  <c r="AL7" i="5"/>
  <c r="AL57" i="5" s="1"/>
  <c r="AF7" i="5"/>
  <c r="AF57" i="5" s="1"/>
  <c r="Z7" i="5"/>
  <c r="Z57" i="5" s="1"/>
  <c r="T7" i="5"/>
  <c r="T57" i="5" s="1"/>
  <c r="N7" i="5"/>
  <c r="N57" i="5" s="1"/>
  <c r="H7" i="5"/>
  <c r="H57" i="5" s="1"/>
  <c r="H122" i="5" s="1"/>
  <c r="AR8" i="5"/>
  <c r="AR277" i="5" s="1"/>
  <c r="AX279" i="5" s="1"/>
  <c r="AL8" i="5"/>
  <c r="AL277" i="5" s="1"/>
  <c r="AF8" i="5"/>
  <c r="AF277" i="5" s="1"/>
  <c r="Z8" i="5"/>
  <c r="Z277" i="5" s="1"/>
  <c r="T8" i="5"/>
  <c r="T277" i="5" s="1"/>
  <c r="N8" i="5"/>
  <c r="N277" i="5" s="1"/>
  <c r="H8" i="5"/>
  <c r="H277" i="5" s="1"/>
  <c r="G57" i="5"/>
  <c r="G122" i="5" s="1"/>
  <c r="F57" i="5"/>
  <c r="F122" i="5" s="1"/>
  <c r="E57" i="5"/>
  <c r="E122" i="5" s="1"/>
  <c r="G55" i="5"/>
  <c r="F55" i="5"/>
  <c r="E55" i="5"/>
  <c r="G54" i="5"/>
  <c r="F54" i="5"/>
  <c r="E54" i="5"/>
  <c r="G53" i="5"/>
  <c r="F53" i="5"/>
  <c r="E53" i="5"/>
  <c r="G52" i="5"/>
  <c r="F52" i="5"/>
  <c r="E52" i="5"/>
  <c r="M57" i="5"/>
  <c r="L57" i="5"/>
  <c r="K57" i="5"/>
  <c r="J57" i="5"/>
  <c r="J117" i="5" s="1"/>
  <c r="M55" i="5"/>
  <c r="L55" i="5"/>
  <c r="K55" i="5"/>
  <c r="J55" i="5"/>
  <c r="M54" i="5"/>
  <c r="L54" i="5"/>
  <c r="K54" i="5"/>
  <c r="J54" i="5"/>
  <c r="M53" i="5"/>
  <c r="L53" i="5"/>
  <c r="K53" i="5"/>
  <c r="J53" i="5"/>
  <c r="M52" i="5"/>
  <c r="L52" i="5"/>
  <c r="K52" i="5"/>
  <c r="J52" i="5"/>
  <c r="S57" i="5"/>
  <c r="R57" i="5"/>
  <c r="Q57" i="5"/>
  <c r="P57" i="5"/>
  <c r="S55" i="5"/>
  <c r="R55" i="5"/>
  <c r="Q55" i="5"/>
  <c r="P55" i="5"/>
  <c r="S54" i="5"/>
  <c r="R54" i="5"/>
  <c r="Q54" i="5"/>
  <c r="P54" i="5"/>
  <c r="P73" i="5" s="1"/>
  <c r="S53" i="5"/>
  <c r="R53" i="5"/>
  <c r="Q53" i="5"/>
  <c r="P53" i="5"/>
  <c r="S52" i="5"/>
  <c r="R52" i="5"/>
  <c r="Q52" i="5"/>
  <c r="P52" i="5"/>
  <c r="P71" i="5" s="1"/>
  <c r="Y57" i="5"/>
  <c r="X57" i="5"/>
  <c r="W57" i="5"/>
  <c r="V57" i="5"/>
  <c r="Y55" i="5"/>
  <c r="X55" i="5"/>
  <c r="W55" i="5"/>
  <c r="V55" i="5"/>
  <c r="Y54" i="5"/>
  <c r="Y73" i="5" s="1"/>
  <c r="X54" i="5"/>
  <c r="W54" i="5"/>
  <c r="V54" i="5"/>
  <c r="Y53" i="5"/>
  <c r="X53" i="5"/>
  <c r="W53" i="5"/>
  <c r="V53" i="5"/>
  <c r="Y52" i="5"/>
  <c r="Y71" i="5" s="1"/>
  <c r="X52" i="5"/>
  <c r="W52" i="5"/>
  <c r="V52" i="5"/>
  <c r="AE57" i="5"/>
  <c r="AD57" i="5"/>
  <c r="AC57" i="5"/>
  <c r="AB57" i="5"/>
  <c r="AE55" i="5"/>
  <c r="AD55" i="5"/>
  <c r="AC55" i="5"/>
  <c r="AB55" i="5"/>
  <c r="AE54" i="5"/>
  <c r="AE73" i="5" s="1"/>
  <c r="AD54" i="5"/>
  <c r="AC54" i="5"/>
  <c r="AB54" i="5"/>
  <c r="AE53" i="5"/>
  <c r="AD53" i="5"/>
  <c r="AC53" i="5"/>
  <c r="AB53" i="5"/>
  <c r="AE52" i="5"/>
  <c r="AD52" i="5"/>
  <c r="AD71" i="5" s="1"/>
  <c r="AC52" i="5"/>
  <c r="AB52" i="5"/>
  <c r="AB71" i="5" s="1"/>
  <c r="AK57" i="5"/>
  <c r="AJ57" i="5"/>
  <c r="AI57" i="5"/>
  <c r="AH57" i="5"/>
  <c r="AK55" i="5"/>
  <c r="AJ55" i="5"/>
  <c r="AI55" i="5"/>
  <c r="AH55" i="5"/>
  <c r="AK54" i="5"/>
  <c r="AJ54" i="5"/>
  <c r="AI54" i="5"/>
  <c r="AH54" i="5"/>
  <c r="AK53" i="5"/>
  <c r="AJ53" i="5"/>
  <c r="AI53" i="5"/>
  <c r="AH53" i="5"/>
  <c r="AK52" i="5"/>
  <c r="AJ52" i="5"/>
  <c r="AI52" i="5"/>
  <c r="AH52" i="5"/>
  <c r="AU284" i="5"/>
  <c r="AT284" i="5"/>
  <c r="AN284" i="5"/>
  <c r="AK284" i="5"/>
  <c r="AJ284" i="5"/>
  <c r="AI284" i="5"/>
  <c r="AE284" i="5"/>
  <c r="AB284" i="5"/>
  <c r="W284" i="5"/>
  <c r="S289" i="5"/>
  <c r="Q284" i="5"/>
  <c r="M284" i="5"/>
  <c r="K284" i="5"/>
  <c r="J289" i="5"/>
  <c r="G284" i="5"/>
  <c r="G214" i="5"/>
  <c r="F214" i="5"/>
  <c r="E214" i="5"/>
  <c r="M214" i="5"/>
  <c r="L214" i="5"/>
  <c r="K214" i="5"/>
  <c r="J214" i="5"/>
  <c r="J264" i="5" s="1"/>
  <c r="S214" i="5"/>
  <c r="S262" i="5" s="1"/>
  <c r="S105" i="5" s="1"/>
  <c r="R214" i="5"/>
  <c r="Q214" i="5"/>
  <c r="P214" i="5"/>
  <c r="Y214" i="5"/>
  <c r="X214" i="5"/>
  <c r="W214" i="5"/>
  <c r="V214" i="5"/>
  <c r="AE214" i="5"/>
  <c r="AE232" i="5" s="1"/>
  <c r="AD214" i="5"/>
  <c r="AC214" i="5"/>
  <c r="AB214" i="5"/>
  <c r="AK214" i="5"/>
  <c r="AJ214" i="5"/>
  <c r="AI214" i="5"/>
  <c r="AH214" i="5"/>
  <c r="AQ214" i="5"/>
  <c r="AP214" i="5"/>
  <c r="AO214" i="5"/>
  <c r="AN214" i="5"/>
  <c r="AV214" i="5"/>
  <c r="AT214" i="5"/>
  <c r="AU214" i="5"/>
  <c r="BI189" i="5"/>
  <c r="BG188" i="5"/>
  <c r="BF189" i="5"/>
  <c r="BA191" i="5"/>
  <c r="AZ192" i="5"/>
  <c r="AW192" i="5"/>
  <c r="AV173" i="5"/>
  <c r="AU173" i="5"/>
  <c r="AU192" i="5" s="1"/>
  <c r="AT173" i="5"/>
  <c r="AQ173" i="5"/>
  <c r="AP173" i="5"/>
  <c r="AO173" i="5"/>
  <c r="AN173" i="5"/>
  <c r="AK173" i="5"/>
  <c r="AJ173" i="5"/>
  <c r="AI173" i="5"/>
  <c r="AH173" i="5"/>
  <c r="AE173" i="5"/>
  <c r="AD173" i="5"/>
  <c r="AC173" i="5"/>
  <c r="AB173" i="5"/>
  <c r="Y173" i="5"/>
  <c r="X173" i="5"/>
  <c r="W173" i="5"/>
  <c r="V173" i="5"/>
  <c r="S173" i="5"/>
  <c r="R173" i="5"/>
  <c r="Q173" i="5"/>
  <c r="P173" i="5"/>
  <c r="M173" i="5"/>
  <c r="L173" i="5"/>
  <c r="K173" i="5"/>
  <c r="J173" i="5"/>
  <c r="J198" i="5" s="1"/>
  <c r="G173" i="5"/>
  <c r="F173" i="5"/>
  <c r="E173" i="5"/>
  <c r="G132" i="5"/>
  <c r="F132" i="5"/>
  <c r="E132" i="5"/>
  <c r="M132" i="5"/>
  <c r="L132" i="5"/>
  <c r="K132" i="5"/>
  <c r="J132" i="5"/>
  <c r="J157" i="5" s="1"/>
  <c r="S132" i="5"/>
  <c r="R132" i="5"/>
  <c r="Q132" i="5"/>
  <c r="P132" i="5"/>
  <c r="Y132" i="5"/>
  <c r="X132" i="5"/>
  <c r="W132" i="5"/>
  <c r="V132" i="5"/>
  <c r="AQ132" i="5"/>
  <c r="AP132" i="5"/>
  <c r="AO132" i="5"/>
  <c r="AN132" i="5"/>
  <c r="AK132" i="5"/>
  <c r="AJ132" i="5"/>
  <c r="AI132" i="5"/>
  <c r="AH132" i="5"/>
  <c r="AE132" i="5"/>
  <c r="AE151" i="5" s="1"/>
  <c r="AD132" i="5"/>
  <c r="AC132" i="5"/>
  <c r="AB132" i="5"/>
  <c r="AV132" i="5"/>
  <c r="AU132" i="5"/>
  <c r="AT132" i="5"/>
  <c r="AQ57" i="5"/>
  <c r="AP57" i="5"/>
  <c r="AO57" i="5"/>
  <c r="AN57" i="5"/>
  <c r="AQ55" i="5"/>
  <c r="AW67" i="5" s="1"/>
  <c r="AP55" i="5"/>
  <c r="AV67" i="5" s="1"/>
  <c r="AO55" i="5"/>
  <c r="AU67" i="5" s="1"/>
  <c r="AN55" i="5"/>
  <c r="AT67" i="5" s="1"/>
  <c r="AQ54" i="5"/>
  <c r="AP54" i="5"/>
  <c r="AO54" i="5"/>
  <c r="AN54" i="5"/>
  <c r="AT66" i="5" s="1"/>
  <c r="AQ53" i="5"/>
  <c r="AW65" i="5" s="1"/>
  <c r="AP53" i="5"/>
  <c r="AV65" i="5" s="1"/>
  <c r="AO53" i="5"/>
  <c r="AU65" i="5" s="1"/>
  <c r="AN53" i="5"/>
  <c r="AT65" i="5" s="1"/>
  <c r="AQ52" i="5"/>
  <c r="AP52" i="5"/>
  <c r="AO52" i="5"/>
  <c r="AN52" i="5"/>
  <c r="AT64" i="5" s="1"/>
  <c r="AQ291" i="5"/>
  <c r="AW291" i="5" s="1"/>
  <c r="AK291" i="5"/>
  <c r="AE291" i="5"/>
  <c r="BB288" i="5"/>
  <c r="BB289" i="5" s="1"/>
  <c r="BA288" i="5"/>
  <c r="BA289" i="5" s="1"/>
  <c r="AV288" i="5"/>
  <c r="AU288" i="5"/>
  <c r="AT288" i="5"/>
  <c r="AQ288" i="5"/>
  <c r="AP288" i="5"/>
  <c r="AO288" i="5"/>
  <c r="AN288" i="5"/>
  <c r="AK288" i="5"/>
  <c r="AJ288" i="5"/>
  <c r="AI288" i="5"/>
  <c r="AH288" i="5"/>
  <c r="AE288" i="5"/>
  <c r="AD288" i="5"/>
  <c r="AC288" i="5"/>
  <c r="AB288" i="5"/>
  <c r="Y288" i="5"/>
  <c r="X288" i="5"/>
  <c r="W288" i="5"/>
  <c r="V288" i="5"/>
  <c r="AR288" i="5"/>
  <c r="Z288" i="5"/>
  <c r="BC281" i="5"/>
  <c r="BB281" i="5"/>
  <c r="BA281" i="5"/>
  <c r="BC280" i="5"/>
  <c r="BB280" i="5"/>
  <c r="BA280" i="5"/>
  <c r="AV121" i="5"/>
  <c r="AU121" i="5"/>
  <c r="AT121" i="5"/>
  <c r="AP121" i="5"/>
  <c r="AO121" i="5"/>
  <c r="AN121" i="5"/>
  <c r="AJ121" i="5"/>
  <c r="AI121" i="5"/>
  <c r="AH121" i="5"/>
  <c r="AD121" i="5"/>
  <c r="AC121" i="5"/>
  <c r="AB121" i="5"/>
  <c r="BI278" i="5"/>
  <c r="BI277" i="5" s="1"/>
  <c r="BH278" i="5"/>
  <c r="BH277" i="5" s="1"/>
  <c r="BG278" i="5"/>
  <c r="BG277" i="5" s="1"/>
  <c r="BF278" i="5"/>
  <c r="BF277" i="5" s="1"/>
  <c r="AV39" i="5"/>
  <c r="AU39" i="5"/>
  <c r="AT39" i="5"/>
  <c r="AP39" i="5"/>
  <c r="AO39" i="5"/>
  <c r="AN39" i="5"/>
  <c r="AJ39" i="5"/>
  <c r="AI39" i="5"/>
  <c r="AH39" i="5"/>
  <c r="AD39" i="5"/>
  <c r="AC39" i="5"/>
  <c r="AB39" i="5"/>
  <c r="X39" i="5"/>
  <c r="W39" i="5"/>
  <c r="V39" i="5"/>
  <c r="AV250" i="5"/>
  <c r="AU250" i="5"/>
  <c r="AT250" i="5"/>
  <c r="AV249" i="5"/>
  <c r="AU249" i="5"/>
  <c r="AT249" i="5"/>
  <c r="AV248" i="5"/>
  <c r="AU248" i="5"/>
  <c r="AT248" i="5"/>
  <c r="AV247" i="5"/>
  <c r="AU247" i="5"/>
  <c r="AT247" i="5"/>
  <c r="AV246" i="5"/>
  <c r="AU246" i="5"/>
  <c r="AT246" i="5"/>
  <c r="AQ250" i="5"/>
  <c r="AP250" i="5"/>
  <c r="AO250" i="5"/>
  <c r="AN250" i="5"/>
  <c r="AQ249" i="5"/>
  <c r="AP249" i="5"/>
  <c r="AO249" i="5"/>
  <c r="AN249" i="5"/>
  <c r="AQ248" i="5"/>
  <c r="AP248" i="5"/>
  <c r="AO248" i="5"/>
  <c r="AN248" i="5"/>
  <c r="AQ247" i="5"/>
  <c r="AP247" i="5"/>
  <c r="AO247" i="5"/>
  <c r="AN247" i="5"/>
  <c r="AQ246" i="5"/>
  <c r="AP246" i="5"/>
  <c r="AO246" i="5"/>
  <c r="AN246" i="5"/>
  <c r="AK250" i="5"/>
  <c r="AJ250" i="5"/>
  <c r="AI250" i="5"/>
  <c r="AH250" i="5"/>
  <c r="AK249" i="5"/>
  <c r="AJ249" i="5"/>
  <c r="AI249" i="5"/>
  <c r="AH249" i="5"/>
  <c r="AK248" i="5"/>
  <c r="AJ248" i="5"/>
  <c r="AI248" i="5"/>
  <c r="AH248" i="5"/>
  <c r="AK247" i="5"/>
  <c r="AJ247" i="5"/>
  <c r="AI247" i="5"/>
  <c r="AH247" i="5"/>
  <c r="AK246" i="5"/>
  <c r="AJ246" i="5"/>
  <c r="AI246" i="5"/>
  <c r="AH246" i="5"/>
  <c r="AE250" i="5"/>
  <c r="AD250" i="5"/>
  <c r="AC250" i="5"/>
  <c r="AB250" i="5"/>
  <c r="AE249" i="5"/>
  <c r="AD249" i="5"/>
  <c r="AC249" i="5"/>
  <c r="AB249" i="5"/>
  <c r="AE248" i="5"/>
  <c r="AD248" i="5"/>
  <c r="AC248" i="5"/>
  <c r="AB248" i="5"/>
  <c r="AE247" i="5"/>
  <c r="AD247" i="5"/>
  <c r="AC247" i="5"/>
  <c r="AB247" i="5"/>
  <c r="AE246" i="5"/>
  <c r="AD246" i="5"/>
  <c r="AC246" i="5"/>
  <c r="AB246" i="5"/>
  <c r="Y250" i="5"/>
  <c r="X250" i="5"/>
  <c r="W250" i="5"/>
  <c r="V250" i="5"/>
  <c r="Y249" i="5"/>
  <c r="X249" i="5"/>
  <c r="W249" i="5"/>
  <c r="V249" i="5"/>
  <c r="Y248" i="5"/>
  <c r="X248" i="5"/>
  <c r="W248" i="5"/>
  <c r="V248" i="5"/>
  <c r="Y247" i="5"/>
  <c r="X247" i="5"/>
  <c r="W247" i="5"/>
  <c r="V247" i="5"/>
  <c r="Y246" i="5"/>
  <c r="X246" i="5"/>
  <c r="W246" i="5"/>
  <c r="V246" i="5"/>
  <c r="S250" i="5"/>
  <c r="R250" i="5"/>
  <c r="Q250" i="5"/>
  <c r="P250" i="5"/>
  <c r="S249" i="5"/>
  <c r="R249" i="5"/>
  <c r="Q249" i="5"/>
  <c r="P249" i="5"/>
  <c r="S248" i="5"/>
  <c r="R248" i="5"/>
  <c r="Q248" i="5"/>
  <c r="P248" i="5"/>
  <c r="S247" i="5"/>
  <c r="R247" i="5"/>
  <c r="Q247" i="5"/>
  <c r="P247" i="5"/>
  <c r="S246" i="5"/>
  <c r="R246" i="5"/>
  <c r="Q246" i="5"/>
  <c r="P246" i="5"/>
  <c r="J247" i="5"/>
  <c r="K247" i="5"/>
  <c r="L247" i="5"/>
  <c r="M247" i="5"/>
  <c r="J248" i="5"/>
  <c r="K248" i="5"/>
  <c r="L248" i="5"/>
  <c r="M248" i="5"/>
  <c r="J249" i="5"/>
  <c r="K249" i="5"/>
  <c r="L249" i="5"/>
  <c r="M249" i="5"/>
  <c r="J250" i="5"/>
  <c r="K250" i="5"/>
  <c r="L250" i="5"/>
  <c r="M250" i="5"/>
  <c r="K246" i="5"/>
  <c r="L246" i="5"/>
  <c r="M246" i="5"/>
  <c r="J246" i="5"/>
  <c r="AV242" i="5"/>
  <c r="AU242" i="5"/>
  <c r="AT242" i="5"/>
  <c r="AQ242" i="5"/>
  <c r="AP242" i="5"/>
  <c r="AO242" i="5"/>
  <c r="AN242" i="5"/>
  <c r="AK242" i="5"/>
  <c r="AJ242" i="5"/>
  <c r="AI242" i="5"/>
  <c r="AH242" i="5"/>
  <c r="AE242" i="5"/>
  <c r="AD242" i="5"/>
  <c r="AC242" i="5"/>
  <c r="AB242" i="5"/>
  <c r="Y242" i="5"/>
  <c r="X242" i="5"/>
  <c r="W242" i="5"/>
  <c r="V242" i="5"/>
  <c r="S242" i="5"/>
  <c r="R242" i="5"/>
  <c r="Q242" i="5"/>
  <c r="P242" i="5"/>
  <c r="M242" i="5"/>
  <c r="L242" i="5"/>
  <c r="K242" i="5"/>
  <c r="J242" i="5"/>
  <c r="G242" i="5"/>
  <c r="F242" i="5"/>
  <c r="E242" i="5"/>
  <c r="AR241" i="5"/>
  <c r="AL241" i="5"/>
  <c r="AF241" i="5"/>
  <c r="Z241" i="5"/>
  <c r="T241" i="5"/>
  <c r="N241" i="5"/>
  <c r="H241" i="5"/>
  <c r="AR240" i="5"/>
  <c r="AL240" i="5"/>
  <c r="AF240" i="5"/>
  <c r="Z240" i="5"/>
  <c r="T240" i="5"/>
  <c r="N240" i="5"/>
  <c r="H240" i="5"/>
  <c r="AR239" i="5"/>
  <c r="AL239" i="5"/>
  <c r="AF239" i="5"/>
  <c r="Z239" i="5"/>
  <c r="T239" i="5"/>
  <c r="N239" i="5"/>
  <c r="H239" i="5"/>
  <c r="AR238" i="5"/>
  <c r="AL238" i="5"/>
  <c r="AF238" i="5"/>
  <c r="Z238" i="5"/>
  <c r="T238" i="5"/>
  <c r="N238" i="5"/>
  <c r="H238" i="5"/>
  <c r="AR237" i="5"/>
  <c r="AL237" i="5"/>
  <c r="AF237" i="5"/>
  <c r="Z237" i="5"/>
  <c r="T237" i="5"/>
  <c r="N237" i="5"/>
  <c r="H237" i="5"/>
  <c r="AR261" i="5"/>
  <c r="AR111" i="5" s="1"/>
  <c r="AL261" i="5"/>
  <c r="AL111" i="5" s="1"/>
  <c r="AF261" i="5"/>
  <c r="AF111" i="5" s="1"/>
  <c r="Z261" i="5"/>
  <c r="Z111" i="5" s="1"/>
  <c r="T261" i="5"/>
  <c r="T111" i="5" s="1"/>
  <c r="N261" i="5"/>
  <c r="N111" i="5" s="1"/>
  <c r="H261" i="5"/>
  <c r="H111" i="5" s="1"/>
  <c r="AR213" i="5"/>
  <c r="AL213" i="5"/>
  <c r="AF213" i="5"/>
  <c r="Z213" i="5"/>
  <c r="T213" i="5"/>
  <c r="N213" i="5"/>
  <c r="H213" i="5"/>
  <c r="AR212" i="5"/>
  <c r="AX224" i="5" s="1"/>
  <c r="AL212" i="5"/>
  <c r="AF212" i="5"/>
  <c r="Z212" i="5"/>
  <c r="T212" i="5"/>
  <c r="N212" i="5"/>
  <c r="H212" i="5"/>
  <c r="AR211" i="5"/>
  <c r="AX223" i="5" s="1"/>
  <c r="AL211" i="5"/>
  <c r="AF211" i="5"/>
  <c r="Z211" i="5"/>
  <c r="T211" i="5"/>
  <c r="N211" i="5"/>
  <c r="H211" i="5"/>
  <c r="AR210" i="5"/>
  <c r="AX222" i="5" s="1"/>
  <c r="AL210" i="5"/>
  <c r="AF210" i="5"/>
  <c r="Z210" i="5"/>
  <c r="T210" i="5"/>
  <c r="N210" i="5"/>
  <c r="H210" i="5"/>
  <c r="AR209" i="5"/>
  <c r="AX221" i="5" s="1"/>
  <c r="AL209" i="5"/>
  <c r="AF209" i="5"/>
  <c r="Z209" i="5"/>
  <c r="T209" i="5"/>
  <c r="N209" i="5"/>
  <c r="H209" i="5"/>
  <c r="CN192" i="5"/>
  <c r="CM192" i="5"/>
  <c r="CL192" i="5"/>
  <c r="CK192" i="5"/>
  <c r="CJ192" i="5"/>
  <c r="CN191" i="5"/>
  <c r="CM191" i="5"/>
  <c r="CL191" i="5"/>
  <c r="CK191" i="5"/>
  <c r="CJ191" i="5"/>
  <c r="CN190" i="5"/>
  <c r="CM190" i="5"/>
  <c r="CL190" i="5"/>
  <c r="CK190" i="5"/>
  <c r="CJ190" i="5"/>
  <c r="CN189" i="5"/>
  <c r="CM189" i="5"/>
  <c r="CL189" i="5"/>
  <c r="CK189" i="5"/>
  <c r="CJ189" i="5"/>
  <c r="CN188" i="5"/>
  <c r="CM188" i="5"/>
  <c r="CL188" i="5"/>
  <c r="CK188" i="5"/>
  <c r="CJ188" i="5"/>
  <c r="CH192" i="5"/>
  <c r="CG192" i="5"/>
  <c r="CF192" i="5"/>
  <c r="CE192" i="5"/>
  <c r="CD192" i="5"/>
  <c r="CH191" i="5"/>
  <c r="CG191" i="5"/>
  <c r="CF191" i="5"/>
  <c r="CE191" i="5"/>
  <c r="CD191" i="5"/>
  <c r="CH190" i="5"/>
  <c r="CG190" i="5"/>
  <c r="CF190" i="5"/>
  <c r="CE190" i="5"/>
  <c r="CD190" i="5"/>
  <c r="CH189" i="5"/>
  <c r="CG189" i="5"/>
  <c r="CF189" i="5"/>
  <c r="CE189" i="5"/>
  <c r="CD189" i="5"/>
  <c r="CH188" i="5"/>
  <c r="CG188" i="5"/>
  <c r="CF188" i="5"/>
  <c r="CE188" i="5"/>
  <c r="CD188" i="5"/>
  <c r="CB192" i="5"/>
  <c r="CA192" i="5"/>
  <c r="BZ192" i="5"/>
  <c r="BY192" i="5"/>
  <c r="BX192" i="5"/>
  <c r="CB191" i="5"/>
  <c r="CA191" i="5"/>
  <c r="BZ191" i="5"/>
  <c r="BY191" i="5"/>
  <c r="BX191" i="5"/>
  <c r="CB190" i="5"/>
  <c r="CA190" i="5"/>
  <c r="BZ190" i="5"/>
  <c r="BY190" i="5"/>
  <c r="BX190" i="5"/>
  <c r="CB189" i="5"/>
  <c r="CA189" i="5"/>
  <c r="BZ189" i="5"/>
  <c r="BY189" i="5"/>
  <c r="BX189" i="5"/>
  <c r="CB188" i="5"/>
  <c r="CA188" i="5"/>
  <c r="BZ188" i="5"/>
  <c r="BY188" i="5"/>
  <c r="BX188" i="5"/>
  <c r="BV192" i="5"/>
  <c r="BU192" i="5"/>
  <c r="BT192" i="5"/>
  <c r="BS192" i="5"/>
  <c r="BR192" i="5"/>
  <c r="BV191" i="5"/>
  <c r="BU191" i="5"/>
  <c r="BT191" i="5"/>
  <c r="BS191" i="5"/>
  <c r="BR191" i="5"/>
  <c r="BV190" i="5"/>
  <c r="BU190" i="5"/>
  <c r="BT190" i="5"/>
  <c r="BS190" i="5"/>
  <c r="BR190" i="5"/>
  <c r="BV189" i="5"/>
  <c r="BU189" i="5"/>
  <c r="BT189" i="5"/>
  <c r="BS189" i="5"/>
  <c r="BR189" i="5"/>
  <c r="BV188" i="5"/>
  <c r="BU188" i="5"/>
  <c r="BT188" i="5"/>
  <c r="BS188" i="5"/>
  <c r="BR188" i="5"/>
  <c r="BP192" i="5"/>
  <c r="BO192" i="5"/>
  <c r="BN192" i="5"/>
  <c r="BM192" i="5"/>
  <c r="BL192" i="5"/>
  <c r="BP191" i="5"/>
  <c r="BO191" i="5"/>
  <c r="BN191" i="5"/>
  <c r="BM191" i="5"/>
  <c r="BL191" i="5"/>
  <c r="BP190" i="5"/>
  <c r="BO190" i="5"/>
  <c r="BN190" i="5"/>
  <c r="BM190" i="5"/>
  <c r="BL190" i="5"/>
  <c r="BP189" i="5"/>
  <c r="BO189" i="5"/>
  <c r="BN189" i="5"/>
  <c r="BM189" i="5"/>
  <c r="BL189" i="5"/>
  <c r="BP188" i="5"/>
  <c r="BO188" i="5"/>
  <c r="BN188" i="5"/>
  <c r="BM188" i="5"/>
  <c r="BL188" i="5"/>
  <c r="BI190" i="5"/>
  <c r="AW188" i="5"/>
  <c r="AR195" i="5"/>
  <c r="AR110" i="5" s="1"/>
  <c r="AL195" i="5"/>
  <c r="AL110" i="5" s="1"/>
  <c r="AF195" i="5"/>
  <c r="AF110" i="5" s="1"/>
  <c r="Z195" i="5"/>
  <c r="Z110" i="5" s="1"/>
  <c r="T195" i="5"/>
  <c r="T110" i="5" s="1"/>
  <c r="N195" i="5"/>
  <c r="N110" i="5" s="1"/>
  <c r="H195" i="5"/>
  <c r="H110" i="5" s="1"/>
  <c r="AR172" i="5"/>
  <c r="AX184" i="5" s="1"/>
  <c r="AL172" i="5"/>
  <c r="AF172" i="5"/>
  <c r="Z172" i="5"/>
  <c r="T172" i="5"/>
  <c r="N172" i="5"/>
  <c r="H172" i="5"/>
  <c r="AR171" i="5"/>
  <c r="AX183" i="5" s="1"/>
  <c r="AL171" i="5"/>
  <c r="AF171" i="5"/>
  <c r="Z171" i="5"/>
  <c r="T171" i="5"/>
  <c r="N171" i="5"/>
  <c r="H171" i="5"/>
  <c r="AR170" i="5"/>
  <c r="AX182" i="5" s="1"/>
  <c r="AL170" i="5"/>
  <c r="AF170" i="5"/>
  <c r="Z170" i="5"/>
  <c r="T170" i="5"/>
  <c r="N170" i="5"/>
  <c r="H170" i="5"/>
  <c r="AR169" i="5"/>
  <c r="AX181" i="5" s="1"/>
  <c r="AL169" i="5"/>
  <c r="AF169" i="5"/>
  <c r="Z169" i="5"/>
  <c r="T169" i="5"/>
  <c r="N169" i="5"/>
  <c r="H169" i="5"/>
  <c r="AR168" i="5"/>
  <c r="AX180" i="5" s="1"/>
  <c r="AL168" i="5"/>
  <c r="AF168" i="5"/>
  <c r="Z168" i="5"/>
  <c r="T168" i="5"/>
  <c r="N168" i="5"/>
  <c r="H168" i="5"/>
  <c r="AQ271" i="5"/>
  <c r="AW271" i="5" s="1"/>
  <c r="BC271" i="5" s="1"/>
  <c r="BI271" i="5" s="1"/>
  <c r="AK271" i="5"/>
  <c r="AE271" i="5"/>
  <c r="AV268" i="5"/>
  <c r="AU268" i="5"/>
  <c r="AT268" i="5"/>
  <c r="AP268" i="5"/>
  <c r="AO268" i="5"/>
  <c r="AN268" i="5"/>
  <c r="AJ268" i="5"/>
  <c r="AI268" i="5"/>
  <c r="AH268" i="5"/>
  <c r="AD268" i="5"/>
  <c r="AC268" i="5"/>
  <c r="AB268" i="5"/>
  <c r="Y268" i="5"/>
  <c r="X268" i="5"/>
  <c r="W268" i="5"/>
  <c r="V268" i="5"/>
  <c r="AV225" i="5"/>
  <c r="AU225" i="5"/>
  <c r="AT225" i="5"/>
  <c r="AQ225" i="5"/>
  <c r="AP225" i="5"/>
  <c r="AO225" i="5"/>
  <c r="AN225" i="5"/>
  <c r="AK225" i="5"/>
  <c r="AJ225" i="5"/>
  <c r="AI225" i="5"/>
  <c r="AH225" i="5"/>
  <c r="AE225" i="5"/>
  <c r="AD225" i="5"/>
  <c r="AC225" i="5"/>
  <c r="AB225" i="5"/>
  <c r="Y225" i="5"/>
  <c r="X225" i="5"/>
  <c r="W225" i="5"/>
  <c r="V225" i="5"/>
  <c r="S225" i="5"/>
  <c r="R225" i="5"/>
  <c r="Q225" i="5"/>
  <c r="P225" i="5"/>
  <c r="M225" i="5"/>
  <c r="L225" i="5"/>
  <c r="K225" i="5"/>
  <c r="J225" i="5"/>
  <c r="AV224" i="5"/>
  <c r="AU224" i="5"/>
  <c r="AT224" i="5"/>
  <c r="AQ224" i="5"/>
  <c r="AP224" i="5"/>
  <c r="AO224" i="5"/>
  <c r="AN224" i="5"/>
  <c r="AK224" i="5"/>
  <c r="AJ224" i="5"/>
  <c r="AI224" i="5"/>
  <c r="AH224" i="5"/>
  <c r="AE224" i="5"/>
  <c r="AD224" i="5"/>
  <c r="AC224" i="5"/>
  <c r="AB224" i="5"/>
  <c r="Y224" i="5"/>
  <c r="X224" i="5"/>
  <c r="W224" i="5"/>
  <c r="V224" i="5"/>
  <c r="S224" i="5"/>
  <c r="R224" i="5"/>
  <c r="Q224" i="5"/>
  <c r="P224" i="5"/>
  <c r="M224" i="5"/>
  <c r="L224" i="5"/>
  <c r="K224" i="5"/>
  <c r="J224" i="5"/>
  <c r="AV223" i="5"/>
  <c r="AU223" i="5"/>
  <c r="AT223" i="5"/>
  <c r="AQ223" i="5"/>
  <c r="AP223" i="5"/>
  <c r="AO223" i="5"/>
  <c r="AN223" i="5"/>
  <c r="AK223" i="5"/>
  <c r="AJ223" i="5"/>
  <c r="AI223" i="5"/>
  <c r="AH223" i="5"/>
  <c r="AE223" i="5"/>
  <c r="AD223" i="5"/>
  <c r="AC223" i="5"/>
  <c r="AB223" i="5"/>
  <c r="Y223" i="5"/>
  <c r="X223" i="5"/>
  <c r="W223" i="5"/>
  <c r="V223" i="5"/>
  <c r="S223" i="5"/>
  <c r="R223" i="5"/>
  <c r="Q223" i="5"/>
  <c r="P223" i="5"/>
  <c r="M223" i="5"/>
  <c r="L223" i="5"/>
  <c r="K223" i="5"/>
  <c r="J223" i="5"/>
  <c r="AV222" i="5"/>
  <c r="AU222" i="5"/>
  <c r="AT222" i="5"/>
  <c r="AQ222" i="5"/>
  <c r="AP222" i="5"/>
  <c r="AO222" i="5"/>
  <c r="AN222" i="5"/>
  <c r="AK222" i="5"/>
  <c r="AJ222" i="5"/>
  <c r="AI222" i="5"/>
  <c r="AH222" i="5"/>
  <c r="AE222" i="5"/>
  <c r="AD222" i="5"/>
  <c r="AC222" i="5"/>
  <c r="AB222" i="5"/>
  <c r="Y222" i="5"/>
  <c r="X222" i="5"/>
  <c r="W222" i="5"/>
  <c r="V222" i="5"/>
  <c r="S222" i="5"/>
  <c r="R222" i="5"/>
  <c r="Q222" i="5"/>
  <c r="P222" i="5"/>
  <c r="M222" i="5"/>
  <c r="L222" i="5"/>
  <c r="K222" i="5"/>
  <c r="J222" i="5"/>
  <c r="AV221" i="5"/>
  <c r="AU221" i="5"/>
  <c r="AT221" i="5"/>
  <c r="AQ221" i="5"/>
  <c r="AP221" i="5"/>
  <c r="AO221" i="5"/>
  <c r="AN221" i="5"/>
  <c r="AK221" i="5"/>
  <c r="AJ221" i="5"/>
  <c r="AI221" i="5"/>
  <c r="AH221" i="5"/>
  <c r="AE221" i="5"/>
  <c r="AD221" i="5"/>
  <c r="AC221" i="5"/>
  <c r="AB221" i="5"/>
  <c r="Y221" i="5"/>
  <c r="X221" i="5"/>
  <c r="W221" i="5"/>
  <c r="V221" i="5"/>
  <c r="S221" i="5"/>
  <c r="R221" i="5"/>
  <c r="Q221" i="5"/>
  <c r="P221" i="5"/>
  <c r="M221" i="5"/>
  <c r="L221" i="5"/>
  <c r="K221" i="5"/>
  <c r="J221" i="5"/>
  <c r="AQ205" i="5"/>
  <c r="AW205" i="5" s="1"/>
  <c r="AX205" i="5" s="1"/>
  <c r="AK205" i="5"/>
  <c r="AE205" i="5"/>
  <c r="AV202" i="5"/>
  <c r="AU202" i="5"/>
  <c r="AT202" i="5"/>
  <c r="AP202" i="5"/>
  <c r="AO202" i="5"/>
  <c r="AN202" i="5"/>
  <c r="AJ202" i="5"/>
  <c r="AI202" i="5"/>
  <c r="AH202" i="5"/>
  <c r="AD202" i="5"/>
  <c r="AC202" i="5"/>
  <c r="AB202" i="5"/>
  <c r="Y202" i="5"/>
  <c r="X202" i="5"/>
  <c r="W202" i="5"/>
  <c r="V202" i="5"/>
  <c r="AV184" i="5"/>
  <c r="AU184" i="5"/>
  <c r="AT184" i="5"/>
  <c r="AQ184" i="5"/>
  <c r="AP184" i="5"/>
  <c r="AO184" i="5"/>
  <c r="AN184" i="5"/>
  <c r="AK184" i="5"/>
  <c r="AJ184" i="5"/>
  <c r="AI184" i="5"/>
  <c r="AH184" i="5"/>
  <c r="AE184" i="5"/>
  <c r="AD184" i="5"/>
  <c r="AC184" i="5"/>
  <c r="AB184" i="5"/>
  <c r="Y184" i="5"/>
  <c r="X184" i="5"/>
  <c r="W184" i="5"/>
  <c r="V184" i="5"/>
  <c r="S184" i="5"/>
  <c r="R184" i="5"/>
  <c r="Q184" i="5"/>
  <c r="P184" i="5"/>
  <c r="M184" i="5"/>
  <c r="L184" i="5"/>
  <c r="K184" i="5"/>
  <c r="J184" i="5"/>
  <c r="AV183" i="5"/>
  <c r="AU183" i="5"/>
  <c r="AT183" i="5"/>
  <c r="AQ183" i="5"/>
  <c r="AP183" i="5"/>
  <c r="AO183" i="5"/>
  <c r="AN183" i="5"/>
  <c r="AK183" i="5"/>
  <c r="AJ183" i="5"/>
  <c r="AI183" i="5"/>
  <c r="AH183" i="5"/>
  <c r="AE183" i="5"/>
  <c r="AD183" i="5"/>
  <c r="AC183" i="5"/>
  <c r="AB183" i="5"/>
  <c r="Y183" i="5"/>
  <c r="X183" i="5"/>
  <c r="W183" i="5"/>
  <c r="V183" i="5"/>
  <c r="S183" i="5"/>
  <c r="R183" i="5"/>
  <c r="Q183" i="5"/>
  <c r="P183" i="5"/>
  <c r="M183" i="5"/>
  <c r="L183" i="5"/>
  <c r="K183" i="5"/>
  <c r="J183" i="5"/>
  <c r="AV182" i="5"/>
  <c r="AU182" i="5"/>
  <c r="AT182" i="5"/>
  <c r="AQ182" i="5"/>
  <c r="AP182" i="5"/>
  <c r="AO182" i="5"/>
  <c r="AN182" i="5"/>
  <c r="AK182" i="5"/>
  <c r="AJ182" i="5"/>
  <c r="AI182" i="5"/>
  <c r="AH182" i="5"/>
  <c r="AE182" i="5"/>
  <c r="AD182" i="5"/>
  <c r="AC182" i="5"/>
  <c r="AB182" i="5"/>
  <c r="Y182" i="5"/>
  <c r="X182" i="5"/>
  <c r="W182" i="5"/>
  <c r="V182" i="5"/>
  <c r="S182" i="5"/>
  <c r="R182" i="5"/>
  <c r="Q182" i="5"/>
  <c r="P182" i="5"/>
  <c r="M182" i="5"/>
  <c r="L182" i="5"/>
  <c r="K182" i="5"/>
  <c r="J182" i="5"/>
  <c r="AV181" i="5"/>
  <c r="AU181" i="5"/>
  <c r="AT181" i="5"/>
  <c r="AQ181" i="5"/>
  <c r="AP181" i="5"/>
  <c r="AO181" i="5"/>
  <c r="AN181" i="5"/>
  <c r="AK181" i="5"/>
  <c r="AJ181" i="5"/>
  <c r="AI181" i="5"/>
  <c r="AH181" i="5"/>
  <c r="AE181" i="5"/>
  <c r="AD181" i="5"/>
  <c r="AC181" i="5"/>
  <c r="AB181" i="5"/>
  <c r="Y181" i="5"/>
  <c r="X181" i="5"/>
  <c r="W181" i="5"/>
  <c r="V181" i="5"/>
  <c r="S181" i="5"/>
  <c r="R181" i="5"/>
  <c r="Q181" i="5"/>
  <c r="P181" i="5"/>
  <c r="M181" i="5"/>
  <c r="L181" i="5"/>
  <c r="K181" i="5"/>
  <c r="J181" i="5"/>
  <c r="AV180" i="5"/>
  <c r="AU180" i="5"/>
  <c r="AT180" i="5"/>
  <c r="AQ180" i="5"/>
  <c r="AP180" i="5"/>
  <c r="AO180" i="5"/>
  <c r="AN180" i="5"/>
  <c r="AK180" i="5"/>
  <c r="AJ180" i="5"/>
  <c r="AI180" i="5"/>
  <c r="AH180" i="5"/>
  <c r="AE180" i="5"/>
  <c r="AD180" i="5"/>
  <c r="AC180" i="5"/>
  <c r="AB180" i="5"/>
  <c r="Y180" i="5"/>
  <c r="X180" i="5"/>
  <c r="W180" i="5"/>
  <c r="V180" i="5"/>
  <c r="S180" i="5"/>
  <c r="R180" i="5"/>
  <c r="Q180" i="5"/>
  <c r="P180" i="5"/>
  <c r="M180" i="5"/>
  <c r="L180" i="5"/>
  <c r="K180" i="5"/>
  <c r="J180" i="5"/>
  <c r="AW147" i="5"/>
  <c r="AW148" i="5"/>
  <c r="AW149" i="5"/>
  <c r="AW150" i="5"/>
  <c r="AW151" i="5"/>
  <c r="AB139" i="5"/>
  <c r="AC139" i="5"/>
  <c r="AD139" i="5"/>
  <c r="AE139" i="5"/>
  <c r="AH139" i="5"/>
  <c r="AI139" i="5"/>
  <c r="AJ139" i="5"/>
  <c r="AK139" i="5"/>
  <c r="AN139" i="5"/>
  <c r="AO139" i="5"/>
  <c r="AP139" i="5"/>
  <c r="AQ139" i="5"/>
  <c r="AT139" i="5"/>
  <c r="AU139" i="5"/>
  <c r="AV139" i="5"/>
  <c r="AB140" i="5"/>
  <c r="AC140" i="5"/>
  <c r="AD140" i="5"/>
  <c r="AE140" i="5"/>
  <c r="AH140" i="5"/>
  <c r="AI140" i="5"/>
  <c r="AJ140" i="5"/>
  <c r="AK140" i="5"/>
  <c r="AN140" i="5"/>
  <c r="AO140" i="5"/>
  <c r="AP140" i="5"/>
  <c r="AQ140" i="5"/>
  <c r="AT140" i="5"/>
  <c r="AU140" i="5"/>
  <c r="AV140" i="5"/>
  <c r="AB141" i="5"/>
  <c r="AC141" i="5"/>
  <c r="AD141" i="5"/>
  <c r="AE141" i="5"/>
  <c r="AH141" i="5"/>
  <c r="AI141" i="5"/>
  <c r="AJ141" i="5"/>
  <c r="AK141" i="5"/>
  <c r="AN141" i="5"/>
  <c r="AO141" i="5"/>
  <c r="AP141" i="5"/>
  <c r="AQ141" i="5"/>
  <c r="AT141" i="5"/>
  <c r="AU141" i="5"/>
  <c r="AV141" i="5"/>
  <c r="AB142" i="5"/>
  <c r="AC142" i="5"/>
  <c r="AD142" i="5"/>
  <c r="AE142" i="5"/>
  <c r="AH142" i="5"/>
  <c r="AI142" i="5"/>
  <c r="AJ142" i="5"/>
  <c r="AK142" i="5"/>
  <c r="AN142" i="5"/>
  <c r="AO142" i="5"/>
  <c r="AP142" i="5"/>
  <c r="AQ142" i="5"/>
  <c r="AT142" i="5"/>
  <c r="AU142" i="5"/>
  <c r="AV142" i="5"/>
  <c r="AB143" i="5"/>
  <c r="AC143" i="5"/>
  <c r="AD143" i="5"/>
  <c r="AE143" i="5"/>
  <c r="AH143" i="5"/>
  <c r="AI143" i="5"/>
  <c r="AJ143" i="5"/>
  <c r="AK143" i="5"/>
  <c r="AN143" i="5"/>
  <c r="AO143" i="5"/>
  <c r="AP143" i="5"/>
  <c r="AQ143" i="5"/>
  <c r="AT143" i="5"/>
  <c r="AU143" i="5"/>
  <c r="AV143" i="5"/>
  <c r="K139" i="5"/>
  <c r="L139" i="5"/>
  <c r="M139" i="5"/>
  <c r="P139" i="5"/>
  <c r="Q139" i="5"/>
  <c r="R139" i="5"/>
  <c r="S139" i="5"/>
  <c r="V139" i="5"/>
  <c r="W139" i="5"/>
  <c r="X139" i="5"/>
  <c r="Y139" i="5"/>
  <c r="K140" i="5"/>
  <c r="L140" i="5"/>
  <c r="M140" i="5"/>
  <c r="P140" i="5"/>
  <c r="Q140" i="5"/>
  <c r="R140" i="5"/>
  <c r="S140" i="5"/>
  <c r="V140" i="5"/>
  <c r="W140" i="5"/>
  <c r="X140" i="5"/>
  <c r="Y140" i="5"/>
  <c r="K141" i="5"/>
  <c r="L141" i="5"/>
  <c r="M141" i="5"/>
  <c r="P141" i="5"/>
  <c r="Q141" i="5"/>
  <c r="R141" i="5"/>
  <c r="S141" i="5"/>
  <c r="V141" i="5"/>
  <c r="W141" i="5"/>
  <c r="X141" i="5"/>
  <c r="Y141" i="5"/>
  <c r="K142" i="5"/>
  <c r="L142" i="5"/>
  <c r="M142" i="5"/>
  <c r="P142" i="5"/>
  <c r="Q142" i="5"/>
  <c r="R142" i="5"/>
  <c r="S142" i="5"/>
  <c r="V142" i="5"/>
  <c r="W142" i="5"/>
  <c r="X142" i="5"/>
  <c r="Y142" i="5"/>
  <c r="K143" i="5"/>
  <c r="L143" i="5"/>
  <c r="M143" i="5"/>
  <c r="P143" i="5"/>
  <c r="Q143" i="5"/>
  <c r="R143" i="5"/>
  <c r="S143" i="5"/>
  <c r="V143" i="5"/>
  <c r="W143" i="5"/>
  <c r="X143" i="5"/>
  <c r="Y143" i="5"/>
  <c r="J140" i="5"/>
  <c r="J141" i="5"/>
  <c r="J142" i="5"/>
  <c r="J143" i="5"/>
  <c r="J139" i="5"/>
  <c r="AQ164" i="5"/>
  <c r="AW164" i="5" s="1"/>
  <c r="AK164" i="5"/>
  <c r="AE164" i="5"/>
  <c r="AV161" i="5"/>
  <c r="AU161" i="5"/>
  <c r="AT161" i="5"/>
  <c r="AP161" i="5"/>
  <c r="AO161" i="5"/>
  <c r="AN161" i="5"/>
  <c r="AI161" i="5"/>
  <c r="AJ161" i="5"/>
  <c r="AH161" i="5"/>
  <c r="AD161" i="5"/>
  <c r="AC161" i="5"/>
  <c r="AB161" i="5"/>
  <c r="W161" i="5"/>
  <c r="X161" i="5"/>
  <c r="Y161" i="5"/>
  <c r="V161" i="5"/>
  <c r="AR154" i="5"/>
  <c r="AR109" i="5" s="1"/>
  <c r="AR112" i="5" s="1"/>
  <c r="AL154" i="5"/>
  <c r="AL109" i="5" s="1"/>
  <c r="AL112" i="5" s="1"/>
  <c r="AF154" i="5"/>
  <c r="AF109" i="5" s="1"/>
  <c r="AF112" i="5" s="1"/>
  <c r="Z154" i="5"/>
  <c r="Z109" i="5" s="1"/>
  <c r="T154" i="5"/>
  <c r="T109" i="5" s="1"/>
  <c r="T112" i="5" s="1"/>
  <c r="N154" i="5"/>
  <c r="N109" i="5" s="1"/>
  <c r="N112" i="5" s="1"/>
  <c r="H154" i="5"/>
  <c r="H109" i="5" s="1"/>
  <c r="H112" i="5" s="1"/>
  <c r="BJ142" i="5"/>
  <c r="BJ141" i="5"/>
  <c r="BJ140" i="5"/>
  <c r="BJ139" i="5"/>
  <c r="AR131" i="5"/>
  <c r="AX143" i="5" s="1"/>
  <c r="AR130" i="5"/>
  <c r="AX142" i="5" s="1"/>
  <c r="AR129" i="5"/>
  <c r="AX141" i="5" s="1"/>
  <c r="AR128" i="5"/>
  <c r="AX140" i="5" s="1"/>
  <c r="AR127" i="5"/>
  <c r="AX139" i="5" s="1"/>
  <c r="AL131" i="5"/>
  <c r="AL130" i="5"/>
  <c r="AL129" i="5"/>
  <c r="AL128" i="5"/>
  <c r="AL127" i="5"/>
  <c r="AF131" i="5"/>
  <c r="AF130" i="5"/>
  <c r="AF129" i="5"/>
  <c r="AF128" i="5"/>
  <c r="AF127" i="5"/>
  <c r="Z131" i="5"/>
  <c r="Z130" i="5"/>
  <c r="Z129" i="5"/>
  <c r="Z128" i="5"/>
  <c r="Z127" i="5"/>
  <c r="T131" i="5"/>
  <c r="T130" i="5"/>
  <c r="T129" i="5"/>
  <c r="T128" i="5"/>
  <c r="T127" i="5"/>
  <c r="N131" i="5"/>
  <c r="N130" i="5"/>
  <c r="N129" i="5"/>
  <c r="N128" i="5"/>
  <c r="N127" i="5"/>
  <c r="H128" i="5"/>
  <c r="H129" i="5"/>
  <c r="H130" i="5"/>
  <c r="H131" i="5"/>
  <c r="H127" i="5"/>
  <c r="AX291" i="5" l="1"/>
  <c r="BB13" i="1"/>
  <c r="BB116" i="1"/>
  <c r="BB100" i="1"/>
  <c r="BB110" i="1"/>
  <c r="BB115" i="1"/>
  <c r="BB119" i="1"/>
  <c r="BB117" i="1"/>
  <c r="BA110" i="1"/>
  <c r="BA115" i="1"/>
  <c r="BA117" i="1"/>
  <c r="BA119" i="1"/>
  <c r="BA116" i="1"/>
  <c r="BA100" i="1"/>
  <c r="Z112" i="5"/>
  <c r="AE147" i="5"/>
  <c r="V71" i="5"/>
  <c r="J71" i="5"/>
  <c r="AQ117" i="5"/>
  <c r="W157" i="5"/>
  <c r="K157" i="5"/>
  <c r="AI117" i="5"/>
  <c r="L157" i="5"/>
  <c r="Y124" i="5"/>
  <c r="X157" i="5"/>
  <c r="AJ117" i="5"/>
  <c r="AE117" i="5"/>
  <c r="AL117" i="5"/>
  <c r="V117" i="5"/>
  <c r="S229" i="5"/>
  <c r="L117" i="5"/>
  <c r="AC117" i="5"/>
  <c r="S122" i="5"/>
  <c r="S117" i="5"/>
  <c r="AH115" i="5"/>
  <c r="AH117" i="5"/>
  <c r="AR117" i="5"/>
  <c r="W122" i="5"/>
  <c r="W117" i="5"/>
  <c r="K117" i="5"/>
  <c r="AK157" i="5"/>
  <c r="Y157" i="5"/>
  <c r="AK117" i="5"/>
  <c r="Y122" i="5"/>
  <c r="Y117" i="5"/>
  <c r="M117" i="5"/>
  <c r="N122" i="5"/>
  <c r="N117" i="5"/>
  <c r="AP117" i="5"/>
  <c r="AV117" i="5"/>
  <c r="X122" i="5"/>
  <c r="X117" i="5"/>
  <c r="AB115" i="5"/>
  <c r="AB117" i="5"/>
  <c r="P122" i="5"/>
  <c r="P117" i="5"/>
  <c r="T122" i="5"/>
  <c r="T117" i="5"/>
  <c r="CD46" i="5"/>
  <c r="AN117" i="5"/>
  <c r="AT117" i="5"/>
  <c r="Q122" i="5"/>
  <c r="Q117" i="5"/>
  <c r="Z122" i="5"/>
  <c r="Z117" i="5"/>
  <c r="AO117" i="5"/>
  <c r="AU117" i="5"/>
  <c r="P264" i="5"/>
  <c r="AD115" i="5"/>
  <c r="AD117" i="5"/>
  <c r="R117" i="5"/>
  <c r="AF117" i="5"/>
  <c r="CG299" i="5"/>
  <c r="CH299" i="5" s="1"/>
  <c r="CH301" i="5" s="1"/>
  <c r="CA301" i="5"/>
  <c r="BO271" i="5"/>
  <c r="BJ271" i="5"/>
  <c r="CK301" i="5"/>
  <c r="CK46" i="5"/>
  <c r="CK44" i="1" s="1"/>
  <c r="Q264" i="5"/>
  <c r="R198" i="5"/>
  <c r="R264" i="5"/>
  <c r="CL301" i="5"/>
  <c r="CL46" i="5"/>
  <c r="CL44" i="1" s="1"/>
  <c r="S198" i="5"/>
  <c r="S264" i="5"/>
  <c r="CB299" i="5"/>
  <c r="CB301" i="5" s="1"/>
  <c r="AN233" i="5"/>
  <c r="AN264" i="5"/>
  <c r="AB229" i="5"/>
  <c r="AB264" i="5"/>
  <c r="AO229" i="5"/>
  <c r="AO264" i="5"/>
  <c r="AC262" i="5"/>
  <c r="AC105" i="5" s="1"/>
  <c r="AC264" i="5"/>
  <c r="AF268" i="5"/>
  <c r="AP81" i="5"/>
  <c r="AP264" i="5"/>
  <c r="AD81" i="5"/>
  <c r="AD264" i="5"/>
  <c r="AQ264" i="5"/>
  <c r="AE81" i="5"/>
  <c r="AE264" i="5"/>
  <c r="AR268" i="5"/>
  <c r="AH231" i="5"/>
  <c r="AH264" i="5"/>
  <c r="V233" i="5"/>
  <c r="V264" i="5"/>
  <c r="K198" i="5"/>
  <c r="AU81" i="5"/>
  <c r="AU264" i="5"/>
  <c r="AI81" i="5"/>
  <c r="AI264" i="5"/>
  <c r="W81" i="5"/>
  <c r="W264" i="5"/>
  <c r="K264" i="5"/>
  <c r="AX271" i="5"/>
  <c r="AT81" i="5"/>
  <c r="AT264" i="5"/>
  <c r="AJ262" i="5"/>
  <c r="AJ105" i="5" s="1"/>
  <c r="AJ264" i="5"/>
  <c r="X231" i="5"/>
  <c r="X264" i="5"/>
  <c r="L264" i="5"/>
  <c r="AV81" i="5"/>
  <c r="AV264" i="5"/>
  <c r="AK231" i="5"/>
  <c r="AK264" i="5"/>
  <c r="Y233" i="5"/>
  <c r="Y264" i="5"/>
  <c r="M264" i="5"/>
  <c r="AD196" i="5"/>
  <c r="AD104" i="5" s="1"/>
  <c r="AD198" i="5"/>
  <c r="AP191" i="5"/>
  <c r="AP198" i="5"/>
  <c r="V191" i="5"/>
  <c r="V198" i="5"/>
  <c r="AH80" i="5"/>
  <c r="AH198" i="5"/>
  <c r="AT80" i="5"/>
  <c r="AZ88" i="5" s="1"/>
  <c r="AT198" i="5"/>
  <c r="AZ195" i="5"/>
  <c r="AQ198" i="5"/>
  <c r="AW195" i="5"/>
  <c r="AW110" i="5" s="1"/>
  <c r="O38" i="13" s="1"/>
  <c r="W192" i="5"/>
  <c r="W198" i="5"/>
  <c r="AI192" i="5"/>
  <c r="AI198" i="5"/>
  <c r="AU80" i="5"/>
  <c r="BA88" i="5" s="1"/>
  <c r="AU198" i="5"/>
  <c r="BA195" i="5"/>
  <c r="AF202" i="5"/>
  <c r="AB157" i="5"/>
  <c r="AN157" i="5"/>
  <c r="P157" i="5"/>
  <c r="L198" i="5"/>
  <c r="X80" i="5"/>
  <c r="X198" i="5"/>
  <c r="AJ189" i="5"/>
  <c r="AJ198" i="5"/>
  <c r="AV80" i="5"/>
  <c r="BB88" i="5" s="1"/>
  <c r="AV198" i="5"/>
  <c r="BB195" i="5"/>
  <c r="BB110" i="5" s="1"/>
  <c r="T38" i="13" s="1"/>
  <c r="AC157" i="5"/>
  <c r="Q157" i="5"/>
  <c r="M191" i="5"/>
  <c r="M198" i="5"/>
  <c r="Y192" i="5"/>
  <c r="Y198" i="5"/>
  <c r="AK80" i="5"/>
  <c r="AK198" i="5"/>
  <c r="AR202" i="5"/>
  <c r="AD157" i="5"/>
  <c r="R157" i="5"/>
  <c r="P198" i="5"/>
  <c r="AB80" i="5"/>
  <c r="AB198" i="5"/>
  <c r="AN190" i="5"/>
  <c r="AN198" i="5"/>
  <c r="AE196" i="5"/>
  <c r="AE104" i="5" s="1"/>
  <c r="AE198" i="5"/>
  <c r="S73" i="5"/>
  <c r="AE157" i="5"/>
  <c r="S157" i="5"/>
  <c r="Q198" i="5"/>
  <c r="AC189" i="5"/>
  <c r="AC198" i="5"/>
  <c r="AO192" i="5"/>
  <c r="AO198" i="5"/>
  <c r="AV79" i="5"/>
  <c r="AV157" i="5"/>
  <c r="M157" i="5"/>
  <c r="Z161" i="5"/>
  <c r="AO157" i="5"/>
  <c r="AP157" i="5"/>
  <c r="AW144" i="5"/>
  <c r="AQ157" i="5"/>
  <c r="AW154" i="5"/>
  <c r="AW109" i="5" s="1"/>
  <c r="O9" i="13" s="1"/>
  <c r="AH157" i="5"/>
  <c r="V148" i="5"/>
  <c r="V157" i="5"/>
  <c r="AT79" i="5"/>
  <c r="AT157" i="5"/>
  <c r="AI157" i="5"/>
  <c r="AU79" i="5"/>
  <c r="AU157" i="5"/>
  <c r="AJ157" i="5"/>
  <c r="BL277" i="5"/>
  <c r="BF283" i="5"/>
  <c r="BF8" i="5"/>
  <c r="BF279" i="5"/>
  <c r="BF280" i="5"/>
  <c r="BJ277" i="5"/>
  <c r="BJ279" i="5" s="1"/>
  <c r="BF281" i="5"/>
  <c r="BI283" i="5"/>
  <c r="BI8" i="5"/>
  <c r="BI8" i="1" s="1"/>
  <c r="BO277" i="5"/>
  <c r="BI280" i="5"/>
  <c r="BI281" i="5"/>
  <c r="BI279" i="5"/>
  <c r="AX164" i="5"/>
  <c r="AW124" i="5"/>
  <c r="BC18" i="1"/>
  <c r="BC9" i="1"/>
  <c r="BC13" i="1" s="1"/>
  <c r="AZ8" i="1"/>
  <c r="BD8" i="5"/>
  <c r="AN115" i="5"/>
  <c r="AT68" i="5"/>
  <c r="AT59" i="5"/>
  <c r="AT58" i="5"/>
  <c r="CJ299" i="5"/>
  <c r="AX288" i="5"/>
  <c r="AX289" i="5" s="1"/>
  <c r="AX284" i="5"/>
  <c r="BD283" i="5"/>
  <c r="BM277" i="5"/>
  <c r="BG283" i="5"/>
  <c r="BG8" i="5"/>
  <c r="BG8" i="1" s="1"/>
  <c r="AO71" i="5"/>
  <c r="AU64" i="5"/>
  <c r="AO73" i="5"/>
  <c r="AU66" i="5"/>
  <c r="AU59" i="5"/>
  <c r="AU58" i="5"/>
  <c r="AU68" i="5"/>
  <c r="CF49" i="1"/>
  <c r="CF44" i="1"/>
  <c r="BB19" i="1"/>
  <c r="BB12" i="1"/>
  <c r="BD278" i="5"/>
  <c r="BD279" i="5"/>
  <c r="BH8" i="5"/>
  <c r="BH8" i="1" s="1"/>
  <c r="BH283" i="5"/>
  <c r="BN277" i="5"/>
  <c r="AP71" i="5"/>
  <c r="AV64" i="5"/>
  <c r="AP73" i="5"/>
  <c r="AV66" i="5"/>
  <c r="AV58" i="5"/>
  <c r="AV59" i="5"/>
  <c r="AV68" i="5"/>
  <c r="CJ303" i="5"/>
  <c r="AX278" i="5"/>
  <c r="BG281" i="5"/>
  <c r="AQ71" i="5"/>
  <c r="AW64" i="5"/>
  <c r="AQ73" i="5"/>
  <c r="AW66" i="5"/>
  <c r="AQ115" i="5"/>
  <c r="AT60" i="5"/>
  <c r="AX60" i="5" s="1"/>
  <c r="AT61" i="5"/>
  <c r="AX61" i="5" s="1"/>
  <c r="AW59" i="5"/>
  <c r="AW68" i="5"/>
  <c r="AW58" i="5"/>
  <c r="CE49" i="1"/>
  <c r="CE44" i="1"/>
  <c r="BX49" i="1"/>
  <c r="BX44" i="1"/>
  <c r="BG280" i="5"/>
  <c r="BH281" i="5"/>
  <c r="BO303" i="5"/>
  <c r="BJ303" i="5"/>
  <c r="BA19" i="1"/>
  <c r="BA12" i="1"/>
  <c r="BG279" i="5"/>
  <c r="BH280" i="5"/>
  <c r="AX58" i="5"/>
  <c r="AX68" i="5"/>
  <c r="AX59" i="5"/>
  <c r="AJ90" i="5"/>
  <c r="X90" i="5"/>
  <c r="CH286" i="5"/>
  <c r="CJ286" i="5"/>
  <c r="AX8" i="1"/>
  <c r="AX9" i="5"/>
  <c r="BA13" i="1"/>
  <c r="BH279" i="5"/>
  <c r="M90" i="5"/>
  <c r="AW9" i="1"/>
  <c r="BC291" i="5"/>
  <c r="AQ202" i="5"/>
  <c r="AQ203" i="5" s="1"/>
  <c r="AW200" i="5"/>
  <c r="AX200" i="5" s="1"/>
  <c r="AQ268" i="5"/>
  <c r="AQ269" i="5" s="1"/>
  <c r="AW266" i="5"/>
  <c r="AX266" i="5" s="1"/>
  <c r="BC205" i="5"/>
  <c r="BD205" i="5" s="1"/>
  <c r="BD271" i="5"/>
  <c r="BC164" i="5"/>
  <c r="F151" i="5"/>
  <c r="F149" i="5"/>
  <c r="F147" i="5"/>
  <c r="F150" i="5"/>
  <c r="F148" i="5"/>
  <c r="AU231" i="5"/>
  <c r="L115" i="5"/>
  <c r="L122" i="5"/>
  <c r="G148" i="5"/>
  <c r="G149" i="5"/>
  <c r="G147" i="5"/>
  <c r="G150" i="5"/>
  <c r="G151" i="5"/>
  <c r="AT229" i="5"/>
  <c r="M115" i="5"/>
  <c r="M122" i="5"/>
  <c r="AV233" i="5"/>
  <c r="AQ189" i="5"/>
  <c r="AW175" i="5"/>
  <c r="AW174" i="5"/>
  <c r="AW185" i="5"/>
  <c r="R115" i="5"/>
  <c r="R122" i="5"/>
  <c r="AU144" i="5"/>
  <c r="AT192" i="5"/>
  <c r="AZ185" i="5"/>
  <c r="AZ175" i="5"/>
  <c r="AZ174" i="5"/>
  <c r="AU191" i="5"/>
  <c r="BA175" i="5"/>
  <c r="BA185" i="5"/>
  <c r="BA174" i="5"/>
  <c r="AQ233" i="5"/>
  <c r="V115" i="5"/>
  <c r="V122" i="5"/>
  <c r="J115" i="5"/>
  <c r="J122" i="5"/>
  <c r="E148" i="5"/>
  <c r="E151" i="5"/>
  <c r="E149" i="5"/>
  <c r="E150" i="5"/>
  <c r="E147" i="5"/>
  <c r="AV188" i="5"/>
  <c r="BB185" i="5"/>
  <c r="AW177" i="5"/>
  <c r="BB174" i="5"/>
  <c r="AW176" i="5"/>
  <c r="BB175" i="5"/>
  <c r="K115" i="5"/>
  <c r="K122" i="5"/>
  <c r="CL193" i="5"/>
  <c r="CK193" i="5"/>
  <c r="CN193" i="5"/>
  <c r="CJ193" i="5"/>
  <c r="BP193" i="5"/>
  <c r="CG193" i="5"/>
  <c r="CM193" i="5"/>
  <c r="BZ193" i="5"/>
  <c r="CE193" i="5"/>
  <c r="CH193" i="5"/>
  <c r="BU193" i="5"/>
  <c r="BO193" i="5"/>
  <c r="BT193" i="5"/>
  <c r="BY193" i="5"/>
  <c r="CD193" i="5"/>
  <c r="BV193" i="5"/>
  <c r="CA193" i="5"/>
  <c r="CF193" i="5"/>
  <c r="CB193" i="5"/>
  <c r="BL193" i="5"/>
  <c r="BM193" i="5"/>
  <c r="BR193" i="5"/>
  <c r="BN193" i="5"/>
  <c r="BS193" i="5"/>
  <c r="BX193" i="5"/>
  <c r="AK90" i="5"/>
  <c r="Y90" i="5"/>
  <c r="P149" i="5"/>
  <c r="J192" i="5"/>
  <c r="P262" i="5"/>
  <c r="P105" i="5" s="1"/>
  <c r="E79" i="5"/>
  <c r="K192" i="5"/>
  <c r="Q230" i="5"/>
  <c r="E269" i="5"/>
  <c r="F79" i="5"/>
  <c r="L80" i="5"/>
  <c r="R262" i="5"/>
  <c r="R105" i="5" s="1"/>
  <c r="F232" i="5"/>
  <c r="S79" i="5"/>
  <c r="G79" i="5"/>
  <c r="M80" i="5"/>
  <c r="S81" i="5"/>
  <c r="G81" i="5"/>
  <c r="P191" i="5"/>
  <c r="J269" i="5"/>
  <c r="E188" i="5"/>
  <c r="Q80" i="5"/>
  <c r="K230" i="5"/>
  <c r="F192" i="5"/>
  <c r="R188" i="5"/>
  <c r="L229" i="5"/>
  <c r="G203" i="5"/>
  <c r="S192" i="5"/>
  <c r="M229" i="5"/>
  <c r="AV284" i="5"/>
  <c r="AQ190" i="5"/>
  <c r="AQ124" i="5"/>
  <c r="AK124" i="5"/>
  <c r="H82" i="5"/>
  <c r="AQ159" i="5"/>
  <c r="AW159" i="5" s="1"/>
  <c r="AR119" i="5"/>
  <c r="AR46" i="5" s="1"/>
  <c r="AK159" i="5"/>
  <c r="AL119" i="5"/>
  <c r="AE159" i="5"/>
  <c r="AF119" i="5"/>
  <c r="AE124" i="5"/>
  <c r="AQ150" i="5"/>
  <c r="AE262" i="5"/>
  <c r="AE105" i="5" s="1"/>
  <c r="M192" i="5"/>
  <c r="AW189" i="5"/>
  <c r="BI191" i="5"/>
  <c r="S230" i="5"/>
  <c r="AE233" i="5"/>
  <c r="AE150" i="5"/>
  <c r="AK188" i="5"/>
  <c r="AW190" i="5"/>
  <c r="BI192" i="5"/>
  <c r="S231" i="5"/>
  <c r="AL161" i="5"/>
  <c r="S151" i="5"/>
  <c r="AQ149" i="5"/>
  <c r="G269" i="5"/>
  <c r="AK189" i="5"/>
  <c r="AW191" i="5"/>
  <c r="G229" i="5"/>
  <c r="S232" i="5"/>
  <c r="S150" i="5"/>
  <c r="AE149" i="5"/>
  <c r="S269" i="5"/>
  <c r="AK190" i="5"/>
  <c r="G230" i="5"/>
  <c r="S233" i="5"/>
  <c r="AH65" i="5"/>
  <c r="W90" i="5"/>
  <c r="K90" i="5"/>
  <c r="S149" i="5"/>
  <c r="AQ148" i="5"/>
  <c r="M196" i="5"/>
  <c r="M104" i="5" s="1"/>
  <c r="M203" i="5"/>
  <c r="M188" i="5"/>
  <c r="AK191" i="5"/>
  <c r="G231" i="5"/>
  <c r="AE229" i="5"/>
  <c r="S148" i="5"/>
  <c r="AE148" i="5"/>
  <c r="Y196" i="5"/>
  <c r="Y104" i="5" s="1"/>
  <c r="Y203" i="5"/>
  <c r="M189" i="5"/>
  <c r="AK192" i="5"/>
  <c r="BI188" i="5"/>
  <c r="G232" i="5"/>
  <c r="AE230" i="5"/>
  <c r="S147" i="5"/>
  <c r="AQ151" i="5"/>
  <c r="AQ147" i="5"/>
  <c r="AK196" i="5"/>
  <c r="AK104" i="5" s="1"/>
  <c r="G262" i="5"/>
  <c r="G105" i="5" s="1"/>
  <c r="M190" i="5"/>
  <c r="G233" i="5"/>
  <c r="AE231" i="5"/>
  <c r="AH64" i="5"/>
  <c r="M150" i="5"/>
  <c r="AE188" i="5"/>
  <c r="P115" i="5"/>
  <c r="AI90" i="5"/>
  <c r="V68" i="5"/>
  <c r="AE269" i="5"/>
  <c r="AN90" i="5"/>
  <c r="AB90" i="5"/>
  <c r="P90" i="5"/>
  <c r="Z82" i="5"/>
  <c r="S196" i="5"/>
  <c r="S104" i="5" s="1"/>
  <c r="M148" i="5"/>
  <c r="AQ90" i="5"/>
  <c r="Q150" i="5"/>
  <c r="AC151" i="5"/>
  <c r="AC148" i="5"/>
  <c r="BG192" i="5"/>
  <c r="AD122" i="5"/>
  <c r="K203" i="5"/>
  <c r="W188" i="5"/>
  <c r="AO230" i="5"/>
  <c r="AB65" i="5"/>
  <c r="P67" i="5"/>
  <c r="AO90" i="5"/>
  <c r="AC90" i="5"/>
  <c r="Q90" i="5"/>
  <c r="W196" i="5"/>
  <c r="W104" i="5" s="1"/>
  <c r="Q231" i="5"/>
  <c r="Q148" i="5"/>
  <c r="AO149" i="5"/>
  <c r="W189" i="5"/>
  <c r="AU188" i="5"/>
  <c r="AO231" i="5"/>
  <c r="E262" i="5"/>
  <c r="E105" i="5" s="1"/>
  <c r="E232" i="5"/>
  <c r="AP231" i="5"/>
  <c r="AE90" i="5"/>
  <c r="S90" i="5"/>
  <c r="K189" i="5"/>
  <c r="V90" i="5"/>
  <c r="AD230" i="5"/>
  <c r="AP150" i="5"/>
  <c r="M176" i="5"/>
  <c r="L188" i="5"/>
  <c r="R230" i="5"/>
  <c r="AP90" i="5"/>
  <c r="AD90" i="5"/>
  <c r="R90" i="5"/>
  <c r="L90" i="5"/>
  <c r="X191" i="5"/>
  <c r="J90" i="5"/>
  <c r="L203" i="5"/>
  <c r="AF82" i="5"/>
  <c r="AP151" i="5"/>
  <c r="F269" i="5"/>
  <c r="AJ190" i="5"/>
  <c r="BH191" i="5"/>
  <c r="P68" i="5"/>
  <c r="J65" i="5"/>
  <c r="J67" i="5"/>
  <c r="AB196" i="5"/>
  <c r="AB104" i="5" s="1"/>
  <c r="V269" i="5"/>
  <c r="AH269" i="5"/>
  <c r="AU269" i="5"/>
  <c r="AB188" i="5"/>
  <c r="AN280" i="5"/>
  <c r="AH148" i="5"/>
  <c r="AN191" i="5"/>
  <c r="J233" i="5"/>
  <c r="AU233" i="5"/>
  <c r="Y68" i="5"/>
  <c r="AL82" i="5"/>
  <c r="AH90" i="5"/>
  <c r="T82" i="5"/>
  <c r="J147" i="5"/>
  <c r="AH233" i="5"/>
  <c r="AN71" i="5"/>
  <c r="G243" i="5"/>
  <c r="S243" i="5"/>
  <c r="AE243" i="5"/>
  <c r="AB68" i="5"/>
  <c r="AN281" i="5"/>
  <c r="V196" i="5"/>
  <c r="V104" i="5" s="1"/>
  <c r="N82" i="5"/>
  <c r="J68" i="5"/>
  <c r="AH122" i="5"/>
  <c r="M79" i="5"/>
  <c r="AR82" i="5"/>
  <c r="P79" i="5"/>
  <c r="Q79" i="5"/>
  <c r="J80" i="5"/>
  <c r="K80" i="5"/>
  <c r="AI79" i="5"/>
  <c r="S80" i="5"/>
  <c r="AJ79" i="5"/>
  <c r="AC80" i="5"/>
  <c r="AN81" i="5"/>
  <c r="AT89" i="5" s="1"/>
  <c r="AD80" i="5"/>
  <c r="AO81" i="5"/>
  <c r="AF161" i="5"/>
  <c r="V150" i="5"/>
  <c r="J229" i="5"/>
  <c r="AH232" i="5"/>
  <c r="AU232" i="5"/>
  <c r="AB280" i="5"/>
  <c r="V81" i="5"/>
  <c r="AE79" i="5"/>
  <c r="J151" i="5"/>
  <c r="V147" i="5"/>
  <c r="AH150" i="5"/>
  <c r="AN203" i="5"/>
  <c r="J218" i="5"/>
  <c r="J262" i="5"/>
  <c r="J105" i="5" s="1"/>
  <c r="AN192" i="5"/>
  <c r="AZ188" i="5"/>
  <c r="J232" i="5"/>
  <c r="V229" i="5"/>
  <c r="J243" i="5"/>
  <c r="V243" i="5"/>
  <c r="AH243" i="5"/>
  <c r="R79" i="5"/>
  <c r="V79" i="5"/>
  <c r="X81" i="5"/>
  <c r="AB81" i="5"/>
  <c r="AK79" i="5"/>
  <c r="AN79" i="5"/>
  <c r="V80" i="5"/>
  <c r="AE80" i="5"/>
  <c r="AO80" i="5"/>
  <c r="AN80" i="5"/>
  <c r="J150" i="5"/>
  <c r="P176" i="5"/>
  <c r="P177" i="5"/>
  <c r="AN196" i="5"/>
  <c r="AN104" i="5" s="1"/>
  <c r="AU215" i="5"/>
  <c r="V218" i="5"/>
  <c r="P188" i="5"/>
  <c r="AB189" i="5"/>
  <c r="AZ189" i="5"/>
  <c r="J231" i="5"/>
  <c r="V230" i="5"/>
  <c r="AU243" i="5"/>
  <c r="J81" i="5"/>
  <c r="W79" i="5"/>
  <c r="Y81" i="5"/>
  <c r="AC81" i="5"/>
  <c r="AO79" i="5"/>
  <c r="AQ81" i="5"/>
  <c r="W80" i="5"/>
  <c r="AP80" i="5"/>
  <c r="J149" i="5"/>
  <c r="V149" i="5"/>
  <c r="AB176" i="5"/>
  <c r="AB177" i="5"/>
  <c r="P196" i="5"/>
  <c r="P104" i="5" s="1"/>
  <c r="AB203" i="5"/>
  <c r="J217" i="5"/>
  <c r="AH218" i="5"/>
  <c r="V262" i="5"/>
  <c r="V105" i="5" s="1"/>
  <c r="P190" i="5"/>
  <c r="AB190" i="5"/>
  <c r="AZ190" i="5"/>
  <c r="J230" i="5"/>
  <c r="V231" i="5"/>
  <c r="K81" i="5"/>
  <c r="X79" i="5"/>
  <c r="AH81" i="5"/>
  <c r="AP79" i="5"/>
  <c r="E80" i="5"/>
  <c r="AQ80" i="5"/>
  <c r="AW88" i="5" s="1"/>
  <c r="J148" i="5"/>
  <c r="AH151" i="5"/>
  <c r="AH147" i="5"/>
  <c r="AN176" i="5"/>
  <c r="AN177" i="5"/>
  <c r="V217" i="5"/>
  <c r="P192" i="5"/>
  <c r="AB191" i="5"/>
  <c r="AN188" i="5"/>
  <c r="AZ191" i="5"/>
  <c r="V232" i="5"/>
  <c r="AH229" i="5"/>
  <c r="AU229" i="5"/>
  <c r="AB281" i="5"/>
  <c r="AI64" i="5"/>
  <c r="AC66" i="5"/>
  <c r="AC65" i="5"/>
  <c r="J79" i="5"/>
  <c r="L81" i="5"/>
  <c r="P81" i="5"/>
  <c r="Y79" i="5"/>
  <c r="AB79" i="5"/>
  <c r="AQ79" i="5"/>
  <c r="AW87" i="5" s="1"/>
  <c r="F80" i="5"/>
  <c r="P80" i="5"/>
  <c r="Y80" i="5"/>
  <c r="AI80" i="5"/>
  <c r="V151" i="5"/>
  <c r="AH149" i="5"/>
  <c r="P203" i="5"/>
  <c r="AH217" i="5"/>
  <c r="AH262" i="5"/>
  <c r="AH105" i="5" s="1"/>
  <c r="AB192" i="5"/>
  <c r="AN189" i="5"/>
  <c r="AH230" i="5"/>
  <c r="AU230" i="5"/>
  <c r="F81" i="5"/>
  <c r="K79" i="5"/>
  <c r="M81" i="5"/>
  <c r="Q81" i="5"/>
  <c r="AC79" i="5"/>
  <c r="AJ81" i="5"/>
  <c r="G80" i="5"/>
  <c r="AJ80" i="5"/>
  <c r="AU226" i="5"/>
  <c r="AU262" i="5"/>
  <c r="AU105" i="5" s="1"/>
  <c r="E81" i="5"/>
  <c r="L79" i="5"/>
  <c r="R81" i="5"/>
  <c r="AD79" i="5"/>
  <c r="AH79" i="5"/>
  <c r="AK81" i="5"/>
  <c r="R80" i="5"/>
  <c r="Q218" i="5"/>
  <c r="AO262" i="5"/>
  <c r="AO105" i="5" s="1"/>
  <c r="AO269" i="5"/>
  <c r="K190" i="5"/>
  <c r="W190" i="5"/>
  <c r="AU189" i="5"/>
  <c r="BG189" i="5"/>
  <c r="E229" i="5"/>
  <c r="E233" i="5"/>
  <c r="AI66" i="5"/>
  <c r="AO147" i="5"/>
  <c r="AU203" i="5"/>
  <c r="Q269" i="5"/>
  <c r="W191" i="5"/>
  <c r="Q232" i="5"/>
  <c r="AO232" i="5"/>
  <c r="AN64" i="5"/>
  <c r="W281" i="5"/>
  <c r="K289" i="5"/>
  <c r="Q147" i="5"/>
  <c r="AO150" i="5"/>
  <c r="AC149" i="5"/>
  <c r="AN147" i="5"/>
  <c r="K196" i="5"/>
  <c r="K104" i="5" s="1"/>
  <c r="AI196" i="5"/>
  <c r="AI104" i="5" s="1"/>
  <c r="AH203" i="5"/>
  <c r="Q262" i="5"/>
  <c r="Q105" i="5" s="1"/>
  <c r="K191" i="5"/>
  <c r="AU190" i="5"/>
  <c r="BG190" i="5"/>
  <c r="E230" i="5"/>
  <c r="Q229" i="5"/>
  <c r="AO233" i="5"/>
  <c r="Q149" i="5"/>
  <c r="V203" i="5"/>
  <c r="AI203" i="5"/>
  <c r="AH216" i="5"/>
  <c r="AP218" i="5"/>
  <c r="K188" i="5"/>
  <c r="Q233" i="5"/>
  <c r="W65" i="5"/>
  <c r="L280" i="5"/>
  <c r="AJ281" i="5"/>
  <c r="AO65" i="5"/>
  <c r="Q175" i="5"/>
  <c r="AO216" i="5"/>
  <c r="AJ66" i="5"/>
  <c r="AJ74" i="5"/>
  <c r="AJ65" i="5"/>
  <c r="AD67" i="5"/>
  <c r="X66" i="5"/>
  <c r="X68" i="5"/>
  <c r="R65" i="5"/>
  <c r="X67" i="5"/>
  <c r="R66" i="5"/>
  <c r="L65" i="5"/>
  <c r="Q151" i="5"/>
  <c r="AO148" i="5"/>
  <c r="W203" i="5"/>
  <c r="AU216" i="5"/>
  <c r="AT191" i="5"/>
  <c r="BG191" i="5"/>
  <c r="E231" i="5"/>
  <c r="AN58" i="5"/>
  <c r="AO151" i="5"/>
  <c r="AC150" i="5"/>
  <c r="AC147" i="5"/>
  <c r="AU196" i="5"/>
  <c r="AU104" i="5" s="1"/>
  <c r="E243" i="5"/>
  <c r="Q243" i="5"/>
  <c r="AO243" i="5"/>
  <c r="V65" i="5"/>
  <c r="AH67" i="5"/>
  <c r="AB67" i="5"/>
  <c r="P65" i="5"/>
  <c r="AN175" i="5"/>
  <c r="J215" i="5"/>
  <c r="AI65" i="5"/>
  <c r="AI67" i="5"/>
  <c r="AC64" i="5"/>
  <c r="W64" i="5"/>
  <c r="W66" i="5"/>
  <c r="Q65" i="5"/>
  <c r="K64" i="5"/>
  <c r="K66" i="5"/>
  <c r="M73" i="5"/>
  <c r="Y174" i="5"/>
  <c r="AT176" i="5"/>
  <c r="J185" i="5"/>
  <c r="AH192" i="5"/>
  <c r="BF191" i="5"/>
  <c r="AB230" i="5"/>
  <c r="K65" i="5"/>
  <c r="V67" i="5"/>
  <c r="J278" i="5"/>
  <c r="AH279" i="5"/>
  <c r="AO60" i="5"/>
  <c r="Z54" i="5"/>
  <c r="Z73" i="5" s="1"/>
  <c r="AE279" i="5"/>
  <c r="N52" i="5"/>
  <c r="N71" i="5" s="1"/>
  <c r="AB151" i="5"/>
  <c r="AN144" i="5"/>
  <c r="AB174" i="5"/>
  <c r="P175" i="5"/>
  <c r="AU176" i="5"/>
  <c r="AI177" i="5"/>
  <c r="AT185" i="5"/>
  <c r="AB215" i="5"/>
  <c r="Q64" i="5"/>
  <c r="AB122" i="5"/>
  <c r="AH278" i="5"/>
  <c r="BA279" i="5"/>
  <c r="AU280" i="5"/>
  <c r="AN149" i="5"/>
  <c r="AT174" i="5"/>
  <c r="AK175" i="5"/>
  <c r="AT203" i="5"/>
  <c r="P226" i="5"/>
  <c r="AT189" i="5"/>
  <c r="AK232" i="5"/>
  <c r="AN59" i="5"/>
  <c r="Q66" i="5"/>
  <c r="V72" i="5"/>
  <c r="P72" i="5"/>
  <c r="T53" i="5"/>
  <c r="T72" i="5" s="1"/>
  <c r="AF55" i="5"/>
  <c r="AF74" i="5" s="1"/>
  <c r="P151" i="5"/>
  <c r="Y148" i="5"/>
  <c r="P147" i="5"/>
  <c r="AH226" i="5"/>
  <c r="S189" i="5"/>
  <c r="W72" i="5"/>
  <c r="W289" i="5"/>
  <c r="AI289" i="5"/>
  <c r="L278" i="5"/>
  <c r="V74" i="5"/>
  <c r="J72" i="5"/>
  <c r="Y289" i="5"/>
  <c r="L176" i="5"/>
  <c r="AK289" i="5"/>
  <c r="L67" i="5"/>
  <c r="AN65" i="5"/>
  <c r="AN67" i="5"/>
  <c r="AO64" i="5"/>
  <c r="AT281" i="5"/>
  <c r="AD192" i="5"/>
  <c r="AJ231" i="5"/>
  <c r="X218" i="5"/>
  <c r="AK203" i="5"/>
  <c r="AD188" i="5"/>
  <c r="T54" i="5"/>
  <c r="T73" i="5" s="1"/>
  <c r="L148" i="5"/>
  <c r="X232" i="5"/>
  <c r="AV231" i="5"/>
  <c r="H53" i="5"/>
  <c r="N53" i="5"/>
  <c r="L269" i="5"/>
  <c r="AJ232" i="5"/>
  <c r="AD66" i="5"/>
  <c r="T55" i="5"/>
  <c r="T74" i="5" s="1"/>
  <c r="N54" i="5"/>
  <c r="N73" i="5" s="1"/>
  <c r="AP226" i="5"/>
  <c r="X262" i="5"/>
  <c r="X105" i="5" s="1"/>
  <c r="X229" i="5"/>
  <c r="X233" i="5"/>
  <c r="AE66" i="5"/>
  <c r="AJ67" i="5"/>
  <c r="Y115" i="5"/>
  <c r="X72" i="5"/>
  <c r="J144" i="5"/>
  <c r="AH175" i="5"/>
  <c r="J226" i="5"/>
  <c r="K67" i="5"/>
  <c r="H52" i="5"/>
  <c r="X148" i="5"/>
  <c r="AP185" i="5"/>
  <c r="AJ229" i="5"/>
  <c r="F284" i="5"/>
  <c r="F289" i="5"/>
  <c r="AU151" i="5"/>
  <c r="AK218" i="5"/>
  <c r="X269" i="5"/>
  <c r="AJ269" i="5"/>
  <c r="AD190" i="5"/>
  <c r="BB190" i="5"/>
  <c r="X230" i="5"/>
  <c r="AJ233" i="5"/>
  <c r="X243" i="5"/>
  <c r="AJ243" i="5"/>
  <c r="AD185" i="5"/>
  <c r="AP216" i="5"/>
  <c r="AJ226" i="5"/>
  <c r="L279" i="5"/>
  <c r="AK65" i="5"/>
  <c r="AE64" i="5"/>
  <c r="AK66" i="5"/>
  <c r="AE68" i="5"/>
  <c r="Y72" i="5"/>
  <c r="Y64" i="5"/>
  <c r="S68" i="5"/>
  <c r="M66" i="5"/>
  <c r="Z55" i="5"/>
  <c r="Z74" i="5" s="1"/>
  <c r="X215" i="5"/>
  <c r="AJ230" i="5"/>
  <c r="AD68" i="5"/>
  <c r="AO59" i="5"/>
  <c r="X65" i="5"/>
  <c r="R67" i="5"/>
  <c r="AJ68" i="5"/>
  <c r="AJ115" i="5"/>
  <c r="AD72" i="5"/>
  <c r="L66" i="5"/>
  <c r="L68" i="5"/>
  <c r="AO115" i="5"/>
  <c r="AO122" i="5"/>
  <c r="AO61" i="5"/>
  <c r="AD65" i="5"/>
  <c r="AO66" i="5"/>
  <c r="X115" i="5"/>
  <c r="X73" i="5"/>
  <c r="AJ72" i="5"/>
  <c r="AD58" i="5"/>
  <c r="X74" i="5"/>
  <c r="R58" i="5"/>
  <c r="AL53" i="5"/>
  <c r="AL72" i="5" s="1"/>
  <c r="AT151" i="5"/>
  <c r="E191" i="5"/>
  <c r="Y281" i="5"/>
  <c r="AF52" i="5"/>
  <c r="AJ122" i="5"/>
  <c r="AE217" i="5"/>
  <c r="AP262" i="5"/>
  <c r="AP105" i="5" s="1"/>
  <c r="L191" i="5"/>
  <c r="X188" i="5"/>
  <c r="AV191" i="5"/>
  <c r="BH189" i="5"/>
  <c r="F230" i="5"/>
  <c r="R233" i="5"/>
  <c r="AK64" i="5"/>
  <c r="X280" i="5"/>
  <c r="AK281" i="5"/>
  <c r="L284" i="5"/>
  <c r="R150" i="5"/>
  <c r="X176" i="5"/>
  <c r="AV176" i="5"/>
  <c r="AJ177" i="5"/>
  <c r="X196" i="5"/>
  <c r="X104" i="5" s="1"/>
  <c r="AV196" i="5"/>
  <c r="AV104" i="5" s="1"/>
  <c r="AD215" i="5"/>
  <c r="R216" i="5"/>
  <c r="R218" i="5"/>
  <c r="AD269" i="5"/>
  <c r="AP269" i="5"/>
  <c r="X192" i="5"/>
  <c r="AJ191" i="5"/>
  <c r="AV189" i="5"/>
  <c r="F233" i="5"/>
  <c r="AD231" i="5"/>
  <c r="AP232" i="5"/>
  <c r="F243" i="5"/>
  <c r="R243" i="5"/>
  <c r="AD243" i="5"/>
  <c r="AP243" i="5"/>
  <c r="S64" i="5"/>
  <c r="S66" i="5"/>
  <c r="AE115" i="5"/>
  <c r="AQ279" i="5"/>
  <c r="Y280" i="5"/>
  <c r="AC74" i="5"/>
  <c r="R147" i="5"/>
  <c r="AD148" i="5"/>
  <c r="AD147" i="5"/>
  <c r="Y176" i="5"/>
  <c r="L177" i="5"/>
  <c r="AK177" i="5"/>
  <c r="X203" i="5"/>
  <c r="AJ203" i="5"/>
  <c r="AV203" i="5"/>
  <c r="AJ215" i="5"/>
  <c r="X216" i="5"/>
  <c r="AP217" i="5"/>
  <c r="S218" i="5"/>
  <c r="F262" i="5"/>
  <c r="F105" i="5" s="1"/>
  <c r="L189" i="5"/>
  <c r="X189" i="5"/>
  <c r="BH192" i="5"/>
  <c r="R231" i="5"/>
  <c r="M68" i="5"/>
  <c r="L281" i="5"/>
  <c r="AI279" i="5"/>
  <c r="L58" i="5"/>
  <c r="N55" i="5"/>
  <c r="AR161" i="5"/>
  <c r="AD151" i="5"/>
  <c r="AD150" i="5"/>
  <c r="AD149" i="5"/>
  <c r="M177" i="5"/>
  <c r="L196" i="5"/>
  <c r="L104" i="5" s="1"/>
  <c r="AP215" i="5"/>
  <c r="AD216" i="5"/>
  <c r="AQ217" i="5"/>
  <c r="X226" i="5"/>
  <c r="AD262" i="5"/>
  <c r="AD105" i="5" s="1"/>
  <c r="L192" i="5"/>
  <c r="AJ188" i="5"/>
  <c r="AV192" i="5"/>
  <c r="BH190" i="5"/>
  <c r="F231" i="5"/>
  <c r="AD232" i="5"/>
  <c r="AP229" i="5"/>
  <c r="S115" i="5"/>
  <c r="AJ280" i="5"/>
  <c r="X284" i="5"/>
  <c r="L289" i="5"/>
  <c r="S65" i="5"/>
  <c r="AL52" i="5"/>
  <c r="AL71" i="5" s="1"/>
  <c r="R151" i="5"/>
  <c r="R148" i="5"/>
  <c r="AJ176" i="5"/>
  <c r="AV177" i="5"/>
  <c r="AE218" i="5"/>
  <c r="AD226" i="5"/>
  <c r="R269" i="5"/>
  <c r="X190" i="5"/>
  <c r="AJ192" i="5"/>
  <c r="AV190" i="5"/>
  <c r="BH188" i="5"/>
  <c r="R229" i="5"/>
  <c r="AD229" i="5"/>
  <c r="AP233" i="5"/>
  <c r="Y66" i="5"/>
  <c r="AK280" i="5"/>
  <c r="X281" i="5"/>
  <c r="H55" i="5"/>
  <c r="AP147" i="5"/>
  <c r="AK176" i="5"/>
  <c r="X177" i="5"/>
  <c r="R185" i="5"/>
  <c r="AJ196" i="5"/>
  <c r="AJ104" i="5" s="1"/>
  <c r="AJ216" i="5"/>
  <c r="R217" i="5"/>
  <c r="L190" i="5"/>
  <c r="F229" i="5"/>
  <c r="R232" i="5"/>
  <c r="AD233" i="5"/>
  <c r="AP230" i="5"/>
  <c r="G115" i="5"/>
  <c r="X289" i="5"/>
  <c r="AJ289" i="5"/>
  <c r="H54" i="5"/>
  <c r="R149" i="5"/>
  <c r="AP149" i="5"/>
  <c r="AP148" i="5"/>
  <c r="Y177" i="5"/>
  <c r="S217" i="5"/>
  <c r="M65" i="5"/>
  <c r="J60" i="5"/>
  <c r="AL54" i="5"/>
  <c r="AL73" i="5" s="1"/>
  <c r="W60" i="5"/>
  <c r="Q67" i="5"/>
  <c r="AL55" i="5"/>
  <c r="AL74" i="5" s="1"/>
  <c r="T52" i="5"/>
  <c r="T71" i="5" s="1"/>
  <c r="AF53" i="5"/>
  <c r="AK58" i="5"/>
  <c r="Y58" i="5"/>
  <c r="AF54" i="5"/>
  <c r="AF73" i="5" s="1"/>
  <c r="N284" i="5"/>
  <c r="Z52" i="5"/>
  <c r="Z71" i="5" s="1"/>
  <c r="W74" i="5"/>
  <c r="Z53" i="5"/>
  <c r="Z72" i="5" s="1"/>
  <c r="AD217" i="5"/>
  <c r="AI148" i="5"/>
  <c r="Q192" i="5"/>
  <c r="V64" i="5"/>
  <c r="W67" i="5"/>
  <c r="BC279" i="5"/>
  <c r="AP72" i="5"/>
  <c r="AP74" i="5"/>
  <c r="AD74" i="5"/>
  <c r="S71" i="5"/>
  <c r="M72" i="5"/>
  <c r="AE65" i="5"/>
  <c r="T289" i="5"/>
  <c r="AZ281" i="5"/>
  <c r="BD281" i="5" s="1"/>
  <c r="X278" i="5"/>
  <c r="W71" i="5"/>
  <c r="AU150" i="5"/>
  <c r="AU149" i="5"/>
  <c r="AC185" i="5"/>
  <c r="K217" i="5"/>
  <c r="J64" i="5"/>
  <c r="AB64" i="5"/>
  <c r="AC67" i="5"/>
  <c r="K279" i="5"/>
  <c r="AJ73" i="5"/>
  <c r="AH74" i="5"/>
  <c r="AD73" i="5"/>
  <c r="AB74" i="5"/>
  <c r="X71" i="5"/>
  <c r="V73" i="5"/>
  <c r="K148" i="5"/>
  <c r="AU148" i="5"/>
  <c r="W269" i="5"/>
  <c r="Q189" i="5"/>
  <c r="AC192" i="5"/>
  <c r="V176" i="5"/>
  <c r="AN217" i="5"/>
  <c r="AI281" i="5"/>
  <c r="W148" i="5"/>
  <c r="AU147" i="5"/>
  <c r="AO174" i="5"/>
  <c r="AT233" i="5"/>
  <c r="P64" i="5"/>
  <c r="AZ280" i="5"/>
  <c r="BD280" i="5" s="1"/>
  <c r="Y65" i="5"/>
  <c r="K60" i="5"/>
  <c r="AI175" i="5"/>
  <c r="K218" i="5"/>
  <c r="AO74" i="5"/>
  <c r="M281" i="5"/>
  <c r="AE72" i="5"/>
  <c r="X61" i="5"/>
  <c r="AU122" i="5"/>
  <c r="AN122" i="5"/>
  <c r="AN68" i="5"/>
  <c r="AJ61" i="5"/>
  <c r="AH68" i="5"/>
  <c r="Y74" i="5"/>
  <c r="S72" i="5"/>
  <c r="L74" i="5"/>
  <c r="M71" i="5"/>
  <c r="P60" i="5"/>
  <c r="L73" i="5"/>
  <c r="G56" i="5"/>
  <c r="G83" i="5" s="1"/>
  <c r="AL58" i="5"/>
  <c r="Z59" i="5"/>
  <c r="N58" i="5"/>
  <c r="AH56" i="5"/>
  <c r="Z58" i="5"/>
  <c r="S61" i="5"/>
  <c r="AK115" i="5"/>
  <c r="AJ58" i="5"/>
  <c r="AB72" i="5"/>
  <c r="AC60" i="5"/>
  <c r="M61" i="5"/>
  <c r="AD61" i="5"/>
  <c r="R74" i="5"/>
  <c r="AJ59" i="5"/>
  <c r="R71" i="5"/>
  <c r="K71" i="5"/>
  <c r="M58" i="5"/>
  <c r="AN61" i="5"/>
  <c r="R68" i="5"/>
  <c r="L71" i="5"/>
  <c r="AH72" i="5"/>
  <c r="AI60" i="5"/>
  <c r="K73" i="5"/>
  <c r="J59" i="5"/>
  <c r="AN60" i="5"/>
  <c r="AK68" i="5"/>
  <c r="R72" i="5"/>
  <c r="AK72" i="5"/>
  <c r="AB73" i="5"/>
  <c r="AE74" i="5"/>
  <c r="AD59" i="5"/>
  <c r="Q60" i="5"/>
  <c r="AO279" i="5"/>
  <c r="AQ289" i="5"/>
  <c r="E115" i="5"/>
  <c r="F115" i="5"/>
  <c r="E56" i="5"/>
  <c r="E83" i="5" s="1"/>
  <c r="M64" i="5"/>
  <c r="J66" i="5"/>
  <c r="M67" i="5"/>
  <c r="F56" i="5"/>
  <c r="F83" i="5" s="1"/>
  <c r="L60" i="5"/>
  <c r="K72" i="5"/>
  <c r="M74" i="5"/>
  <c r="M60" i="5"/>
  <c r="L64" i="5"/>
  <c r="L72" i="5"/>
  <c r="J56" i="5"/>
  <c r="K59" i="5"/>
  <c r="P66" i="5"/>
  <c r="K68" i="5"/>
  <c r="K56" i="5"/>
  <c r="L59" i="5"/>
  <c r="J61" i="5"/>
  <c r="S58" i="5"/>
  <c r="L56" i="5"/>
  <c r="J58" i="5"/>
  <c r="M59" i="5"/>
  <c r="K61" i="5"/>
  <c r="S67" i="5"/>
  <c r="T58" i="5"/>
  <c r="M56" i="5"/>
  <c r="K58" i="5"/>
  <c r="N59" i="5"/>
  <c r="L61" i="5"/>
  <c r="J73" i="5"/>
  <c r="J74" i="5"/>
  <c r="K74" i="5"/>
  <c r="R60" i="5"/>
  <c r="Q71" i="5"/>
  <c r="Q73" i="5"/>
  <c r="P59" i="5"/>
  <c r="S60" i="5"/>
  <c r="R64" i="5"/>
  <c r="Y67" i="5"/>
  <c r="W68" i="5"/>
  <c r="Q72" i="5"/>
  <c r="R73" i="5"/>
  <c r="P74" i="5"/>
  <c r="X58" i="5"/>
  <c r="P56" i="5"/>
  <c r="Q59" i="5"/>
  <c r="Q74" i="5"/>
  <c r="Q56" i="5"/>
  <c r="R59" i="5"/>
  <c r="P61" i="5"/>
  <c r="X59" i="5"/>
  <c r="R56" i="5"/>
  <c r="P58" i="5"/>
  <c r="S59" i="5"/>
  <c r="Q61" i="5"/>
  <c r="Q115" i="5"/>
  <c r="S74" i="5"/>
  <c r="V58" i="5"/>
  <c r="V60" i="5"/>
  <c r="S56" i="5"/>
  <c r="Q58" i="5"/>
  <c r="T59" i="5"/>
  <c r="R61" i="5"/>
  <c r="Q68" i="5"/>
  <c r="X60" i="5"/>
  <c r="V66" i="5"/>
  <c r="AE58" i="5"/>
  <c r="V59" i="5"/>
  <c r="Y60" i="5"/>
  <c r="X64" i="5"/>
  <c r="V56" i="5"/>
  <c r="W59" i="5"/>
  <c r="W56" i="5"/>
  <c r="V61" i="5"/>
  <c r="AF58" i="5"/>
  <c r="X56" i="5"/>
  <c r="Y59" i="5"/>
  <c r="W61" i="5"/>
  <c r="Y56" i="5"/>
  <c r="W58" i="5"/>
  <c r="AB60" i="5"/>
  <c r="Y61" i="5"/>
  <c r="W115" i="5"/>
  <c r="W73" i="5"/>
  <c r="AD60" i="5"/>
  <c r="AL59" i="5"/>
  <c r="AB59" i="5"/>
  <c r="AE60" i="5"/>
  <c r="AC71" i="5"/>
  <c r="AC72" i="5"/>
  <c r="AB56" i="5"/>
  <c r="AC59" i="5"/>
  <c r="AD64" i="5"/>
  <c r="AB66" i="5"/>
  <c r="AE67" i="5"/>
  <c r="AC122" i="5"/>
  <c r="AJ64" i="5"/>
  <c r="AH66" i="5"/>
  <c r="AK67" i="5"/>
  <c r="AC56" i="5"/>
  <c r="AB61" i="5"/>
  <c r="AC68" i="5"/>
  <c r="AC115" i="5"/>
  <c r="AE71" i="5"/>
  <c r="AC73" i="5"/>
  <c r="AD56" i="5"/>
  <c r="AB58" i="5"/>
  <c r="AE59" i="5"/>
  <c r="AC61" i="5"/>
  <c r="AH60" i="5"/>
  <c r="AE56" i="5"/>
  <c r="AC58" i="5"/>
  <c r="AF59" i="5"/>
  <c r="AE61" i="5"/>
  <c r="AJ60" i="5"/>
  <c r="AO58" i="5"/>
  <c r="AI68" i="5"/>
  <c r="AH71" i="5"/>
  <c r="AH73" i="5"/>
  <c r="AH59" i="5"/>
  <c r="AK60" i="5"/>
  <c r="AI71" i="5"/>
  <c r="AI73" i="5"/>
  <c r="AI59" i="5"/>
  <c r="AI115" i="5"/>
  <c r="AI122" i="5"/>
  <c r="AJ71" i="5"/>
  <c r="AI56" i="5"/>
  <c r="AH61" i="5"/>
  <c r="AN66" i="5"/>
  <c r="AK71" i="5"/>
  <c r="AK73" i="5"/>
  <c r="AJ56" i="5"/>
  <c r="AH58" i="5"/>
  <c r="AK59" i="5"/>
  <c r="AI61" i="5"/>
  <c r="AO68" i="5"/>
  <c r="AK56" i="5"/>
  <c r="AI58" i="5"/>
  <c r="AI72" i="5"/>
  <c r="AI74" i="5"/>
  <c r="AK61" i="5"/>
  <c r="AK74" i="5"/>
  <c r="P150" i="5"/>
  <c r="M149" i="5"/>
  <c r="P148" i="5"/>
  <c r="AK150" i="5"/>
  <c r="AB149" i="5"/>
  <c r="V174" i="5"/>
  <c r="AQ174" i="5"/>
  <c r="M175" i="5"/>
  <c r="W176" i="5"/>
  <c r="AH177" i="5"/>
  <c r="AB185" i="5"/>
  <c r="AQ185" i="5"/>
  <c r="AH196" i="5"/>
  <c r="AH104" i="5" s="1"/>
  <c r="AE203" i="5"/>
  <c r="J203" i="5"/>
  <c r="Y215" i="5"/>
  <c r="P216" i="5"/>
  <c r="AE216" i="5"/>
  <c r="AO217" i="5"/>
  <c r="P218" i="5"/>
  <c r="M226" i="5"/>
  <c r="AE226" i="5"/>
  <c r="J188" i="5"/>
  <c r="G190" i="5"/>
  <c r="V188" i="5"/>
  <c r="AE191" i="5"/>
  <c r="AH189" i="5"/>
  <c r="BC190" i="5"/>
  <c r="M233" i="5"/>
  <c r="P230" i="5"/>
  <c r="P232" i="5"/>
  <c r="Y231" i="5"/>
  <c r="AB232" i="5"/>
  <c r="AK229" i="5"/>
  <c r="AN230" i="5"/>
  <c r="H289" i="5"/>
  <c r="AE278" i="5"/>
  <c r="AB279" i="5"/>
  <c r="W280" i="5"/>
  <c r="V281" i="5"/>
  <c r="AH284" i="5"/>
  <c r="V289" i="5"/>
  <c r="AH289" i="5"/>
  <c r="AQ144" i="5"/>
  <c r="M151" i="5"/>
  <c r="Y149" i="5"/>
  <c r="M147" i="5"/>
  <c r="AK147" i="5"/>
  <c r="S175" i="5"/>
  <c r="J176" i="5"/>
  <c r="M185" i="5"/>
  <c r="S216" i="5"/>
  <c r="Y217" i="5"/>
  <c r="AN218" i="5"/>
  <c r="S226" i="5"/>
  <c r="M269" i="5"/>
  <c r="BC191" i="5"/>
  <c r="M232" i="5"/>
  <c r="Y229" i="5"/>
  <c r="AK278" i="5"/>
  <c r="Y150" i="5"/>
  <c r="Y144" i="5"/>
  <c r="AK149" i="5"/>
  <c r="AK144" i="5"/>
  <c r="AE174" i="5"/>
  <c r="V175" i="5"/>
  <c r="AQ175" i="5"/>
  <c r="K176" i="5"/>
  <c r="V177" i="5"/>
  <c r="P185" i="5"/>
  <c r="AE185" i="5"/>
  <c r="G196" i="5"/>
  <c r="G104" i="5" s="1"/>
  <c r="M215" i="5"/>
  <c r="AE215" i="5"/>
  <c r="V216" i="5"/>
  <c r="AK216" i="5"/>
  <c r="AB217" i="5"/>
  <c r="AO218" i="5"/>
  <c r="V226" i="5"/>
  <c r="AK226" i="5"/>
  <c r="AK262" i="5"/>
  <c r="AK105" i="5" s="1"/>
  <c r="P269" i="5"/>
  <c r="H173" i="5"/>
  <c r="H196" i="5" s="1"/>
  <c r="H104" i="5" s="1"/>
  <c r="J189" i="5"/>
  <c r="J191" i="5"/>
  <c r="G191" i="5"/>
  <c r="S190" i="5"/>
  <c r="V189" i="5"/>
  <c r="AE189" i="5"/>
  <c r="AH190" i="5"/>
  <c r="AQ191" i="5"/>
  <c r="BC188" i="5"/>
  <c r="Y232" i="5"/>
  <c r="AB233" i="5"/>
  <c r="AK230" i="5"/>
  <c r="AN231" i="5"/>
  <c r="K278" i="5"/>
  <c r="AN278" i="5"/>
  <c r="AK279" i="5"/>
  <c r="AU281" i="5"/>
  <c r="S284" i="5"/>
  <c r="AR54" i="5"/>
  <c r="Y151" i="5"/>
  <c r="Y147" i="5"/>
  <c r="V144" i="5"/>
  <c r="AN151" i="5"/>
  <c r="AB148" i="5"/>
  <c r="AH144" i="5"/>
  <c r="J174" i="5"/>
  <c r="AH174" i="5"/>
  <c r="Y175" i="5"/>
  <c r="AT175" i="5"/>
  <c r="AH176" i="5"/>
  <c r="W177" i="5"/>
  <c r="AH185" i="5"/>
  <c r="J196" i="5"/>
  <c r="J104" i="5" s="1"/>
  <c r="P215" i="5"/>
  <c r="AH215" i="5"/>
  <c r="AN216" i="5"/>
  <c r="AN226" i="5"/>
  <c r="Y262" i="5"/>
  <c r="Y105" i="5" s="1"/>
  <c r="AN262" i="5"/>
  <c r="AN105" i="5" s="1"/>
  <c r="Y269" i="5"/>
  <c r="AK269" i="5"/>
  <c r="G188" i="5"/>
  <c r="S191" i="5"/>
  <c r="V192" i="5"/>
  <c r="AE192" i="5"/>
  <c r="BC192" i="5"/>
  <c r="M231" i="5"/>
  <c r="P229" i="5"/>
  <c r="P231" i="5"/>
  <c r="P233" i="5"/>
  <c r="AK233" i="5"/>
  <c r="AT278" i="5"/>
  <c r="J279" i="5"/>
  <c r="AH280" i="5"/>
  <c r="V284" i="5"/>
  <c r="S144" i="5"/>
  <c r="AK151" i="5"/>
  <c r="AB150" i="5"/>
  <c r="AN148" i="5"/>
  <c r="AE144" i="5"/>
  <c r="M174" i="5"/>
  <c r="AK174" i="5"/>
  <c r="AB175" i="5"/>
  <c r="AI176" i="5"/>
  <c r="AT177" i="5"/>
  <c r="S185" i="5"/>
  <c r="AK185" i="5"/>
  <c r="AQ196" i="5"/>
  <c r="AQ104" i="5" s="1"/>
  <c r="S203" i="5"/>
  <c r="S215" i="5"/>
  <c r="Y216" i="5"/>
  <c r="P217" i="5"/>
  <c r="Y218" i="5"/>
  <c r="Y226" i="5"/>
  <c r="M262" i="5"/>
  <c r="M105" i="5" s="1"/>
  <c r="AB262" i="5"/>
  <c r="AB105" i="5" s="1"/>
  <c r="AB269" i="5"/>
  <c r="AN269" i="5"/>
  <c r="T173" i="5"/>
  <c r="G192" i="5"/>
  <c r="AH188" i="5"/>
  <c r="AQ188" i="5"/>
  <c r="AQ192" i="5"/>
  <c r="BC189" i="5"/>
  <c r="BF188" i="5"/>
  <c r="BF190" i="5"/>
  <c r="BF192" i="5"/>
  <c r="Z214" i="5"/>
  <c r="Z81" i="5" s="1"/>
  <c r="Y230" i="5"/>
  <c r="AB231" i="5"/>
  <c r="AN229" i="5"/>
  <c r="S278" i="5"/>
  <c r="K280" i="5"/>
  <c r="AI280" i="5"/>
  <c r="AH281" i="5"/>
  <c r="Y279" i="5"/>
  <c r="P144" i="5"/>
  <c r="AK148" i="5"/>
  <c r="AB144" i="5"/>
  <c r="P174" i="5"/>
  <c r="AN174" i="5"/>
  <c r="AE175" i="5"/>
  <c r="J177" i="5"/>
  <c r="AU177" i="5"/>
  <c r="V185" i="5"/>
  <c r="AN185" i="5"/>
  <c r="AT196" i="5"/>
  <c r="AT104" i="5" s="1"/>
  <c r="V215" i="5"/>
  <c r="AK215" i="5"/>
  <c r="J216" i="5"/>
  <c r="AB216" i="5"/>
  <c r="Q217" i="5"/>
  <c r="AK217" i="5"/>
  <c r="AB218" i="5"/>
  <c r="AB226" i="5"/>
  <c r="AT226" i="5"/>
  <c r="G189" i="5"/>
  <c r="V190" i="5"/>
  <c r="AE190" i="5"/>
  <c r="AH191" i="5"/>
  <c r="AT188" i="5"/>
  <c r="AT190" i="5"/>
  <c r="M230" i="5"/>
  <c r="AN232" i="5"/>
  <c r="M243" i="5"/>
  <c r="Y243" i="5"/>
  <c r="AK243" i="5"/>
  <c r="Y278" i="5"/>
  <c r="AZ279" i="5"/>
  <c r="K281" i="5"/>
  <c r="AN279" i="5"/>
  <c r="M144" i="5"/>
  <c r="AN150" i="5"/>
  <c r="AB147" i="5"/>
  <c r="S174" i="5"/>
  <c r="J175" i="5"/>
  <c r="K177" i="5"/>
  <c r="Y185" i="5"/>
  <c r="AN215" i="5"/>
  <c r="M216" i="5"/>
  <c r="J190" i="5"/>
  <c r="S188" i="5"/>
  <c r="P243" i="5"/>
  <c r="AB243" i="5"/>
  <c r="AN243" i="5"/>
  <c r="AB278" i="5"/>
  <c r="S279" i="5"/>
  <c r="V280" i="5"/>
  <c r="J284" i="5"/>
  <c r="AE289" i="5"/>
  <c r="AT289" i="5"/>
  <c r="AU289" i="5"/>
  <c r="W278" i="5"/>
  <c r="Q289" i="5"/>
  <c r="K147" i="5"/>
  <c r="K144" i="5"/>
  <c r="AV151" i="5"/>
  <c r="AI151" i="5"/>
  <c r="AV148" i="5"/>
  <c r="AI144" i="5"/>
  <c r="K174" i="5"/>
  <c r="AC176" i="5"/>
  <c r="AC177" i="5"/>
  <c r="Q185" i="5"/>
  <c r="Q216" i="5"/>
  <c r="AT216" i="5"/>
  <c r="Q226" i="5"/>
  <c r="AC190" i="5"/>
  <c r="AO190" i="5"/>
  <c r="H214" i="5"/>
  <c r="K232" i="5"/>
  <c r="AI230" i="5"/>
  <c r="AI232" i="5"/>
  <c r="AT230" i="5"/>
  <c r="AQ59" i="5"/>
  <c r="AO278" i="5"/>
  <c r="W279" i="5"/>
  <c r="AC280" i="5"/>
  <c r="AO281" i="5"/>
  <c r="W147" i="5"/>
  <c r="AC174" i="5"/>
  <c r="W175" i="5"/>
  <c r="AO196" i="5"/>
  <c r="AO104" i="5" s="1"/>
  <c r="W215" i="5"/>
  <c r="AU218" i="5"/>
  <c r="E189" i="5"/>
  <c r="AC188" i="5"/>
  <c r="N214" i="5"/>
  <c r="W229" i="5"/>
  <c r="W231" i="5"/>
  <c r="W233" i="5"/>
  <c r="AT243" i="5"/>
  <c r="AU279" i="5"/>
  <c r="AO284" i="5"/>
  <c r="K151" i="5"/>
  <c r="W144" i="5"/>
  <c r="AI149" i="5"/>
  <c r="AV144" i="5"/>
  <c r="AU174" i="5"/>
  <c r="AO175" i="5"/>
  <c r="Q176" i="5"/>
  <c r="Q177" i="5"/>
  <c r="AU185" i="5"/>
  <c r="AC196" i="5"/>
  <c r="AC104" i="5" s="1"/>
  <c r="AU217" i="5"/>
  <c r="E192" i="5"/>
  <c r="Q190" i="5"/>
  <c r="AO188" i="5"/>
  <c r="T214" i="5"/>
  <c r="AT231" i="5"/>
  <c r="K243" i="5"/>
  <c r="W243" i="5"/>
  <c r="AI243" i="5"/>
  <c r="AQ64" i="5"/>
  <c r="AC278" i="5"/>
  <c r="AU278" i="5"/>
  <c r="AC279" i="5"/>
  <c r="AC281" i="5"/>
  <c r="AI269" i="5"/>
  <c r="W151" i="5"/>
  <c r="K150" i="5"/>
  <c r="AV149" i="5"/>
  <c r="AC144" i="5"/>
  <c r="Q174" i="5"/>
  <c r="K175" i="5"/>
  <c r="AI185" i="5"/>
  <c r="Q196" i="5"/>
  <c r="Q104" i="5" s="1"/>
  <c r="K215" i="5"/>
  <c r="AI217" i="5"/>
  <c r="AI218" i="5"/>
  <c r="W226" i="5"/>
  <c r="AT262" i="5"/>
  <c r="AT105" i="5" s="1"/>
  <c r="AO191" i="5"/>
  <c r="K229" i="5"/>
  <c r="K231" i="5"/>
  <c r="AQ58" i="5"/>
  <c r="AL284" i="5"/>
  <c r="AC284" i="5"/>
  <c r="AC289" i="5"/>
  <c r="AO289" i="5"/>
  <c r="AQ72" i="5"/>
  <c r="AQ74" i="5"/>
  <c r="T132" i="5"/>
  <c r="W150" i="5"/>
  <c r="K149" i="5"/>
  <c r="AI147" i="5"/>
  <c r="AI174" i="5"/>
  <c r="AC175" i="5"/>
  <c r="W185" i="5"/>
  <c r="E196" i="5"/>
  <c r="E104" i="5" s="1"/>
  <c r="AC203" i="5"/>
  <c r="AO203" i="5"/>
  <c r="Q203" i="5"/>
  <c r="AO215" i="5"/>
  <c r="W216" i="5"/>
  <c r="AJ217" i="5"/>
  <c r="AJ218" i="5"/>
  <c r="E190" i="5"/>
  <c r="Q191" i="5"/>
  <c r="AC191" i="5"/>
  <c r="AF214" i="5"/>
  <c r="AF262" i="5" s="1"/>
  <c r="AF105" i="5" s="1"/>
  <c r="AI229" i="5"/>
  <c r="AI231" i="5"/>
  <c r="AI233" i="5"/>
  <c r="AQ68" i="5"/>
  <c r="W149" i="5"/>
  <c r="Q144" i="5"/>
  <c r="AI150" i="5"/>
  <c r="AV147" i="5"/>
  <c r="AO144" i="5"/>
  <c r="AU175" i="5"/>
  <c r="K185" i="5"/>
  <c r="E203" i="5"/>
  <c r="AC215" i="5"/>
  <c r="K216" i="5"/>
  <c r="W217" i="5"/>
  <c r="W218" i="5"/>
  <c r="K226" i="5"/>
  <c r="AO226" i="5"/>
  <c r="W262" i="5"/>
  <c r="W105" i="5" s="1"/>
  <c r="AI262" i="5"/>
  <c r="AI105" i="5" s="1"/>
  <c r="Q188" i="5"/>
  <c r="AO189" i="5"/>
  <c r="AL214" i="5"/>
  <c r="AL81" i="5" s="1"/>
  <c r="K233" i="5"/>
  <c r="W230" i="5"/>
  <c r="W232" i="5"/>
  <c r="AT232" i="5"/>
  <c r="Q278" i="5"/>
  <c r="AI278" i="5"/>
  <c r="M279" i="5"/>
  <c r="AV150" i="5"/>
  <c r="W174" i="5"/>
  <c r="AO176" i="5"/>
  <c r="AO177" i="5"/>
  <c r="AO185" i="5"/>
  <c r="Q215" i="5"/>
  <c r="AT215" i="5"/>
  <c r="X217" i="5"/>
  <c r="K262" i="5"/>
  <c r="K105" i="5" s="1"/>
  <c r="AT269" i="5"/>
  <c r="K269" i="5"/>
  <c r="AR214" i="5"/>
  <c r="AQ66" i="5"/>
  <c r="Q279" i="5"/>
  <c r="AQ60" i="5"/>
  <c r="BB279" i="5"/>
  <c r="AV281" i="5"/>
  <c r="AV280" i="5"/>
  <c r="AV289" i="5"/>
  <c r="J281" i="5"/>
  <c r="G289" i="5"/>
  <c r="J280" i="5"/>
  <c r="M278" i="5"/>
  <c r="P279" i="5"/>
  <c r="P278" i="5"/>
  <c r="R279" i="5"/>
  <c r="P280" i="5"/>
  <c r="P289" i="5"/>
  <c r="R278" i="5"/>
  <c r="V279" i="5"/>
  <c r="Q280" i="5"/>
  <c r="P281" i="5"/>
  <c r="P284" i="5"/>
  <c r="R280" i="5"/>
  <c r="Q281" i="5"/>
  <c r="R289" i="5"/>
  <c r="V278" i="5"/>
  <c r="X279" i="5"/>
  <c r="S280" i="5"/>
  <c r="R281" i="5"/>
  <c r="R284" i="5"/>
  <c r="S281" i="5"/>
  <c r="AJ279" i="5"/>
  <c r="AD284" i="5"/>
  <c r="AB289" i="5"/>
  <c r="AJ278" i="5"/>
  <c r="AD280" i="5"/>
  <c r="AD289" i="5"/>
  <c r="AE280" i="5"/>
  <c r="AD279" i="5"/>
  <c r="AD278" i="5"/>
  <c r="AD281" i="5"/>
  <c r="AE281" i="5"/>
  <c r="AQ278" i="5"/>
  <c r="AQ284" i="5"/>
  <c r="AT279" i="5"/>
  <c r="AO280" i="5"/>
  <c r="AT280" i="5"/>
  <c r="AN289" i="5"/>
  <c r="Y284" i="5"/>
  <c r="M289" i="5"/>
  <c r="M280" i="5"/>
  <c r="E289" i="5"/>
  <c r="E284" i="5"/>
  <c r="AJ148" i="5"/>
  <c r="AP144" i="5"/>
  <c r="AD144" i="5"/>
  <c r="R174" i="5"/>
  <c r="AD174" i="5"/>
  <c r="AP174" i="5"/>
  <c r="L175" i="5"/>
  <c r="X175" i="5"/>
  <c r="AJ175" i="5"/>
  <c r="AV175" i="5"/>
  <c r="R176" i="5"/>
  <c r="AD176" i="5"/>
  <c r="AP176" i="5"/>
  <c r="R177" i="5"/>
  <c r="AD177" i="5"/>
  <c r="AP177" i="5"/>
  <c r="R215" i="5"/>
  <c r="AQ216" i="5"/>
  <c r="AT217" i="5"/>
  <c r="L218" i="5"/>
  <c r="AV218" i="5"/>
  <c r="AC226" i="5"/>
  <c r="AV269" i="5"/>
  <c r="Z173" i="5"/>
  <c r="R191" i="5"/>
  <c r="L233" i="5"/>
  <c r="L231" i="5"/>
  <c r="AC230" i="5"/>
  <c r="AC232" i="5"/>
  <c r="L243" i="5"/>
  <c r="AV243" i="5"/>
  <c r="AQ65" i="5"/>
  <c r="AF132" i="5"/>
  <c r="X150" i="5"/>
  <c r="L150" i="5"/>
  <c r="R144" i="5"/>
  <c r="S176" i="5"/>
  <c r="AE176" i="5"/>
  <c r="AQ176" i="5"/>
  <c r="S177" i="5"/>
  <c r="AE177" i="5"/>
  <c r="AQ177" i="5"/>
  <c r="AQ215" i="5"/>
  <c r="M218" i="5"/>
  <c r="R226" i="5"/>
  <c r="AQ262" i="5"/>
  <c r="AQ105" i="5" s="1"/>
  <c r="AF173" i="5"/>
  <c r="R189" i="5"/>
  <c r="BB188" i="5"/>
  <c r="AV229" i="5"/>
  <c r="N132" i="5"/>
  <c r="X147" i="5"/>
  <c r="L147" i="5"/>
  <c r="AJ149" i="5"/>
  <c r="AI216" i="5"/>
  <c r="L217" i="5"/>
  <c r="AV217" i="5"/>
  <c r="AQ226" i="5"/>
  <c r="AL173" i="5"/>
  <c r="AL80" i="5" s="1"/>
  <c r="AR173" i="5"/>
  <c r="BJ189" i="5"/>
  <c r="AP188" i="5"/>
  <c r="AP190" i="5"/>
  <c r="AP192" i="5"/>
  <c r="BB191" i="5"/>
  <c r="AQ230" i="5"/>
  <c r="AQ232" i="5"/>
  <c r="AV232" i="5"/>
  <c r="AR132" i="5"/>
  <c r="L185" i="5"/>
  <c r="X185" i="5"/>
  <c r="AJ185" i="5"/>
  <c r="AV185" i="5"/>
  <c r="AD203" i="5"/>
  <c r="AP203" i="5"/>
  <c r="AI215" i="5"/>
  <c r="L216" i="5"/>
  <c r="AV216" i="5"/>
  <c r="M217" i="5"/>
  <c r="AC218" i="5"/>
  <c r="AC269" i="5"/>
  <c r="AD189" i="5"/>
  <c r="AD191" i="5"/>
  <c r="AC243" i="5"/>
  <c r="Z132" i="5"/>
  <c r="Z150" i="5" s="1"/>
  <c r="X149" i="5"/>
  <c r="L149" i="5"/>
  <c r="AJ150" i="5"/>
  <c r="AJ144" i="5"/>
  <c r="L174" i="5"/>
  <c r="X174" i="5"/>
  <c r="AJ174" i="5"/>
  <c r="AV174" i="5"/>
  <c r="R175" i="5"/>
  <c r="AD175" i="5"/>
  <c r="AP175" i="5"/>
  <c r="F203" i="5"/>
  <c r="R203" i="5"/>
  <c r="L215" i="5"/>
  <c r="AV215" i="5"/>
  <c r="AD218" i="5"/>
  <c r="AI226" i="5"/>
  <c r="L262" i="5"/>
  <c r="L105" i="5" s="1"/>
  <c r="AV262" i="5"/>
  <c r="AV105" i="5" s="1"/>
  <c r="R192" i="5"/>
  <c r="BB189" i="5"/>
  <c r="L232" i="5"/>
  <c r="L230" i="5"/>
  <c r="AC229" i="5"/>
  <c r="AC231" i="5"/>
  <c r="AC233" i="5"/>
  <c r="AV230" i="5"/>
  <c r="H132" i="5"/>
  <c r="H150" i="5" s="1"/>
  <c r="X144" i="5"/>
  <c r="L144" i="5"/>
  <c r="AC217" i="5"/>
  <c r="AQ218" i="5"/>
  <c r="L226" i="5"/>
  <c r="AV226" i="5"/>
  <c r="R190" i="5"/>
  <c r="BB192" i="5"/>
  <c r="AQ243" i="5"/>
  <c r="AL132" i="5"/>
  <c r="AL147" i="5" s="1"/>
  <c r="X151" i="5"/>
  <c r="L151" i="5"/>
  <c r="AJ151" i="5"/>
  <c r="AJ147" i="5"/>
  <c r="F196" i="5"/>
  <c r="F104" i="5" s="1"/>
  <c r="R196" i="5"/>
  <c r="R104" i="5" s="1"/>
  <c r="AP196" i="5"/>
  <c r="AP104" i="5" s="1"/>
  <c r="AC216" i="5"/>
  <c r="AT218" i="5"/>
  <c r="N173" i="5"/>
  <c r="AP189" i="5"/>
  <c r="AQ229" i="5"/>
  <c r="AQ231" i="5"/>
  <c r="AI189" i="5"/>
  <c r="AI191" i="5"/>
  <c r="BA188" i="5"/>
  <c r="BA190" i="5"/>
  <c r="BA192" i="5"/>
  <c r="AR53" i="5"/>
  <c r="F189" i="5"/>
  <c r="F191" i="5"/>
  <c r="AP65" i="5"/>
  <c r="AP67" i="5"/>
  <c r="AN74" i="5"/>
  <c r="Y189" i="5"/>
  <c r="Y191" i="5"/>
  <c r="P189" i="5"/>
  <c r="AI188" i="5"/>
  <c r="AI190" i="5"/>
  <c r="BA189" i="5"/>
  <c r="F188" i="5"/>
  <c r="F190" i="5"/>
  <c r="Y188" i="5"/>
  <c r="Y190" i="5"/>
  <c r="AT150" i="5"/>
  <c r="AP66" i="5"/>
  <c r="AN72" i="5"/>
  <c r="AN73" i="5"/>
  <c r="AP61" i="5"/>
  <c r="AO72" i="5"/>
  <c r="AT144" i="5"/>
  <c r="AQ61" i="5"/>
  <c r="AP68" i="5"/>
  <c r="AP115" i="5"/>
  <c r="AT147" i="5"/>
  <c r="AT148" i="5"/>
  <c r="AP58" i="5"/>
  <c r="AP59" i="5"/>
  <c r="AP60" i="5"/>
  <c r="AP122" i="5"/>
  <c r="AR55" i="5"/>
  <c r="AT149" i="5"/>
  <c r="AO67" i="5"/>
  <c r="AO56" i="5"/>
  <c r="AO83" i="5" s="1"/>
  <c r="AU91" i="5" s="1"/>
  <c r="AP56" i="5"/>
  <c r="AR52" i="5"/>
  <c r="AP64" i="5"/>
  <c r="AQ67" i="5"/>
  <c r="AN56" i="5"/>
  <c r="AQ56" i="5"/>
  <c r="AT115" i="5"/>
  <c r="AU115" i="5"/>
  <c r="AT122" i="5"/>
  <c r="AV122" i="5"/>
  <c r="AV115" i="5"/>
  <c r="T284" i="5"/>
  <c r="AR68" i="5"/>
  <c r="AF288" i="5"/>
  <c r="AL288" i="5"/>
  <c r="N68" i="5"/>
  <c r="AR58" i="5"/>
  <c r="T115" i="5"/>
  <c r="AL115" i="5"/>
  <c r="Z115" i="5"/>
  <c r="AF68" i="5"/>
  <c r="AR59" i="5"/>
  <c r="AR115" i="5"/>
  <c r="H115" i="5"/>
  <c r="Z68" i="5"/>
  <c r="AF115" i="5"/>
  <c r="AL68" i="5"/>
  <c r="N115" i="5"/>
  <c r="T68" i="5"/>
  <c r="N224" i="5"/>
  <c r="Z225" i="5"/>
  <c r="AR221" i="5"/>
  <c r="Z248" i="5"/>
  <c r="Z180" i="5"/>
  <c r="T246" i="5"/>
  <c r="AF248" i="5"/>
  <c r="AL249" i="5"/>
  <c r="AF250" i="5"/>
  <c r="T249" i="5"/>
  <c r="N246" i="5"/>
  <c r="T247" i="5"/>
  <c r="AL250" i="5"/>
  <c r="G258" i="5"/>
  <c r="AI256" i="5"/>
  <c r="AL246" i="5"/>
  <c r="AL248" i="5"/>
  <c r="AR249" i="5"/>
  <c r="AN256" i="5"/>
  <c r="AF246" i="5"/>
  <c r="AL247" i="5"/>
  <c r="Y251" i="5"/>
  <c r="Q255" i="5"/>
  <c r="AQ257" i="5"/>
  <c r="AV257" i="5"/>
  <c r="Q251" i="5"/>
  <c r="AO251" i="5"/>
  <c r="J254" i="5"/>
  <c r="V255" i="5"/>
  <c r="AU254" i="5"/>
  <c r="T250" i="5"/>
  <c r="K251" i="5"/>
  <c r="S251" i="5"/>
  <c r="AQ251" i="5"/>
  <c r="M258" i="5"/>
  <c r="Y256" i="5"/>
  <c r="M251" i="5"/>
  <c r="K258" i="5"/>
  <c r="W258" i="5"/>
  <c r="T248" i="5"/>
  <c r="AI251" i="5"/>
  <c r="M256" i="5"/>
  <c r="AB258" i="5"/>
  <c r="J255" i="5"/>
  <c r="AK254" i="5"/>
  <c r="N249" i="5"/>
  <c r="AR246" i="5"/>
  <c r="F255" i="5"/>
  <c r="R258" i="5"/>
  <c r="AD256" i="5"/>
  <c r="AP254" i="5"/>
  <c r="Z183" i="5"/>
  <c r="N225" i="5"/>
  <c r="L251" i="5"/>
  <c r="AF247" i="5"/>
  <c r="AB251" i="5"/>
  <c r="AJ251" i="5"/>
  <c r="J258" i="5"/>
  <c r="L256" i="5"/>
  <c r="G255" i="5"/>
  <c r="E257" i="5"/>
  <c r="R255" i="5"/>
  <c r="P257" i="5"/>
  <c r="S258" i="5"/>
  <c r="W255" i="5"/>
  <c r="X258" i="5"/>
  <c r="AB255" i="5"/>
  <c r="AE256" i="5"/>
  <c r="AC258" i="5"/>
  <c r="AJ256" i="5"/>
  <c r="AH258" i="5"/>
  <c r="AQ254" i="5"/>
  <c r="AO256" i="5"/>
  <c r="AV254" i="5"/>
  <c r="AT256" i="5"/>
  <c r="N247" i="5"/>
  <c r="Z250" i="5"/>
  <c r="AC251" i="5"/>
  <c r="AK251" i="5"/>
  <c r="AR248" i="5"/>
  <c r="M254" i="5"/>
  <c r="K256" i="5"/>
  <c r="E254" i="5"/>
  <c r="F257" i="5"/>
  <c r="P254" i="5"/>
  <c r="S255" i="5"/>
  <c r="Q257" i="5"/>
  <c r="X255" i="5"/>
  <c r="V257" i="5"/>
  <c r="Y258" i="5"/>
  <c r="AC255" i="5"/>
  <c r="AD258" i="5"/>
  <c r="AH255" i="5"/>
  <c r="AK256" i="5"/>
  <c r="AI258" i="5"/>
  <c r="AP256" i="5"/>
  <c r="AN258" i="5"/>
  <c r="AU256" i="5"/>
  <c r="N250" i="5"/>
  <c r="Z247" i="5"/>
  <c r="V251" i="5"/>
  <c r="AF249" i="5"/>
  <c r="AD251" i="5"/>
  <c r="AT251" i="5"/>
  <c r="L254" i="5"/>
  <c r="M257" i="5"/>
  <c r="J256" i="5"/>
  <c r="F254" i="5"/>
  <c r="G257" i="5"/>
  <c r="Q254" i="5"/>
  <c r="R257" i="5"/>
  <c r="V254" i="5"/>
  <c r="Y255" i="5"/>
  <c r="W257" i="5"/>
  <c r="AD255" i="5"/>
  <c r="AB257" i="5"/>
  <c r="AE258" i="5"/>
  <c r="AI255" i="5"/>
  <c r="AJ258" i="5"/>
  <c r="AN255" i="5"/>
  <c r="AQ256" i="5"/>
  <c r="AO258" i="5"/>
  <c r="AV256" i="5"/>
  <c r="AT258" i="5"/>
  <c r="W251" i="5"/>
  <c r="AE251" i="5"/>
  <c r="AR250" i="5"/>
  <c r="AU251" i="5"/>
  <c r="K254" i="5"/>
  <c r="L257" i="5"/>
  <c r="G254" i="5"/>
  <c r="E256" i="5"/>
  <c r="R254" i="5"/>
  <c r="P256" i="5"/>
  <c r="S257" i="5"/>
  <c r="W254" i="5"/>
  <c r="X257" i="5"/>
  <c r="AB254" i="5"/>
  <c r="AE255" i="5"/>
  <c r="AC257" i="5"/>
  <c r="AJ255" i="5"/>
  <c r="AH257" i="5"/>
  <c r="AK258" i="5"/>
  <c r="AO255" i="5"/>
  <c r="AP258" i="5"/>
  <c r="AT255" i="5"/>
  <c r="AU258" i="5"/>
  <c r="N248" i="5"/>
  <c r="P251" i="5"/>
  <c r="Z249" i="5"/>
  <c r="X251" i="5"/>
  <c r="AR247" i="5"/>
  <c r="AN251" i="5"/>
  <c r="AV251" i="5"/>
  <c r="K257" i="5"/>
  <c r="M255" i="5"/>
  <c r="F256" i="5"/>
  <c r="S254" i="5"/>
  <c r="Q256" i="5"/>
  <c r="X254" i="5"/>
  <c r="V256" i="5"/>
  <c r="Y257" i="5"/>
  <c r="AC254" i="5"/>
  <c r="AD257" i="5"/>
  <c r="AH254" i="5"/>
  <c r="AK255" i="5"/>
  <c r="AI257" i="5"/>
  <c r="AP255" i="5"/>
  <c r="AN257" i="5"/>
  <c r="AQ258" i="5"/>
  <c r="AU255" i="5"/>
  <c r="AV258" i="5"/>
  <c r="Z246" i="5"/>
  <c r="J257" i="5"/>
  <c r="L255" i="5"/>
  <c r="G256" i="5"/>
  <c r="E258" i="5"/>
  <c r="R256" i="5"/>
  <c r="P258" i="5"/>
  <c r="Y254" i="5"/>
  <c r="W256" i="5"/>
  <c r="AD254" i="5"/>
  <c r="AB256" i="5"/>
  <c r="AE257" i="5"/>
  <c r="AI254" i="5"/>
  <c r="AJ257" i="5"/>
  <c r="AN254" i="5"/>
  <c r="AQ255" i="5"/>
  <c r="AO257" i="5"/>
  <c r="AV255" i="5"/>
  <c r="AT257" i="5"/>
  <c r="J251" i="5"/>
  <c r="R251" i="5"/>
  <c r="AH251" i="5"/>
  <c r="AP251" i="5"/>
  <c r="L258" i="5"/>
  <c r="K255" i="5"/>
  <c r="E255" i="5"/>
  <c r="F258" i="5"/>
  <c r="P255" i="5"/>
  <c r="S256" i="5"/>
  <c r="Q258" i="5"/>
  <c r="X256" i="5"/>
  <c r="V258" i="5"/>
  <c r="AE254" i="5"/>
  <c r="AC256" i="5"/>
  <c r="AJ254" i="5"/>
  <c r="AH256" i="5"/>
  <c r="AK257" i="5"/>
  <c r="AO254" i="5"/>
  <c r="AP257" i="5"/>
  <c r="AT254" i="5"/>
  <c r="AU257" i="5"/>
  <c r="AL180" i="5"/>
  <c r="N184" i="5"/>
  <c r="AL221" i="5"/>
  <c r="N141" i="5"/>
  <c r="T221" i="5"/>
  <c r="AR225" i="5"/>
  <c r="AF180" i="5"/>
  <c r="T222" i="5"/>
  <c r="T141" i="5"/>
  <c r="AL142" i="5"/>
  <c r="Z224" i="5"/>
  <c r="AF224" i="5"/>
  <c r="AL183" i="5"/>
  <c r="AR184" i="5"/>
  <c r="N142" i="5"/>
  <c r="Z140" i="5"/>
  <c r="AF143" i="5"/>
  <c r="Z242" i="5"/>
  <c r="AF242" i="5"/>
  <c r="AF256" i="5" s="1"/>
  <c r="AL242" i="5"/>
  <c r="AL256" i="5" s="1"/>
  <c r="AR242" i="5"/>
  <c r="AR258" i="5" s="1"/>
  <c r="N242" i="5"/>
  <c r="N258" i="5" s="1"/>
  <c r="T242" i="5"/>
  <c r="T258" i="5" s="1"/>
  <c r="H242" i="5"/>
  <c r="Z222" i="5"/>
  <c r="AL202" i="5"/>
  <c r="N221" i="5"/>
  <c r="Z139" i="5"/>
  <c r="AF142" i="5"/>
  <c r="AR140" i="5"/>
  <c r="T180" i="5"/>
  <c r="N143" i="5"/>
  <c r="Z141" i="5"/>
  <c r="AR224" i="5"/>
  <c r="AL140" i="5"/>
  <c r="AR143" i="5"/>
  <c r="AR142" i="5"/>
  <c r="AF139" i="5"/>
  <c r="Z181" i="5"/>
  <c r="AL181" i="5"/>
  <c r="AR183" i="5"/>
  <c r="Z143" i="5"/>
  <c r="AL141" i="5"/>
  <c r="Z221" i="5"/>
  <c r="AL268" i="5"/>
  <c r="N139" i="5"/>
  <c r="T142" i="5"/>
  <c r="N140" i="5"/>
  <c r="AL139" i="5"/>
  <c r="T181" i="5"/>
  <c r="AF141" i="5"/>
  <c r="AR139" i="5"/>
  <c r="N180" i="5"/>
  <c r="T143" i="5"/>
  <c r="T139" i="5"/>
  <c r="Z142" i="5"/>
  <c r="T182" i="5"/>
  <c r="Z202" i="5"/>
  <c r="T140" i="5"/>
  <c r="AF140" i="5"/>
  <c r="AR141" i="5"/>
  <c r="AL143" i="5"/>
  <c r="AL222" i="5"/>
  <c r="AW152" i="5"/>
  <c r="N183" i="5"/>
  <c r="Z184" i="5"/>
  <c r="AR180" i="5"/>
  <c r="AL223" i="5"/>
  <c r="AF221" i="5"/>
  <c r="T223" i="5"/>
  <c r="AL224" i="5"/>
  <c r="Z268" i="5"/>
  <c r="AF222" i="5"/>
  <c r="T224" i="5"/>
  <c r="AL225" i="5"/>
  <c r="N222" i="5"/>
  <c r="AF223" i="5"/>
  <c r="T225" i="5"/>
  <c r="AR222" i="5"/>
  <c r="N223" i="5"/>
  <c r="AR223" i="5"/>
  <c r="AF225" i="5"/>
  <c r="Z223" i="5"/>
  <c r="AL182" i="5"/>
  <c r="AF181" i="5"/>
  <c r="T183" i="5"/>
  <c r="AL184" i="5"/>
  <c r="N181" i="5"/>
  <c r="AF182" i="5"/>
  <c r="T184" i="5"/>
  <c r="AR181" i="5"/>
  <c r="N182" i="5"/>
  <c r="AF183" i="5"/>
  <c r="AR182" i="5"/>
  <c r="AF184" i="5"/>
  <c r="Z182" i="5"/>
  <c r="E2" i="5"/>
  <c r="F2" i="5" s="1"/>
  <c r="G2" i="5" s="1"/>
  <c r="G5" i="5" s="1"/>
  <c r="T41" i="13" l="1"/>
  <c r="T40" i="13"/>
  <c r="O11" i="13"/>
  <c r="O12" i="13"/>
  <c r="O41" i="13"/>
  <c r="O40" i="13"/>
  <c r="AW165" i="1"/>
  <c r="BD291" i="5"/>
  <c r="BB157" i="1"/>
  <c r="BB155" i="1"/>
  <c r="BB158" i="1"/>
  <c r="BB14" i="1"/>
  <c r="BB159" i="1"/>
  <c r="BB156" i="1"/>
  <c r="AZ196" i="5"/>
  <c r="AZ104" i="5" s="1"/>
  <c r="AZ110" i="5"/>
  <c r="R38" i="13" s="1"/>
  <c r="BA196" i="5"/>
  <c r="BA104" i="5" s="1"/>
  <c r="BA110" i="5"/>
  <c r="S38" i="13" s="1"/>
  <c r="BJ278" i="5"/>
  <c r="AU88" i="5"/>
  <c r="CK49" i="1"/>
  <c r="AF198" i="5"/>
  <c r="AV87" i="5"/>
  <c r="AT88" i="5"/>
  <c r="AW225" i="5"/>
  <c r="AW213" i="5" s="1"/>
  <c r="AW82" i="5" s="1"/>
  <c r="CL49" i="1"/>
  <c r="AU87" i="5"/>
  <c r="BJ281" i="5"/>
  <c r="AV84" i="5"/>
  <c r="AV95" i="5" s="1"/>
  <c r="AU84" i="5"/>
  <c r="AU95" i="5" s="1"/>
  <c r="AR121" i="5"/>
  <c r="AR122" i="5" s="1"/>
  <c r="N264" i="5"/>
  <c r="AV89" i="5"/>
  <c r="AX280" i="5"/>
  <c r="AL66" i="5"/>
  <c r="Z198" i="5"/>
  <c r="CJ46" i="5"/>
  <c r="AV88" i="5"/>
  <c r="N198" i="5"/>
  <c r="T264" i="5"/>
  <c r="AU89" i="5"/>
  <c r="AT84" i="5"/>
  <c r="AT96" i="5" s="1"/>
  <c r="AR264" i="5"/>
  <c r="BU271" i="5"/>
  <c r="BP271" i="5"/>
  <c r="CJ301" i="5"/>
  <c r="CM299" i="5"/>
  <c r="CM301" i="5" s="1"/>
  <c r="CG301" i="5"/>
  <c r="AX124" i="5"/>
  <c r="Z264" i="5"/>
  <c r="BJ280" i="5"/>
  <c r="AH88" i="5"/>
  <c r="AF264" i="5"/>
  <c r="AL264" i="5"/>
  <c r="T198" i="5"/>
  <c r="AT87" i="5"/>
  <c r="AR198" i="5"/>
  <c r="N157" i="5"/>
  <c r="AF157" i="5"/>
  <c r="BG195" i="5"/>
  <c r="BG110" i="5" s="1"/>
  <c r="Y38" i="13" s="1"/>
  <c r="BA202" i="5"/>
  <c r="BA203" i="5" s="1"/>
  <c r="AX195" i="5"/>
  <c r="AX110" i="5" s="1"/>
  <c r="P38" i="13" s="1"/>
  <c r="BC195" i="5"/>
  <c r="AW196" i="5"/>
  <c r="AW104" i="5" s="1"/>
  <c r="AL198" i="5"/>
  <c r="T157" i="5"/>
  <c r="BH195" i="5"/>
  <c r="BH110" i="5" s="1"/>
  <c r="Z38" i="13" s="1"/>
  <c r="BB202" i="5"/>
  <c r="BB203" i="5" s="1"/>
  <c r="BB196" i="5"/>
  <c r="BB104" i="5" s="1"/>
  <c r="BF195" i="5"/>
  <c r="BF110" i="5" s="1"/>
  <c r="X38" i="13" s="1"/>
  <c r="AZ202" i="5"/>
  <c r="AZ203" i="5" s="1"/>
  <c r="AR157" i="5"/>
  <c r="AX154" i="5"/>
  <c r="AX109" i="5" s="1"/>
  <c r="P9" i="13" s="1"/>
  <c r="Z157" i="5"/>
  <c r="AL157" i="5"/>
  <c r="BA14" i="1"/>
  <c r="AX176" i="5"/>
  <c r="BC124" i="5"/>
  <c r="BC165" i="1" s="1"/>
  <c r="BC381" i="1" s="1"/>
  <c r="BD164" i="5"/>
  <c r="BD124" i="5" s="1"/>
  <c r="AX9" i="1"/>
  <c r="AT98" i="5"/>
  <c r="BT277" i="5"/>
  <c r="BN283" i="5"/>
  <c r="BN8" i="5"/>
  <c r="BN8" i="1" s="1"/>
  <c r="BN279" i="5"/>
  <c r="BN280" i="5"/>
  <c r="BN281" i="5"/>
  <c r="BG288" i="5"/>
  <c r="BG289" i="5" s="1"/>
  <c r="BI288" i="5"/>
  <c r="BI289" i="5" s="1"/>
  <c r="AR71" i="5"/>
  <c r="AX64" i="5"/>
  <c r="AX144" i="5"/>
  <c r="AX133" i="5"/>
  <c r="AX134" i="5"/>
  <c r="AR73" i="5"/>
  <c r="AX66" i="5"/>
  <c r="AX159" i="5"/>
  <c r="AW119" i="5"/>
  <c r="CD49" i="1"/>
  <c r="CD44" i="1"/>
  <c r="BH288" i="5"/>
  <c r="BH289" i="5" s="1"/>
  <c r="BM280" i="5"/>
  <c r="BS277" i="5"/>
  <c r="BM8" i="5"/>
  <c r="BM8" i="1" s="1"/>
  <c r="BM283" i="5"/>
  <c r="BM279" i="5"/>
  <c r="BM281" i="5"/>
  <c r="AX174" i="5"/>
  <c r="AX185" i="5"/>
  <c r="AX175" i="5"/>
  <c r="AX177" i="5"/>
  <c r="AW12" i="1"/>
  <c r="CN286" i="5"/>
  <c r="BH9" i="1"/>
  <c r="BH18" i="1"/>
  <c r="AW13" i="1"/>
  <c r="BU303" i="5"/>
  <c r="BP303" i="5"/>
  <c r="BD284" i="5"/>
  <c r="BD288" i="5"/>
  <c r="BD289" i="5" s="1"/>
  <c r="BD8" i="1"/>
  <c r="BD9" i="5"/>
  <c r="BF8" i="1"/>
  <c r="BJ8" i="5"/>
  <c r="BJ8" i="1" s="1"/>
  <c r="AR74" i="5"/>
  <c r="AX67" i="5"/>
  <c r="AR72" i="5"/>
  <c r="AX65" i="5"/>
  <c r="AX281" i="5"/>
  <c r="AZ18" i="1"/>
  <c r="AZ9" i="1"/>
  <c r="BO281" i="5"/>
  <c r="BO8" i="5"/>
  <c r="BO8" i="1" s="1"/>
  <c r="BO283" i="5"/>
  <c r="BO280" i="5"/>
  <c r="BO279" i="5"/>
  <c r="BU277" i="5"/>
  <c r="BJ283" i="5"/>
  <c r="BF288" i="5"/>
  <c r="BF289" i="5" s="1"/>
  <c r="BG18" i="1"/>
  <c r="BG9" i="1"/>
  <c r="BC19" i="1"/>
  <c r="BC12" i="1"/>
  <c r="BC14" i="1" s="1"/>
  <c r="BI18" i="1"/>
  <c r="BI9" i="1"/>
  <c r="BL281" i="5"/>
  <c r="BR277" i="5"/>
  <c r="BL8" i="5"/>
  <c r="BL283" i="5"/>
  <c r="BL280" i="5"/>
  <c r="BL279" i="5"/>
  <c r="BP277" i="5"/>
  <c r="BI291" i="5"/>
  <c r="BC266" i="5"/>
  <c r="BD266" i="5" s="1"/>
  <c r="BC200" i="5"/>
  <c r="BD200" i="5" s="1"/>
  <c r="AW202" i="5"/>
  <c r="AW203" i="5" s="1"/>
  <c r="BC159" i="5"/>
  <c r="BI159" i="5" s="1"/>
  <c r="AW161" i="5"/>
  <c r="BI205" i="5"/>
  <c r="AW214" i="5"/>
  <c r="AW261" i="5" s="1"/>
  <c r="BI164" i="5"/>
  <c r="AR189" i="5"/>
  <c r="AR81" i="5"/>
  <c r="AR89" i="5" s="1"/>
  <c r="H148" i="5"/>
  <c r="H147" i="5"/>
  <c r="H149" i="5"/>
  <c r="F152" i="5"/>
  <c r="H151" i="5"/>
  <c r="AR44" i="1"/>
  <c r="AR49" i="1"/>
  <c r="E152" i="5"/>
  <c r="G152" i="5"/>
  <c r="AF121" i="5"/>
  <c r="AF122" i="5" s="1"/>
  <c r="AF46" i="5"/>
  <c r="AL121" i="5"/>
  <c r="AL122" i="5" s="1"/>
  <c r="AL46" i="5"/>
  <c r="Z147" i="5"/>
  <c r="H80" i="5"/>
  <c r="H79" i="5"/>
  <c r="N81" i="5"/>
  <c r="T81" i="5"/>
  <c r="Z89" i="5" s="1"/>
  <c r="AE152" i="5"/>
  <c r="M193" i="5"/>
  <c r="BI193" i="5"/>
  <c r="G234" i="5"/>
  <c r="AF280" i="5"/>
  <c r="Z280" i="5"/>
  <c r="AL280" i="5"/>
  <c r="N280" i="5"/>
  <c r="Z229" i="5"/>
  <c r="AH234" i="5"/>
  <c r="AE234" i="5"/>
  <c r="AW193" i="5"/>
  <c r="BJ188" i="5"/>
  <c r="AQ152" i="5"/>
  <c r="AK193" i="5"/>
  <c r="AL151" i="5"/>
  <c r="Z148" i="5"/>
  <c r="AL191" i="5"/>
  <c r="AL190" i="5"/>
  <c r="AQ161" i="5"/>
  <c r="AQ119" i="5"/>
  <c r="S152" i="5"/>
  <c r="AK161" i="5"/>
  <c r="AK119" i="5"/>
  <c r="S234" i="5"/>
  <c r="AE161" i="5"/>
  <c r="AE119" i="5"/>
  <c r="AR148" i="5"/>
  <c r="N151" i="5"/>
  <c r="AO87" i="5"/>
  <c r="M87" i="5"/>
  <c r="AK89" i="5"/>
  <c r="N148" i="5"/>
  <c r="Y87" i="5"/>
  <c r="Y89" i="5"/>
  <c r="AO89" i="5"/>
  <c r="Q88" i="5"/>
  <c r="AJ88" i="5"/>
  <c r="AN88" i="5"/>
  <c r="AD89" i="5"/>
  <c r="AD88" i="5"/>
  <c r="N90" i="5"/>
  <c r="Z90" i="5"/>
  <c r="AF90" i="5"/>
  <c r="S88" i="5"/>
  <c r="AR149" i="5"/>
  <c r="R89" i="5"/>
  <c r="M88" i="5"/>
  <c r="J89" i="5"/>
  <c r="AJ89" i="5"/>
  <c r="N149" i="5"/>
  <c r="N147" i="5"/>
  <c r="L87" i="5"/>
  <c r="L88" i="5"/>
  <c r="AH89" i="5"/>
  <c r="W88" i="5"/>
  <c r="BJ191" i="5"/>
  <c r="T65" i="5"/>
  <c r="AU193" i="5"/>
  <c r="AU234" i="5"/>
  <c r="N72" i="5"/>
  <c r="N65" i="5"/>
  <c r="AE88" i="5"/>
  <c r="AL90" i="5"/>
  <c r="Z278" i="5"/>
  <c r="V88" i="5"/>
  <c r="BG193" i="5"/>
  <c r="Q234" i="5"/>
  <c r="AN193" i="5"/>
  <c r="X87" i="5"/>
  <c r="J234" i="5"/>
  <c r="AJ87" i="5"/>
  <c r="AL203" i="5"/>
  <c r="AL148" i="5"/>
  <c r="AL149" i="5"/>
  <c r="AL196" i="5"/>
  <c r="AL104" i="5" s="1"/>
  <c r="AQ89" i="5"/>
  <c r="AL189" i="5"/>
  <c r="AO234" i="5"/>
  <c r="AC87" i="5"/>
  <c r="AQ87" i="5"/>
  <c r="J152" i="5"/>
  <c r="AK88" i="5"/>
  <c r="AL192" i="5"/>
  <c r="AK87" i="5"/>
  <c r="Z151" i="5"/>
  <c r="Z149" i="5"/>
  <c r="AL150" i="5"/>
  <c r="AL188" i="5"/>
  <c r="P88" i="5"/>
  <c r="AP88" i="5"/>
  <c r="AO88" i="5"/>
  <c r="V87" i="5"/>
  <c r="V89" i="5"/>
  <c r="AN89" i="5"/>
  <c r="Q87" i="5"/>
  <c r="R87" i="5"/>
  <c r="AC88" i="5"/>
  <c r="P87" i="5"/>
  <c r="AE89" i="5"/>
  <c r="X88" i="5"/>
  <c r="R88" i="5"/>
  <c r="K89" i="5"/>
  <c r="T229" i="5"/>
  <c r="AC152" i="5"/>
  <c r="Q152" i="5"/>
  <c r="AH152" i="5"/>
  <c r="AN87" i="5"/>
  <c r="AI87" i="5"/>
  <c r="S87" i="5"/>
  <c r="Q89" i="5"/>
  <c r="AB87" i="5"/>
  <c r="AQ88" i="5"/>
  <c r="AI89" i="5"/>
  <c r="AC89" i="5"/>
  <c r="E234" i="5"/>
  <c r="AH87" i="5"/>
  <c r="M89" i="5"/>
  <c r="S89" i="5"/>
  <c r="AI88" i="5"/>
  <c r="AB89" i="5"/>
  <c r="K88" i="5"/>
  <c r="AD87" i="5"/>
  <c r="Y88" i="5"/>
  <c r="P89" i="5"/>
  <c r="W87" i="5"/>
  <c r="X89" i="5"/>
  <c r="AE87" i="5"/>
  <c r="J88" i="5"/>
  <c r="T90" i="5"/>
  <c r="W89" i="5"/>
  <c r="AP89" i="5"/>
  <c r="AR90" i="5"/>
  <c r="L89" i="5"/>
  <c r="AP87" i="5"/>
  <c r="AB88" i="5"/>
  <c r="AZ193" i="5"/>
  <c r="V152" i="5"/>
  <c r="T215" i="5"/>
  <c r="AR262" i="5"/>
  <c r="AR105" i="5" s="1"/>
  <c r="N230" i="5"/>
  <c r="AJ75" i="5"/>
  <c r="AJ76" i="5" s="1"/>
  <c r="AJ83" i="5"/>
  <c r="K75" i="5"/>
  <c r="K76" i="5" s="1"/>
  <c r="K83" i="5"/>
  <c r="E84" i="5"/>
  <c r="E97" i="5" s="1"/>
  <c r="N231" i="5"/>
  <c r="AR269" i="5"/>
  <c r="AQ75" i="5"/>
  <c r="AQ76" i="5" s="1"/>
  <c r="AQ83" i="5"/>
  <c r="AW91" i="5" s="1"/>
  <c r="AC75" i="5"/>
  <c r="AC76" i="5" s="1"/>
  <c r="AC83" i="5"/>
  <c r="K87" i="5"/>
  <c r="V75" i="5"/>
  <c r="V76" i="5" s="1"/>
  <c r="V83" i="5"/>
  <c r="V84" i="5" s="1"/>
  <c r="V98" i="5" s="1"/>
  <c r="N269" i="5"/>
  <c r="AR229" i="5"/>
  <c r="AN75" i="5"/>
  <c r="AN76" i="5" s="1"/>
  <c r="AN83" i="5"/>
  <c r="AT91" i="5" s="1"/>
  <c r="AB75" i="5"/>
  <c r="AB76" i="5" s="1"/>
  <c r="AB83" i="5"/>
  <c r="AB84" i="5" s="1"/>
  <c r="X75" i="5"/>
  <c r="X76" i="5" s="1"/>
  <c r="X83" i="5"/>
  <c r="S75" i="5"/>
  <c r="S76" i="5" s="1"/>
  <c r="S83" i="5"/>
  <c r="R75" i="5"/>
  <c r="R76" i="5" s="1"/>
  <c r="R83" i="5"/>
  <c r="P75" i="5"/>
  <c r="P76" i="5" s="1"/>
  <c r="P83" i="5"/>
  <c r="P84" i="5" s="1"/>
  <c r="P98" i="5" s="1"/>
  <c r="G84" i="5"/>
  <c r="V234" i="5"/>
  <c r="AB193" i="5"/>
  <c r="AR232" i="5"/>
  <c r="AF66" i="5"/>
  <c r="AF67" i="5"/>
  <c r="AK75" i="5"/>
  <c r="AK76" i="5" s="1"/>
  <c r="AK83" i="5"/>
  <c r="AD75" i="5"/>
  <c r="AD76" i="5" s="1"/>
  <c r="AD83" i="5"/>
  <c r="F84" i="5"/>
  <c r="F99" i="5" s="1"/>
  <c r="J87" i="5"/>
  <c r="AR231" i="5"/>
  <c r="N232" i="5"/>
  <c r="N233" i="5"/>
  <c r="AR230" i="5"/>
  <c r="N229" i="5"/>
  <c r="L75" i="5"/>
  <c r="L76" i="5" s="1"/>
  <c r="L83" i="5"/>
  <c r="J75" i="5"/>
  <c r="J76" i="5" s="1"/>
  <c r="J83" i="5"/>
  <c r="Z177" i="5"/>
  <c r="AL64" i="5"/>
  <c r="AV234" i="5"/>
  <c r="K193" i="5"/>
  <c r="AO152" i="5"/>
  <c r="N262" i="5"/>
  <c r="N105" i="5" s="1"/>
  <c r="AP75" i="5"/>
  <c r="AP76" i="5" s="1"/>
  <c r="AP83" i="5"/>
  <c r="AV91" i="5" s="1"/>
  <c r="AF278" i="5"/>
  <c r="AI75" i="5"/>
  <c r="AI76" i="5" s="1"/>
  <c r="AI83" i="5"/>
  <c r="W75" i="5"/>
  <c r="W76" i="5" s="1"/>
  <c r="W83" i="5"/>
  <c r="M75" i="5"/>
  <c r="M76" i="5" s="1"/>
  <c r="M83" i="5"/>
  <c r="T216" i="5"/>
  <c r="AR233" i="5"/>
  <c r="AE75" i="5"/>
  <c r="AE76" i="5" s="1"/>
  <c r="AE83" i="5"/>
  <c r="Y75" i="5"/>
  <c r="Y76" i="5" s="1"/>
  <c r="Y83" i="5"/>
  <c r="Q75" i="5"/>
  <c r="Q76" i="5" s="1"/>
  <c r="Q83" i="5"/>
  <c r="AH75" i="5"/>
  <c r="AH76" i="5" s="1"/>
  <c r="AH83" i="5"/>
  <c r="Z230" i="5"/>
  <c r="H189" i="5"/>
  <c r="Z188" i="5"/>
  <c r="Z80" i="5"/>
  <c r="T79" i="5"/>
  <c r="H262" i="5"/>
  <c r="H105" i="5" s="1"/>
  <c r="H81" i="5"/>
  <c r="AF215" i="5"/>
  <c r="AF81" i="5"/>
  <c r="AR188" i="5"/>
  <c r="AR80" i="5"/>
  <c r="AX88" i="5" s="1"/>
  <c r="T203" i="5"/>
  <c r="T80" i="5"/>
  <c r="Z232" i="5"/>
  <c r="H192" i="5"/>
  <c r="H190" i="5"/>
  <c r="P193" i="5"/>
  <c r="AL79" i="5"/>
  <c r="Z79" i="5"/>
  <c r="N196" i="5"/>
  <c r="N104" i="5" s="1"/>
  <c r="N80" i="5"/>
  <c r="AF216" i="5"/>
  <c r="Z233" i="5"/>
  <c r="AF279" i="5"/>
  <c r="AF284" i="5"/>
  <c r="Z216" i="5"/>
  <c r="Z269" i="5"/>
  <c r="H191" i="5"/>
  <c r="Z231" i="5"/>
  <c r="H284" i="5"/>
  <c r="AR150" i="5"/>
  <c r="AR79" i="5"/>
  <c r="AX87" i="5" s="1"/>
  <c r="N150" i="5"/>
  <c r="N79" i="5"/>
  <c r="AO84" i="5"/>
  <c r="AO98" i="5" s="1"/>
  <c r="W193" i="5"/>
  <c r="H203" i="5"/>
  <c r="AF269" i="5"/>
  <c r="AF229" i="5"/>
  <c r="H188" i="5"/>
  <c r="Z262" i="5"/>
  <c r="Z105" i="5" s="1"/>
  <c r="AF188" i="5"/>
  <c r="AF80" i="5"/>
  <c r="AF79" i="5"/>
  <c r="AF71" i="5"/>
  <c r="AR185" i="5"/>
  <c r="BJ190" i="5"/>
  <c r="T226" i="5"/>
  <c r="BJ192" i="5"/>
  <c r="AR64" i="5"/>
  <c r="AF289" i="5"/>
  <c r="AT234" i="5"/>
  <c r="AK234" i="5"/>
  <c r="AF176" i="5"/>
  <c r="N218" i="5"/>
  <c r="Z215" i="5"/>
  <c r="AR144" i="5"/>
  <c r="AR147" i="5"/>
  <c r="Z279" i="5"/>
  <c r="S193" i="5"/>
  <c r="T218" i="5"/>
  <c r="AJ234" i="5"/>
  <c r="T66" i="5"/>
  <c r="Z226" i="5"/>
  <c r="T230" i="5"/>
  <c r="T233" i="5"/>
  <c r="T262" i="5"/>
  <c r="T105" i="5" s="1"/>
  <c r="AR151" i="5"/>
  <c r="T231" i="5"/>
  <c r="Z284" i="5"/>
  <c r="AE193" i="5"/>
  <c r="T269" i="5"/>
  <c r="T232" i="5"/>
  <c r="Z289" i="5"/>
  <c r="AR176" i="5"/>
  <c r="AR177" i="5"/>
  <c r="E193" i="5"/>
  <c r="AF177" i="5"/>
  <c r="Z218" i="5"/>
  <c r="M152" i="5"/>
  <c r="T217" i="5"/>
  <c r="R152" i="5"/>
  <c r="L193" i="5"/>
  <c r="AD152" i="5"/>
  <c r="AL218" i="5"/>
  <c r="N64" i="5"/>
  <c r="N56" i="5"/>
  <c r="AF64" i="5"/>
  <c r="N289" i="5"/>
  <c r="T279" i="5"/>
  <c r="T278" i="5"/>
  <c r="AQ234" i="5"/>
  <c r="K152" i="5"/>
  <c r="AN234" i="5"/>
  <c r="AN152" i="5"/>
  <c r="Z66" i="5"/>
  <c r="N278" i="5"/>
  <c r="N279" i="5"/>
  <c r="N189" i="5"/>
  <c r="H269" i="5"/>
  <c r="N192" i="5"/>
  <c r="H56" i="5"/>
  <c r="H83" i="5" s="1"/>
  <c r="R234" i="5"/>
  <c r="Z67" i="5"/>
  <c r="H229" i="5"/>
  <c r="H232" i="5"/>
  <c r="H230" i="5"/>
  <c r="N185" i="5"/>
  <c r="N175" i="5"/>
  <c r="N174" i="5"/>
  <c r="N226" i="5"/>
  <c r="N191" i="5"/>
  <c r="H243" i="5"/>
  <c r="AR66" i="5"/>
  <c r="T175" i="5"/>
  <c r="N203" i="5"/>
  <c r="N216" i="5"/>
  <c r="AJ193" i="5"/>
  <c r="N215" i="5"/>
  <c r="H231" i="5"/>
  <c r="N188" i="5"/>
  <c r="R193" i="5"/>
  <c r="AL217" i="5"/>
  <c r="K234" i="5"/>
  <c r="AO193" i="5"/>
  <c r="N281" i="5"/>
  <c r="AL281" i="5"/>
  <c r="AF56" i="5"/>
  <c r="AV193" i="5"/>
  <c r="F234" i="5"/>
  <c r="N190" i="5"/>
  <c r="H233" i="5"/>
  <c r="N66" i="5"/>
  <c r="AL67" i="5"/>
  <c r="X193" i="5"/>
  <c r="AJ152" i="5"/>
  <c r="BB193" i="5"/>
  <c r="Q193" i="5"/>
  <c r="AB152" i="5"/>
  <c r="P152" i="5"/>
  <c r="Z64" i="5"/>
  <c r="AF203" i="5"/>
  <c r="AP234" i="5"/>
  <c r="BH193" i="5"/>
  <c r="X234" i="5"/>
  <c r="AR217" i="5"/>
  <c r="Z56" i="5"/>
  <c r="AD234" i="5"/>
  <c r="Z189" i="5"/>
  <c r="AF148" i="5"/>
  <c r="AT193" i="5"/>
  <c r="N67" i="5"/>
  <c r="T147" i="5"/>
  <c r="Y234" i="5"/>
  <c r="AP152" i="5"/>
  <c r="Z65" i="5"/>
  <c r="Y193" i="5"/>
  <c r="N144" i="5"/>
  <c r="L234" i="5"/>
  <c r="AL226" i="5"/>
  <c r="AI152" i="5"/>
  <c r="V193" i="5"/>
  <c r="BF193" i="5"/>
  <c r="AF218" i="5"/>
  <c r="Z281" i="5"/>
  <c r="AL176" i="5"/>
  <c r="Z192" i="5"/>
  <c r="T144" i="5"/>
  <c r="Z190" i="5"/>
  <c r="AR65" i="5"/>
  <c r="AF217" i="5"/>
  <c r="AD193" i="5"/>
  <c r="AP193" i="5"/>
  <c r="AF281" i="5"/>
  <c r="AI234" i="5"/>
  <c r="AQ193" i="5"/>
  <c r="P234" i="5"/>
  <c r="G193" i="5"/>
  <c r="AB234" i="5"/>
  <c r="Z144" i="5"/>
  <c r="T67" i="5"/>
  <c r="AL65" i="5"/>
  <c r="Z176" i="5"/>
  <c r="T150" i="5"/>
  <c r="T149" i="5"/>
  <c r="T148" i="5"/>
  <c r="AF65" i="5"/>
  <c r="N74" i="5"/>
  <c r="Z191" i="5"/>
  <c r="AI193" i="5"/>
  <c r="X152" i="5"/>
  <c r="Z217" i="5"/>
  <c r="AV152" i="5"/>
  <c r="W234" i="5"/>
  <c r="AC193" i="5"/>
  <c r="N177" i="5"/>
  <c r="BC193" i="5"/>
  <c r="N176" i="5"/>
  <c r="AK152" i="5"/>
  <c r="J193" i="5"/>
  <c r="AL177" i="5"/>
  <c r="Z196" i="5"/>
  <c r="Z104" i="5" s="1"/>
  <c r="AF72" i="5"/>
  <c r="Z203" i="5"/>
  <c r="T151" i="5"/>
  <c r="AL56" i="5"/>
  <c r="AU152" i="5"/>
  <c r="Z175" i="5"/>
  <c r="AR215" i="5"/>
  <c r="AL216" i="5"/>
  <c r="T188" i="5"/>
  <c r="AR196" i="5"/>
  <c r="AR104" i="5" s="1"/>
  <c r="AL262" i="5"/>
  <c r="AL105" i="5" s="1"/>
  <c r="AL232" i="5"/>
  <c r="AR191" i="5"/>
  <c r="AL233" i="5"/>
  <c r="AL231" i="5"/>
  <c r="Z185" i="5"/>
  <c r="F193" i="5"/>
  <c r="AC234" i="5"/>
  <c r="T177" i="5"/>
  <c r="T176" i="5"/>
  <c r="Y152" i="5"/>
  <c r="AR218" i="5"/>
  <c r="M234" i="5"/>
  <c r="AH193" i="5"/>
  <c r="W152" i="5"/>
  <c r="N217" i="5"/>
  <c r="T174" i="5"/>
  <c r="AL215" i="5"/>
  <c r="AL230" i="5"/>
  <c r="AR190" i="5"/>
  <c r="AL269" i="5"/>
  <c r="AL229" i="5"/>
  <c r="AR175" i="5"/>
  <c r="AR203" i="5"/>
  <c r="T190" i="5"/>
  <c r="T64" i="5"/>
  <c r="T192" i="5"/>
  <c r="AR192" i="5"/>
  <c r="AR174" i="5"/>
  <c r="AR226" i="5"/>
  <c r="Z174" i="5"/>
  <c r="T189" i="5"/>
  <c r="T56" i="5"/>
  <c r="T185" i="5"/>
  <c r="AR216" i="5"/>
  <c r="T191" i="5"/>
  <c r="T196" i="5"/>
  <c r="T104" i="5" s="1"/>
  <c r="AF192" i="5"/>
  <c r="AL185" i="5"/>
  <c r="AF150" i="5"/>
  <c r="AF149" i="5"/>
  <c r="AF196" i="5"/>
  <c r="AF104" i="5" s="1"/>
  <c r="AL60" i="5"/>
  <c r="AF174" i="5"/>
  <c r="AL175" i="5"/>
  <c r="AL144" i="5"/>
  <c r="AF191" i="5"/>
  <c r="AF185" i="5"/>
  <c r="AF144" i="5"/>
  <c r="AF189" i="5"/>
  <c r="AF190" i="5"/>
  <c r="AF151" i="5"/>
  <c r="N60" i="5"/>
  <c r="T60" i="5"/>
  <c r="AF175" i="5"/>
  <c r="AF147" i="5"/>
  <c r="BA193" i="5"/>
  <c r="AL174" i="5"/>
  <c r="AR60" i="5"/>
  <c r="N61" i="5"/>
  <c r="AF60" i="5"/>
  <c r="AL61" i="5"/>
  <c r="Z60" i="5"/>
  <c r="T61" i="5"/>
  <c r="Z61" i="5"/>
  <c r="AF61" i="5"/>
  <c r="L152" i="5"/>
  <c r="AL278" i="5"/>
  <c r="AL289" i="5"/>
  <c r="AL279" i="5"/>
  <c r="AR67" i="5"/>
  <c r="AF226" i="5"/>
  <c r="AF232" i="5"/>
  <c r="AF231" i="5"/>
  <c r="AR61" i="5"/>
  <c r="AF230" i="5"/>
  <c r="T281" i="5"/>
  <c r="AF233" i="5"/>
  <c r="T280" i="5"/>
  <c r="AT152" i="5"/>
  <c r="AR56" i="5"/>
  <c r="AO75" i="5"/>
  <c r="AO76" i="5" s="1"/>
  <c r="F259" i="5"/>
  <c r="AL255" i="5"/>
  <c r="T257" i="5"/>
  <c r="N257" i="5"/>
  <c r="AR254" i="5"/>
  <c r="G259" i="5"/>
  <c r="AF258" i="5"/>
  <c r="Z243" i="5"/>
  <c r="Z251" i="5"/>
  <c r="AL254" i="5"/>
  <c r="Z256" i="5"/>
  <c r="AR256" i="5"/>
  <c r="Z257" i="5"/>
  <c r="H256" i="5"/>
  <c r="AF255" i="5"/>
  <c r="T243" i="5"/>
  <c r="T251" i="5"/>
  <c r="T256" i="5"/>
  <c r="AR257" i="5"/>
  <c r="N255" i="5"/>
  <c r="Z254" i="5"/>
  <c r="N243" i="5"/>
  <c r="N251" i="5"/>
  <c r="T255" i="5"/>
  <c r="H254" i="5"/>
  <c r="H257" i="5"/>
  <c r="AR243" i="5"/>
  <c r="AR251" i="5"/>
  <c r="Z258" i="5"/>
  <c r="AR255" i="5"/>
  <c r="AL243" i="5"/>
  <c r="AL251" i="5"/>
  <c r="AL257" i="5"/>
  <c r="N254" i="5"/>
  <c r="AL258" i="5"/>
  <c r="N256" i="5"/>
  <c r="Z255" i="5"/>
  <c r="E259" i="5"/>
  <c r="AF243" i="5"/>
  <c r="AF251" i="5"/>
  <c r="AF254" i="5"/>
  <c r="AF257" i="5"/>
  <c r="H255" i="5"/>
  <c r="H258" i="5"/>
  <c r="T254" i="5"/>
  <c r="M259" i="5"/>
  <c r="AK259" i="5"/>
  <c r="Y259" i="5"/>
  <c r="S259" i="5"/>
  <c r="K259" i="5"/>
  <c r="AC259" i="5"/>
  <c r="Q259" i="5"/>
  <c r="P259" i="5"/>
  <c r="AU259" i="5"/>
  <c r="X259" i="5"/>
  <c r="L259" i="5"/>
  <c r="AN259" i="5"/>
  <c r="AE259" i="5"/>
  <c r="J259" i="5"/>
  <c r="AI259" i="5"/>
  <c r="AT259" i="5"/>
  <c r="V259" i="5"/>
  <c r="AV259" i="5"/>
  <c r="AO259" i="5"/>
  <c r="AD259" i="5"/>
  <c r="AB259" i="5"/>
  <c r="R259" i="5"/>
  <c r="AQ259" i="5"/>
  <c r="AJ259" i="5"/>
  <c r="W259" i="5"/>
  <c r="AP259" i="5"/>
  <c r="AH259" i="5"/>
  <c r="E5" i="5"/>
  <c r="F5" i="5"/>
  <c r="J2" i="5"/>
  <c r="J5" i="5" s="1"/>
  <c r="AW381" i="1" l="1"/>
  <c r="AX165" i="1"/>
  <c r="AX381" i="1" s="1"/>
  <c r="AW176" i="1"/>
  <c r="AX86" i="1"/>
  <c r="AX87" i="1" s="1"/>
  <c r="Y41" i="13"/>
  <c r="Y40" i="13"/>
  <c r="Z40" i="13"/>
  <c r="Z41" i="13"/>
  <c r="S40" i="13"/>
  <c r="S41" i="13"/>
  <c r="T61" i="13"/>
  <c r="T50" i="13"/>
  <c r="T62" i="13"/>
  <c r="T51" i="13"/>
  <c r="X40" i="13"/>
  <c r="X41" i="13"/>
  <c r="R41" i="13"/>
  <c r="R40" i="13"/>
  <c r="P11" i="13"/>
  <c r="P12" i="13"/>
  <c r="O22" i="13"/>
  <c r="O33" i="13"/>
  <c r="O21" i="13"/>
  <c r="O32" i="13"/>
  <c r="P41" i="13"/>
  <c r="P40" i="13"/>
  <c r="O61" i="13"/>
  <c r="O50" i="13"/>
  <c r="O51" i="13"/>
  <c r="O62" i="13"/>
  <c r="AX176" i="1"/>
  <c r="BD165" i="1"/>
  <c r="AZ13" i="1"/>
  <c r="AZ87" i="1"/>
  <c r="AZ119" i="1"/>
  <c r="AZ115" i="1"/>
  <c r="AZ110" i="1"/>
  <c r="BA158" i="1" s="1"/>
  <c r="AZ117" i="1"/>
  <c r="AZ116" i="1"/>
  <c r="AZ100" i="1"/>
  <c r="BH13" i="1"/>
  <c r="BH87" i="1"/>
  <c r="BH119" i="1"/>
  <c r="BH117" i="1"/>
  <c r="BH100" i="1"/>
  <c r="BH115" i="1"/>
  <c r="BH110" i="1"/>
  <c r="BH116" i="1"/>
  <c r="BG13" i="1"/>
  <c r="BG87" i="1"/>
  <c r="BG116" i="1"/>
  <c r="BG115" i="1"/>
  <c r="BG119" i="1"/>
  <c r="BG110" i="1"/>
  <c r="BG117" i="1"/>
  <c r="BG100" i="1"/>
  <c r="AW111" i="5"/>
  <c r="O67" i="13" s="1"/>
  <c r="BD195" i="5"/>
  <c r="BD110" i="5" s="1"/>
  <c r="V38" i="13" s="1"/>
  <c r="BC110" i="5"/>
  <c r="U38" i="13" s="1"/>
  <c r="AX213" i="5"/>
  <c r="AX82" i="5" s="1"/>
  <c r="AT99" i="5"/>
  <c r="AV99" i="5"/>
  <c r="AV97" i="5"/>
  <c r="AV98" i="5"/>
  <c r="AU96" i="5"/>
  <c r="AU99" i="5"/>
  <c r="AV96" i="5"/>
  <c r="AU98" i="5"/>
  <c r="AU97" i="5"/>
  <c r="AT95" i="5"/>
  <c r="AT97" i="5"/>
  <c r="CN299" i="5"/>
  <c r="CN301" i="5" s="1"/>
  <c r="BP280" i="5"/>
  <c r="AW268" i="5"/>
  <c r="AW269" i="5" s="1"/>
  <c r="CA271" i="5"/>
  <c r="BV271" i="5"/>
  <c r="AX261" i="5"/>
  <c r="AX111" i="5" s="1"/>
  <c r="P67" i="13" s="1"/>
  <c r="BI195" i="5"/>
  <c r="BI110" i="5" s="1"/>
  <c r="AA38" i="13" s="1"/>
  <c r="BC196" i="5"/>
  <c r="BC104" i="5" s="1"/>
  <c r="BL195" i="5"/>
  <c r="BL110" i="5" s="1"/>
  <c r="AD38" i="13" s="1"/>
  <c r="BF202" i="5"/>
  <c r="BF203" i="5" s="1"/>
  <c r="BF196" i="5"/>
  <c r="BF104" i="5" s="1"/>
  <c r="AX198" i="5"/>
  <c r="AX196" i="5"/>
  <c r="AX104" i="5" s="1"/>
  <c r="BM195" i="5"/>
  <c r="BM110" i="5" s="1"/>
  <c r="AE38" i="13" s="1"/>
  <c r="BG202" i="5"/>
  <c r="BG203" i="5" s="1"/>
  <c r="BG196" i="5"/>
  <c r="BG104" i="5" s="1"/>
  <c r="BN195" i="5"/>
  <c r="BN110" i="5" s="1"/>
  <c r="AF38" i="13" s="1"/>
  <c r="BH202" i="5"/>
  <c r="BH203" i="5" s="1"/>
  <c r="BH196" i="5"/>
  <c r="BH104" i="5" s="1"/>
  <c r="AX202" i="5"/>
  <c r="AX203" i="5" s="1"/>
  <c r="BO159" i="5"/>
  <c r="BJ159" i="5"/>
  <c r="AX157" i="5"/>
  <c r="AX155" i="5"/>
  <c r="AX103" i="5" s="1"/>
  <c r="AW14" i="1"/>
  <c r="BI19" i="1"/>
  <c r="BI12" i="1"/>
  <c r="BD18" i="1"/>
  <c r="BD9" i="1"/>
  <c r="CJ49" i="1"/>
  <c r="CJ44" i="1"/>
  <c r="BN288" i="5"/>
  <c r="BN289" i="5" s="1"/>
  <c r="BP278" i="5"/>
  <c r="BP279" i="5"/>
  <c r="BI13" i="1"/>
  <c r="AZ19" i="1"/>
  <c r="AZ12" i="1"/>
  <c r="BT281" i="5"/>
  <c r="BT283" i="5"/>
  <c r="BT8" i="5"/>
  <c r="BZ277" i="5"/>
  <c r="BT279" i="5"/>
  <c r="BT280" i="5"/>
  <c r="BJ288" i="5"/>
  <c r="BJ289" i="5" s="1"/>
  <c r="BJ284" i="5"/>
  <c r="BC119" i="5"/>
  <c r="BD159" i="5"/>
  <c r="BU283" i="5"/>
  <c r="CA277" i="5"/>
  <c r="BU8" i="5"/>
  <c r="BU280" i="5"/>
  <c r="BU281" i="5"/>
  <c r="BU279" i="5"/>
  <c r="BM288" i="5"/>
  <c r="BM289" i="5" s="1"/>
  <c r="BP283" i="5"/>
  <c r="BL288" i="5"/>
  <c r="BL289" i="5" s="1"/>
  <c r="BM18" i="1"/>
  <c r="BM9" i="1"/>
  <c r="BP281" i="5"/>
  <c r="BP8" i="5"/>
  <c r="BP8" i="1" s="1"/>
  <c r="BL8" i="1"/>
  <c r="BL9" i="5"/>
  <c r="BJ18" i="1"/>
  <c r="BJ9" i="1"/>
  <c r="BS280" i="5"/>
  <c r="BS8" i="5"/>
  <c r="BS283" i="5"/>
  <c r="BY277" i="5"/>
  <c r="BS279" i="5"/>
  <c r="BS281" i="5"/>
  <c r="AW46" i="5"/>
  <c r="AX12" i="1"/>
  <c r="BI124" i="5"/>
  <c r="BI165" i="1" s="1"/>
  <c r="BR280" i="5"/>
  <c r="BX277" i="5"/>
  <c r="BR8" i="5"/>
  <c r="BR281" i="5"/>
  <c r="BR283" i="5"/>
  <c r="BR279" i="5"/>
  <c r="BV277" i="5"/>
  <c r="BG19" i="1"/>
  <c r="BG12" i="1"/>
  <c r="BO288" i="5"/>
  <c r="BO289" i="5" s="1"/>
  <c r="BF18" i="1"/>
  <c r="BF9" i="1"/>
  <c r="AU92" i="5"/>
  <c r="CA303" i="5"/>
  <c r="BV303" i="5"/>
  <c r="AW90" i="5"/>
  <c r="AX161" i="5"/>
  <c r="AX162" i="5" s="1"/>
  <c r="AX119" i="5"/>
  <c r="AX13" i="1"/>
  <c r="AW233" i="5"/>
  <c r="AW81" i="5"/>
  <c r="O66" i="13" s="1"/>
  <c r="O68" i="13" s="1"/>
  <c r="BO18" i="1"/>
  <c r="BO9" i="1"/>
  <c r="BD10" i="5"/>
  <c r="BD11" i="5"/>
  <c r="BH19" i="1"/>
  <c r="BH12" i="1"/>
  <c r="BN9" i="1"/>
  <c r="BN18" i="1"/>
  <c r="BO291" i="5"/>
  <c r="BJ291" i="5"/>
  <c r="BI200" i="5"/>
  <c r="BC202" i="5"/>
  <c r="BC203" i="5" s="1"/>
  <c r="BI266" i="5"/>
  <c r="BO205" i="5"/>
  <c r="BJ205" i="5"/>
  <c r="BO164" i="5"/>
  <c r="BJ164" i="5"/>
  <c r="AW232" i="5"/>
  <c r="AW231" i="5"/>
  <c r="AW230" i="5"/>
  <c r="AW218" i="5"/>
  <c r="AX218" i="5" s="1"/>
  <c r="AW262" i="5"/>
  <c r="AW105" i="5" s="1"/>
  <c r="AW217" i="5"/>
  <c r="AX217" i="5" s="1"/>
  <c r="AW226" i="5"/>
  <c r="AW215" i="5"/>
  <c r="AW229" i="5"/>
  <c r="AW216" i="5"/>
  <c r="AF49" i="1"/>
  <c r="AF44" i="1"/>
  <c r="H152" i="5"/>
  <c r="AL49" i="1"/>
  <c r="AL44" i="1"/>
  <c r="AQ121" i="5"/>
  <c r="AQ122" i="5" s="1"/>
  <c r="AQ46" i="5"/>
  <c r="T89" i="5"/>
  <c r="AE121" i="5"/>
  <c r="AE122" i="5" s="1"/>
  <c r="AE46" i="5"/>
  <c r="AK121" i="5"/>
  <c r="AK122" i="5" s="1"/>
  <c r="AK46" i="5"/>
  <c r="Z152" i="5"/>
  <c r="AL193" i="5"/>
  <c r="AL152" i="5"/>
  <c r="E96" i="5"/>
  <c r="F96" i="5"/>
  <c r="F97" i="5"/>
  <c r="AB96" i="5"/>
  <c r="AB98" i="5"/>
  <c r="N89" i="5"/>
  <c r="G98" i="5"/>
  <c r="G95" i="5"/>
  <c r="G97" i="5"/>
  <c r="AO96" i="5"/>
  <c r="G96" i="5"/>
  <c r="AO97" i="5"/>
  <c r="V95" i="5"/>
  <c r="AO91" i="5"/>
  <c r="P99" i="5"/>
  <c r="AB91" i="5"/>
  <c r="AB99" i="5"/>
  <c r="V99" i="5"/>
  <c r="N152" i="5"/>
  <c r="AH91" i="5"/>
  <c r="E98" i="5"/>
  <c r="E95" i="5"/>
  <c r="V96" i="5"/>
  <c r="N88" i="5"/>
  <c r="G99" i="5"/>
  <c r="AB97" i="5"/>
  <c r="AO99" i="5"/>
  <c r="Z87" i="5"/>
  <c r="F95" i="5"/>
  <c r="F98" i="5"/>
  <c r="AN84" i="5"/>
  <c r="E99" i="5"/>
  <c r="AB95" i="5"/>
  <c r="AF89" i="5"/>
  <c r="AD84" i="5"/>
  <c r="AD99" i="5" s="1"/>
  <c r="AQ84" i="5"/>
  <c r="P95" i="5"/>
  <c r="V97" i="5"/>
  <c r="P96" i="5"/>
  <c r="P97" i="5"/>
  <c r="AO95" i="5"/>
  <c r="Y91" i="5"/>
  <c r="AF87" i="5"/>
  <c r="V92" i="5"/>
  <c r="Y84" i="5"/>
  <c r="Y99" i="5" s="1"/>
  <c r="Z234" i="5"/>
  <c r="AR87" i="5"/>
  <c r="AF88" i="5"/>
  <c r="AI91" i="5"/>
  <c r="T87" i="5"/>
  <c r="Q84" i="5"/>
  <c r="Q99" i="5" s="1"/>
  <c r="Q91" i="5"/>
  <c r="AB92" i="5"/>
  <c r="AL87" i="5"/>
  <c r="T88" i="5"/>
  <c r="Z88" i="5"/>
  <c r="AP84" i="5"/>
  <c r="AP91" i="5"/>
  <c r="AI84" i="5"/>
  <c r="R84" i="5"/>
  <c r="R91" i="5"/>
  <c r="M84" i="5"/>
  <c r="M91" i="5"/>
  <c r="S84" i="5"/>
  <c r="S99" i="5" s="1"/>
  <c r="S91" i="5"/>
  <c r="AN91" i="5"/>
  <c r="AC84" i="5"/>
  <c r="AC99" i="5" s="1"/>
  <c r="AC91" i="5"/>
  <c r="K84" i="5"/>
  <c r="K91" i="5"/>
  <c r="AL89" i="5"/>
  <c r="L84" i="5"/>
  <c r="L91" i="5"/>
  <c r="AH84" i="5"/>
  <c r="AH99" i="5" s="1"/>
  <c r="AR88" i="5"/>
  <c r="AD91" i="5"/>
  <c r="AE84" i="5"/>
  <c r="AE91" i="5"/>
  <c r="W84" i="5"/>
  <c r="W99" i="5" s="1"/>
  <c r="W91" i="5"/>
  <c r="X84" i="5"/>
  <c r="X99" i="5" s="1"/>
  <c r="X91" i="5"/>
  <c r="AQ91" i="5"/>
  <c r="AJ84" i="5"/>
  <c r="AJ91" i="5"/>
  <c r="AK84" i="5"/>
  <c r="AK99" i="5" s="1"/>
  <c r="AK91" i="5"/>
  <c r="J84" i="5"/>
  <c r="J91" i="5"/>
  <c r="P91" i="5"/>
  <c r="V91" i="5"/>
  <c r="N234" i="5"/>
  <c r="AL88" i="5"/>
  <c r="H84" i="5"/>
  <c r="H99" i="5" s="1"/>
  <c r="AR234" i="5"/>
  <c r="T75" i="5"/>
  <c r="T76" i="5" s="1"/>
  <c r="T83" i="5"/>
  <c r="AL75" i="5"/>
  <c r="AL76" i="5" s="1"/>
  <c r="AL83" i="5"/>
  <c r="Z75" i="5"/>
  <c r="Z76" i="5" s="1"/>
  <c r="Z83" i="5"/>
  <c r="BJ193" i="5"/>
  <c r="H193" i="5"/>
  <c r="N87" i="5"/>
  <c r="AR75" i="5"/>
  <c r="AR76" i="5" s="1"/>
  <c r="AR83" i="5"/>
  <c r="AX91" i="5" s="1"/>
  <c r="AF75" i="5"/>
  <c r="AF76" i="5" s="1"/>
  <c r="AF83" i="5"/>
  <c r="N75" i="5"/>
  <c r="N76" i="5" s="1"/>
  <c r="N83" i="5"/>
  <c r="AR152" i="5"/>
  <c r="T234" i="5"/>
  <c r="N193" i="5"/>
  <c r="H234" i="5"/>
  <c r="T152" i="5"/>
  <c r="AR193" i="5"/>
  <c r="AL234" i="5"/>
  <c r="Z193" i="5"/>
  <c r="AF152" i="5"/>
  <c r="T193" i="5"/>
  <c r="AF234" i="5"/>
  <c r="AF193" i="5"/>
  <c r="H259" i="5"/>
  <c r="N259" i="5"/>
  <c r="AL259" i="5"/>
  <c r="AR259" i="5"/>
  <c r="AF259" i="5"/>
  <c r="T259" i="5"/>
  <c r="Z259" i="5"/>
  <c r="K2" i="5"/>
  <c r="K5" i="5" s="1"/>
  <c r="AX225" i="5" l="1"/>
  <c r="O78" i="13"/>
  <c r="O89" i="13"/>
  <c r="AW87" i="1"/>
  <c r="AF41" i="13"/>
  <c r="AF62" i="13" s="1"/>
  <c r="AF40" i="13"/>
  <c r="AF61" i="13" s="1"/>
  <c r="S62" i="13"/>
  <c r="S51" i="13"/>
  <c r="S61" i="13"/>
  <c r="S50" i="13"/>
  <c r="AE41" i="13"/>
  <c r="AE62" i="13" s="1"/>
  <c r="AE40" i="13"/>
  <c r="AE61" i="13" s="1"/>
  <c r="Z62" i="13"/>
  <c r="Z51" i="13"/>
  <c r="Z50" i="13"/>
  <c r="Z61" i="13"/>
  <c r="Y61" i="13"/>
  <c r="Y50" i="13"/>
  <c r="Y62" i="13"/>
  <c r="Y51" i="13"/>
  <c r="AD41" i="13"/>
  <c r="AD62" i="13" s="1"/>
  <c r="AD40" i="13"/>
  <c r="AD61" i="13" s="1"/>
  <c r="BD202" i="5"/>
  <c r="BD203" i="5" s="1"/>
  <c r="R61" i="13"/>
  <c r="R50" i="13"/>
  <c r="R51" i="13"/>
  <c r="R62" i="13"/>
  <c r="X62" i="13"/>
  <c r="X51" i="13"/>
  <c r="X50" i="13"/>
  <c r="X61" i="13"/>
  <c r="P22" i="13"/>
  <c r="P33" i="13"/>
  <c r="P21" i="13"/>
  <c r="P32" i="13"/>
  <c r="U40" i="13"/>
  <c r="U41" i="13"/>
  <c r="V41" i="13"/>
  <c r="V40" i="13"/>
  <c r="AA40" i="13"/>
  <c r="AA41" i="13"/>
  <c r="P61" i="13"/>
  <c r="P50" i="13"/>
  <c r="P62" i="13"/>
  <c r="P51" i="13"/>
  <c r="O69" i="13"/>
  <c r="O70" i="13"/>
  <c r="BI381" i="1"/>
  <c r="BJ165" i="1"/>
  <c r="BJ381" i="1" s="1"/>
  <c r="BD176" i="1"/>
  <c r="BD381" i="1"/>
  <c r="BI176" i="1"/>
  <c r="BH156" i="1"/>
  <c r="AZ14" i="1"/>
  <c r="BH14" i="1"/>
  <c r="BG14" i="1"/>
  <c r="BH155" i="1"/>
  <c r="BH158" i="1"/>
  <c r="BJ13" i="1"/>
  <c r="BM87" i="1"/>
  <c r="BM119" i="1"/>
  <c r="BM110" i="1"/>
  <c r="BM117" i="1"/>
  <c r="BM115" i="1"/>
  <c r="BM116" i="1"/>
  <c r="BM100" i="1"/>
  <c r="BA156" i="1"/>
  <c r="BA157" i="1"/>
  <c r="BH157" i="1"/>
  <c r="BA155" i="1"/>
  <c r="BN13" i="1"/>
  <c r="BN87" i="1"/>
  <c r="BN116" i="1"/>
  <c r="BN156" i="1" s="1"/>
  <c r="BN117" i="1"/>
  <c r="BN110" i="1"/>
  <c r="BN100" i="1"/>
  <c r="BN119" i="1"/>
  <c r="BN159" i="1" s="1"/>
  <c r="BN115" i="1"/>
  <c r="BF13" i="1"/>
  <c r="BF87" i="1"/>
  <c r="BF115" i="1"/>
  <c r="BF119" i="1"/>
  <c r="BF116" i="1"/>
  <c r="BG156" i="1" s="1"/>
  <c r="BF117" i="1"/>
  <c r="BG157" i="1" s="1"/>
  <c r="BF110" i="1"/>
  <c r="BG158" i="1" s="1"/>
  <c r="BF100" i="1"/>
  <c r="BH159" i="1"/>
  <c r="BA159" i="1"/>
  <c r="BJ195" i="5"/>
  <c r="BJ110" i="5" s="1"/>
  <c r="AB38" i="13" s="1"/>
  <c r="BD196" i="5"/>
  <c r="BD104" i="5" s="1"/>
  <c r="BD198" i="5"/>
  <c r="AX214" i="5"/>
  <c r="AX233" i="5" s="1"/>
  <c r="AT100" i="5"/>
  <c r="AV100" i="5"/>
  <c r="AU100" i="5"/>
  <c r="AX268" i="5"/>
  <c r="CG271" i="5"/>
  <c r="CB271" i="5"/>
  <c r="BT195" i="5"/>
  <c r="BT110" i="5" s="1"/>
  <c r="AL38" i="13" s="1"/>
  <c r="BN196" i="5"/>
  <c r="BN104" i="5" s="1"/>
  <c r="BN202" i="5"/>
  <c r="BN203" i="5" s="1"/>
  <c r="BR195" i="5"/>
  <c r="BR110" i="5" s="1"/>
  <c r="AJ38" i="13" s="1"/>
  <c r="BL196" i="5"/>
  <c r="BL104" i="5" s="1"/>
  <c r="BL202" i="5"/>
  <c r="BL203" i="5" s="1"/>
  <c r="BS195" i="5"/>
  <c r="BS110" i="5" s="1"/>
  <c r="AK38" i="13" s="1"/>
  <c r="BM196" i="5"/>
  <c r="BM104" i="5" s="1"/>
  <c r="BM202" i="5"/>
  <c r="BM203" i="5" s="1"/>
  <c r="BO195" i="5"/>
  <c r="BO110" i="5" s="1"/>
  <c r="AG38" i="13" s="1"/>
  <c r="BI196" i="5"/>
  <c r="BI104" i="5" s="1"/>
  <c r="BO124" i="5"/>
  <c r="BO165" i="1" s="1"/>
  <c r="BU159" i="5"/>
  <c r="BP159" i="5"/>
  <c r="BV281" i="5"/>
  <c r="AP99" i="5"/>
  <c r="AV92" i="5"/>
  <c r="BF19" i="1"/>
  <c r="BF12" i="1"/>
  <c r="AX46" i="5"/>
  <c r="BV279" i="5"/>
  <c r="BV278" i="5"/>
  <c r="BL21" i="5"/>
  <c r="BL32" i="5"/>
  <c r="BD19" i="1"/>
  <c r="BD12" i="1"/>
  <c r="AN99" i="5"/>
  <c r="AT92" i="5"/>
  <c r="BO19" i="1"/>
  <c r="BO12" i="1"/>
  <c r="BY8" i="5"/>
  <c r="CE277" i="5"/>
  <c r="BY283" i="5"/>
  <c r="BY288" i="5" s="1"/>
  <c r="BY289" i="5" s="1"/>
  <c r="BY281" i="5"/>
  <c r="BY279" i="5"/>
  <c r="BY280" i="5"/>
  <c r="BL18" i="1"/>
  <c r="BL9" i="1"/>
  <c r="BV280" i="5"/>
  <c r="BD13" i="1"/>
  <c r="BJ124" i="5"/>
  <c r="BO13" i="1"/>
  <c r="BV283" i="5"/>
  <c r="BR288" i="5"/>
  <c r="BR289" i="5" s="1"/>
  <c r="AX14" i="1"/>
  <c r="BS288" i="5"/>
  <c r="BS289" i="5" s="1"/>
  <c r="BP18" i="1"/>
  <c r="BP9" i="1"/>
  <c r="BP284" i="5"/>
  <c r="BP288" i="5"/>
  <c r="BP289" i="5" s="1"/>
  <c r="BU8" i="1"/>
  <c r="BU9" i="5"/>
  <c r="BS8" i="1"/>
  <c r="BS9" i="5"/>
  <c r="CA281" i="5"/>
  <c r="CG277" i="5"/>
  <c r="CA283" i="5"/>
  <c r="CA288" i="5" s="1"/>
  <c r="CA289" i="5" s="1"/>
  <c r="CA8" i="5"/>
  <c r="CA279" i="5"/>
  <c r="CA280" i="5"/>
  <c r="BZ280" i="5"/>
  <c r="BZ8" i="5"/>
  <c r="BZ283" i="5"/>
  <c r="BZ288" i="5" s="1"/>
  <c r="BZ289" i="5" s="1"/>
  <c r="BZ279" i="5"/>
  <c r="BZ281" i="5"/>
  <c r="CF277" i="5"/>
  <c r="BN19" i="1"/>
  <c r="BN12" i="1"/>
  <c r="AX90" i="5"/>
  <c r="BR8" i="1"/>
  <c r="BV8" i="5"/>
  <c r="BR9" i="5"/>
  <c r="BM19" i="1"/>
  <c r="BM12" i="1"/>
  <c r="BU288" i="5"/>
  <c r="BU289" i="5" s="1"/>
  <c r="BT8" i="1"/>
  <c r="BT9" i="5"/>
  <c r="BI14" i="1"/>
  <c r="BI119" i="5"/>
  <c r="AW89" i="5"/>
  <c r="AW84" i="5"/>
  <c r="AW97" i="5" s="1"/>
  <c r="CG303" i="5"/>
  <c r="CB303" i="5"/>
  <c r="BX279" i="5"/>
  <c r="BX283" i="5"/>
  <c r="BX281" i="5"/>
  <c r="CD277" i="5"/>
  <c r="BX280" i="5"/>
  <c r="BX8" i="5"/>
  <c r="CB277" i="5"/>
  <c r="BJ19" i="1"/>
  <c r="BJ12" i="1"/>
  <c r="BM13" i="1"/>
  <c r="BD119" i="5"/>
  <c r="BT288" i="5"/>
  <c r="BT289" i="5" s="1"/>
  <c r="AW44" i="1"/>
  <c r="AW105" i="1" s="1"/>
  <c r="AW49" i="1"/>
  <c r="BC46" i="5"/>
  <c r="BU291" i="5"/>
  <c r="BP291" i="5"/>
  <c r="BO266" i="5"/>
  <c r="BJ266" i="5"/>
  <c r="BO200" i="5"/>
  <c r="BJ200" i="5"/>
  <c r="BI202" i="5"/>
  <c r="BI203" i="5" s="1"/>
  <c r="BU205" i="5"/>
  <c r="BP205" i="5"/>
  <c r="AW234" i="5"/>
  <c r="BU164" i="5"/>
  <c r="BP164" i="5"/>
  <c r="AQ44" i="1"/>
  <c r="AQ49" i="1"/>
  <c r="AK44" i="1"/>
  <c r="AK49" i="1"/>
  <c r="AE49" i="1"/>
  <c r="AE44" i="1"/>
  <c r="AO100" i="5"/>
  <c r="V100" i="5"/>
  <c r="AJ92" i="5"/>
  <c r="AJ98" i="5"/>
  <c r="AJ97" i="5"/>
  <c r="AJ96" i="5"/>
  <c r="AJ95" i="5"/>
  <c r="AE97" i="5"/>
  <c r="AE98" i="5"/>
  <c r="AE95" i="5"/>
  <c r="AE96" i="5"/>
  <c r="M92" i="5"/>
  <c r="M96" i="5"/>
  <c r="M98" i="5"/>
  <c r="M97" i="5"/>
  <c r="M95" i="5"/>
  <c r="J92" i="5"/>
  <c r="J98" i="5"/>
  <c r="J95" i="5"/>
  <c r="J96" i="5"/>
  <c r="J97" i="5"/>
  <c r="K92" i="5"/>
  <c r="K98" i="5"/>
  <c r="K96" i="5"/>
  <c r="K97" i="5"/>
  <c r="K95" i="5"/>
  <c r="AD97" i="5"/>
  <c r="AD98" i="5"/>
  <c r="AD96" i="5"/>
  <c r="AD95" i="5"/>
  <c r="R98" i="5"/>
  <c r="R97" i="5"/>
  <c r="R96" i="5"/>
  <c r="R95" i="5"/>
  <c r="AJ99" i="5"/>
  <c r="M99" i="5"/>
  <c r="J99" i="5"/>
  <c r="AE99" i="5"/>
  <c r="G100" i="5"/>
  <c r="H98" i="5"/>
  <c r="H96" i="5"/>
  <c r="H95" i="5"/>
  <c r="AC92" i="5"/>
  <c r="AC98" i="5"/>
  <c r="AC97" i="5"/>
  <c r="AC96" i="5"/>
  <c r="AC95" i="5"/>
  <c r="AI97" i="5"/>
  <c r="AI98" i="5"/>
  <c r="AI95" i="5"/>
  <c r="AI96" i="5"/>
  <c r="Q96" i="5"/>
  <c r="Q98" i="5"/>
  <c r="Q97" i="5"/>
  <c r="Q95" i="5"/>
  <c r="K99" i="5"/>
  <c r="AI99" i="5"/>
  <c r="H97" i="5"/>
  <c r="F100" i="5"/>
  <c r="AD92" i="5"/>
  <c r="X96" i="5"/>
  <c r="X98" i="5"/>
  <c r="X95" i="5"/>
  <c r="X97" i="5"/>
  <c r="AH92" i="5"/>
  <c r="AH98" i="5"/>
  <c r="AH96" i="5"/>
  <c r="AH95" i="5"/>
  <c r="AH97" i="5"/>
  <c r="Y98" i="5"/>
  <c r="Y96" i="5"/>
  <c r="Y97" i="5"/>
  <c r="Y95" i="5"/>
  <c r="AN98" i="5"/>
  <c r="AN95" i="5"/>
  <c r="AN97" i="5"/>
  <c r="AN96" i="5"/>
  <c r="AQ98" i="5"/>
  <c r="AQ96" i="5"/>
  <c r="AQ97" i="5"/>
  <c r="AQ95" i="5"/>
  <c r="AL84" i="5"/>
  <c r="AL99" i="5" s="1"/>
  <c r="AP98" i="5"/>
  <c r="AP97" i="5"/>
  <c r="AP95" i="5"/>
  <c r="AP96" i="5"/>
  <c r="P100" i="5"/>
  <c r="R99" i="5"/>
  <c r="E100" i="5"/>
  <c r="AB100" i="5"/>
  <c r="AK98" i="5"/>
  <c r="AK96" i="5"/>
  <c r="AK95" i="5"/>
  <c r="AK97" i="5"/>
  <c r="W97" i="5"/>
  <c r="W98" i="5"/>
  <c r="W95" i="5"/>
  <c r="W96" i="5"/>
  <c r="L92" i="5"/>
  <c r="L96" i="5"/>
  <c r="L98" i="5"/>
  <c r="L97" i="5"/>
  <c r="L95" i="5"/>
  <c r="S95" i="5"/>
  <c r="S97" i="5"/>
  <c r="S98" i="5"/>
  <c r="S96" i="5"/>
  <c r="AQ99" i="5"/>
  <c r="L99" i="5"/>
  <c r="W92" i="5"/>
  <c r="AE92" i="5"/>
  <c r="P92" i="5"/>
  <c r="AK92" i="5"/>
  <c r="Q92" i="5"/>
  <c r="S92" i="5"/>
  <c r="R92" i="5"/>
  <c r="T84" i="5"/>
  <c r="T99" i="5" s="1"/>
  <c r="T91" i="5"/>
  <c r="AQ92" i="5"/>
  <c r="AI92" i="5"/>
  <c r="N84" i="5"/>
  <c r="N99" i="5" s="1"/>
  <c r="N91" i="5"/>
  <c r="AF84" i="5"/>
  <c r="AF99" i="5" s="1"/>
  <c r="AF91" i="5"/>
  <c r="AP92" i="5"/>
  <c r="AN92" i="5"/>
  <c r="AO92" i="5"/>
  <c r="Z84" i="5"/>
  <c r="Z99" i="5" s="1"/>
  <c r="Z91" i="5"/>
  <c r="Y92" i="5"/>
  <c r="AR84" i="5"/>
  <c r="AR91" i="5"/>
  <c r="AL91" i="5"/>
  <c r="X92" i="5"/>
  <c r="L2" i="5"/>
  <c r="M2" i="5" s="1"/>
  <c r="AX229" i="5" l="1"/>
  <c r="BF14" i="1"/>
  <c r="AK40" i="13"/>
  <c r="AK61" i="13" s="1"/>
  <c r="AK41" i="13"/>
  <c r="AK62" i="13" s="1"/>
  <c r="AL40" i="13"/>
  <c r="AL61" i="13" s="1"/>
  <c r="AL41" i="13"/>
  <c r="AL62" i="13" s="1"/>
  <c r="BJ196" i="5"/>
  <c r="BJ104" i="5" s="1"/>
  <c r="BJ198" i="5"/>
  <c r="BJ202" i="5"/>
  <c r="BJ203" i="5" s="1"/>
  <c r="AJ41" i="13"/>
  <c r="AJ62" i="13" s="1"/>
  <c r="AJ40" i="13"/>
  <c r="AJ61" i="13" s="1"/>
  <c r="AA51" i="13"/>
  <c r="AA62" i="13"/>
  <c r="AA61" i="13"/>
  <c r="AA50" i="13"/>
  <c r="AG40" i="13"/>
  <c r="AG61" i="13" s="1"/>
  <c r="AG41" i="13"/>
  <c r="AG62" i="13" s="1"/>
  <c r="V50" i="13"/>
  <c r="V61" i="13"/>
  <c r="V62" i="13"/>
  <c r="V51" i="13"/>
  <c r="U62" i="13"/>
  <c r="U51" i="13"/>
  <c r="AB41" i="13"/>
  <c r="AB40" i="13"/>
  <c r="U50" i="13"/>
  <c r="U61" i="13"/>
  <c r="O80" i="13"/>
  <c r="O91" i="13"/>
  <c r="O79" i="13"/>
  <c r="O90" i="13"/>
  <c r="BJ176" i="1"/>
  <c r="BO381" i="1"/>
  <c r="BP165" i="1"/>
  <c r="BP381" i="1" s="1"/>
  <c r="BO176" i="1"/>
  <c r="BJ86" i="1"/>
  <c r="BJ87" i="1" s="1"/>
  <c r="BI87" i="1"/>
  <c r="BJ14" i="1"/>
  <c r="BN158" i="1"/>
  <c r="BN14" i="1"/>
  <c r="BP13" i="1"/>
  <c r="BL87" i="1"/>
  <c r="BL117" i="1"/>
  <c r="BL116" i="1"/>
  <c r="BM156" i="1" s="1"/>
  <c r="BL110" i="1"/>
  <c r="BM158" i="1" s="1"/>
  <c r="BL119" i="1"/>
  <c r="BM159" i="1" s="1"/>
  <c r="BL115" i="1"/>
  <c r="BL100" i="1"/>
  <c r="BN155" i="1"/>
  <c r="BG155" i="1"/>
  <c r="BN157" i="1"/>
  <c r="BG159" i="1"/>
  <c r="BP195" i="5"/>
  <c r="BP110" i="5" s="1"/>
  <c r="AH38" i="13" s="1"/>
  <c r="AX226" i="5"/>
  <c r="AX262" i="5"/>
  <c r="AX105" i="5" s="1"/>
  <c r="AX269" i="5"/>
  <c r="AX232" i="5"/>
  <c r="AX216" i="5"/>
  <c r="AX230" i="5"/>
  <c r="AX81" i="5"/>
  <c r="AX215" i="5"/>
  <c r="AX264" i="5"/>
  <c r="AX231" i="5"/>
  <c r="CM271" i="5"/>
  <c r="CN271" i="5" s="1"/>
  <c r="CH271" i="5"/>
  <c r="CB280" i="5"/>
  <c r="BX195" i="5"/>
  <c r="BX110" i="5" s="1"/>
  <c r="AP38" i="13" s="1"/>
  <c r="BR202" i="5"/>
  <c r="BR203" i="5" s="1"/>
  <c r="BR196" i="5"/>
  <c r="BR104" i="5" s="1"/>
  <c r="BU195" i="5"/>
  <c r="BU110" i="5" s="1"/>
  <c r="AM38" i="13" s="1"/>
  <c r="BO196" i="5"/>
  <c r="BO104" i="5" s="1"/>
  <c r="BY195" i="5"/>
  <c r="BY110" i="5" s="1"/>
  <c r="AQ38" i="13" s="1"/>
  <c r="BS202" i="5"/>
  <c r="BS203" i="5" s="1"/>
  <c r="BS196" i="5"/>
  <c r="BS104" i="5" s="1"/>
  <c r="BZ195" i="5"/>
  <c r="BZ110" i="5" s="1"/>
  <c r="AR38" i="13" s="1"/>
  <c r="BT202" i="5"/>
  <c r="BT203" i="5" s="1"/>
  <c r="BT196" i="5"/>
  <c r="BT104" i="5" s="1"/>
  <c r="CA159" i="5"/>
  <c r="BV159" i="5"/>
  <c r="BP124" i="5"/>
  <c r="BD14" i="1"/>
  <c r="BM14" i="1"/>
  <c r="BU124" i="5"/>
  <c r="BU165" i="1" s="1"/>
  <c r="BJ119" i="5"/>
  <c r="BT18" i="1"/>
  <c r="BT9" i="1"/>
  <c r="BV8" i="1"/>
  <c r="BV9" i="5"/>
  <c r="BS18" i="1"/>
  <c r="BS9" i="1"/>
  <c r="BL31" i="1"/>
  <c r="BL32" i="1" s="1"/>
  <c r="BO119" i="5"/>
  <c r="BD46" i="5"/>
  <c r="CD281" i="5"/>
  <c r="CD280" i="5"/>
  <c r="CD8" i="5"/>
  <c r="CJ277" i="5"/>
  <c r="CD283" i="5"/>
  <c r="CH277" i="5"/>
  <c r="CD279" i="5"/>
  <c r="BR18" i="1"/>
  <c r="BR9" i="1"/>
  <c r="BP19" i="1"/>
  <c r="BP12" i="1"/>
  <c r="CE280" i="5"/>
  <c r="CK277" i="5"/>
  <c r="CE8" i="5"/>
  <c r="CE283" i="5"/>
  <c r="CE288" i="5" s="1"/>
  <c r="CE289" i="5" s="1"/>
  <c r="CE279" i="5"/>
  <c r="CE281" i="5"/>
  <c r="CB281" i="5"/>
  <c r="BI46" i="5"/>
  <c r="BL19" i="1"/>
  <c r="BL12" i="1"/>
  <c r="BY8" i="1"/>
  <c r="BY9" i="5"/>
  <c r="CB283" i="5"/>
  <c r="BX288" i="5"/>
  <c r="BX289" i="5" s="1"/>
  <c r="CL277" i="5"/>
  <c r="CF283" i="5"/>
  <c r="CF288" i="5" s="1"/>
  <c r="CF289" i="5" s="1"/>
  <c r="CF8" i="5"/>
  <c r="CF280" i="5"/>
  <c r="CF281" i="5"/>
  <c r="CF279" i="5"/>
  <c r="CA8" i="1"/>
  <c r="CA9" i="5"/>
  <c r="BU32" i="5"/>
  <c r="BU31" i="1" s="1"/>
  <c r="BU21" i="5"/>
  <c r="BV284" i="5"/>
  <c r="BV288" i="5"/>
  <c r="BV289" i="5" s="1"/>
  <c r="BL13" i="1"/>
  <c r="BO14" i="1"/>
  <c r="BU18" i="1"/>
  <c r="BU9" i="1"/>
  <c r="BL25" i="1"/>
  <c r="BL26" i="1" s="1"/>
  <c r="CG281" i="5"/>
  <c r="CG8" i="5"/>
  <c r="CG283" i="5"/>
  <c r="CG288" i="5" s="1"/>
  <c r="CG289" i="5" s="1"/>
  <c r="CM277" i="5"/>
  <c r="CG280" i="5"/>
  <c r="CG279" i="5"/>
  <c r="BC49" i="1"/>
  <c r="BC44" i="1"/>
  <c r="CB278" i="5"/>
  <c r="CB279" i="5"/>
  <c r="CM303" i="5"/>
  <c r="CN303" i="5" s="1"/>
  <c r="CH303" i="5"/>
  <c r="BX8" i="1"/>
  <c r="CB8" i="5"/>
  <c r="BX9" i="5"/>
  <c r="AW96" i="5"/>
  <c r="AW95" i="5"/>
  <c r="AW99" i="5"/>
  <c r="AW92" i="5"/>
  <c r="AW98" i="5"/>
  <c r="BT32" i="5"/>
  <c r="BT31" i="1" s="1"/>
  <c r="BT21" i="5"/>
  <c r="BR21" i="5"/>
  <c r="BR32" i="5"/>
  <c r="BZ8" i="1"/>
  <c r="BZ9" i="5"/>
  <c r="BS32" i="5"/>
  <c r="BS31" i="1" s="1"/>
  <c r="BS21" i="5"/>
  <c r="AX44" i="1"/>
  <c r="AX49" i="1"/>
  <c r="CA291" i="5"/>
  <c r="BV291" i="5"/>
  <c r="BU200" i="5"/>
  <c r="BP200" i="5"/>
  <c r="BO202" i="5"/>
  <c r="BO203" i="5" s="1"/>
  <c r="BU266" i="5"/>
  <c r="BP266" i="5"/>
  <c r="CA205" i="5"/>
  <c r="BV205" i="5"/>
  <c r="CA164" i="5"/>
  <c r="BV164" i="5"/>
  <c r="AP100" i="5"/>
  <c r="W100" i="5"/>
  <c r="AE100" i="5"/>
  <c r="L100" i="5"/>
  <c r="Q100" i="5"/>
  <c r="AC100" i="5"/>
  <c r="M100" i="5"/>
  <c r="AD100" i="5"/>
  <c r="AJ100" i="5"/>
  <c r="S100" i="5"/>
  <c r="X100" i="5"/>
  <c r="Z98" i="5"/>
  <c r="Z97" i="5"/>
  <c r="Z95" i="5"/>
  <c r="Z96" i="5"/>
  <c r="AL96" i="5"/>
  <c r="AL98" i="5"/>
  <c r="AL97" i="5"/>
  <c r="AL95" i="5"/>
  <c r="AH100" i="5"/>
  <c r="AI100" i="5"/>
  <c r="H100" i="5"/>
  <c r="T97" i="5"/>
  <c r="T98" i="5"/>
  <c r="T96" i="5"/>
  <c r="T95" i="5"/>
  <c r="AF98" i="5"/>
  <c r="AF96" i="5"/>
  <c r="AF97" i="5"/>
  <c r="AF95" i="5"/>
  <c r="AN100" i="5"/>
  <c r="AQ100" i="5"/>
  <c r="J100" i="5"/>
  <c r="AR92" i="5"/>
  <c r="AR97" i="5"/>
  <c r="AR98" i="5"/>
  <c r="AR96" i="5"/>
  <c r="AR95" i="5"/>
  <c r="AK100" i="5"/>
  <c r="AR99" i="5"/>
  <c r="N92" i="5"/>
  <c r="N97" i="5"/>
  <c r="N98" i="5"/>
  <c r="N95" i="5"/>
  <c r="N96" i="5"/>
  <c r="Y100" i="5"/>
  <c r="R100" i="5"/>
  <c r="K100" i="5"/>
  <c r="Z92" i="5"/>
  <c r="AF92" i="5"/>
  <c r="AL92" i="5"/>
  <c r="T92" i="5"/>
  <c r="L5" i="5"/>
  <c r="P2" i="5"/>
  <c r="M5" i="5"/>
  <c r="AX89" i="5" l="1"/>
  <c r="P66" i="13"/>
  <c r="BP14" i="1"/>
  <c r="AR40" i="13"/>
  <c r="AR41" i="13"/>
  <c r="AQ41" i="13"/>
  <c r="AQ40" i="13"/>
  <c r="AP41" i="13"/>
  <c r="AP40" i="13"/>
  <c r="AH41" i="13"/>
  <c r="AH62" i="13" s="1"/>
  <c r="AH40" i="13"/>
  <c r="AH61" i="13" s="1"/>
  <c r="AB61" i="13"/>
  <c r="AB50" i="13"/>
  <c r="BP198" i="5"/>
  <c r="AB62" i="13"/>
  <c r="AB51" i="13"/>
  <c r="BP196" i="5"/>
  <c r="BP104" i="5" s="1"/>
  <c r="AM40" i="13"/>
  <c r="AM61" i="13" s="1"/>
  <c r="AM41" i="13"/>
  <c r="AM62" i="13" s="1"/>
  <c r="BP202" i="5"/>
  <c r="BP203" i="5" s="1"/>
  <c r="BP176" i="1"/>
  <c r="BU381" i="1"/>
  <c r="BV165" i="1"/>
  <c r="BV381" i="1" s="1"/>
  <c r="BU176" i="1"/>
  <c r="BV86" i="1"/>
  <c r="BP86" i="1"/>
  <c r="BP87" i="1" s="1"/>
  <c r="BO87" i="1"/>
  <c r="BT13" i="1"/>
  <c r="BT87" i="1"/>
  <c r="BT100" i="1"/>
  <c r="BT115" i="1"/>
  <c r="BT116" i="1"/>
  <c r="BT110" i="1"/>
  <c r="BT119" i="1"/>
  <c r="BT117" i="1"/>
  <c r="BR13" i="1"/>
  <c r="BR87" i="1"/>
  <c r="BR117" i="1"/>
  <c r="BR110" i="1"/>
  <c r="BR119" i="1"/>
  <c r="BR115" i="1"/>
  <c r="BR116" i="1"/>
  <c r="BR100" i="1"/>
  <c r="BM157" i="1"/>
  <c r="BS13" i="1"/>
  <c r="BS87" i="1"/>
  <c r="BS116" i="1"/>
  <c r="BS115" i="1"/>
  <c r="BS117" i="1"/>
  <c r="BS110" i="1"/>
  <c r="BS119" i="1"/>
  <c r="BS100" i="1"/>
  <c r="BM155" i="1"/>
  <c r="AX234" i="5"/>
  <c r="AX84" i="5"/>
  <c r="AX97" i="5" s="1"/>
  <c r="BT32" i="1"/>
  <c r="BS32" i="1"/>
  <c r="CA195" i="5"/>
  <c r="CA110" i="5" s="1"/>
  <c r="AS38" i="13" s="1"/>
  <c r="BU196" i="5"/>
  <c r="BU104" i="5" s="1"/>
  <c r="CF195" i="5"/>
  <c r="CF110" i="5" s="1"/>
  <c r="AX38" i="13" s="1"/>
  <c r="BZ196" i="5"/>
  <c r="BZ104" i="5" s="1"/>
  <c r="BZ202" i="5"/>
  <c r="BZ203" i="5" s="1"/>
  <c r="CD195" i="5"/>
  <c r="CD110" i="5" s="1"/>
  <c r="AV38" i="13" s="1"/>
  <c r="BX196" i="5"/>
  <c r="BX104" i="5" s="1"/>
  <c r="BX202" i="5"/>
  <c r="BX203" i="5" s="1"/>
  <c r="BV195" i="5"/>
  <c r="BV110" i="5" s="1"/>
  <c r="AN38" i="13" s="1"/>
  <c r="CH280" i="5"/>
  <c r="CE195" i="5"/>
  <c r="CE110" i="5" s="1"/>
  <c r="AW38" i="13" s="1"/>
  <c r="BY196" i="5"/>
  <c r="BY104" i="5" s="1"/>
  <c r="BY202" i="5"/>
  <c r="BY203" i="5" s="1"/>
  <c r="CG159" i="5"/>
  <c r="CB159" i="5"/>
  <c r="BP119" i="5"/>
  <c r="CG8" i="1"/>
  <c r="CG9" i="5"/>
  <c r="BU25" i="1"/>
  <c r="BU26" i="1" s="1"/>
  <c r="CB284" i="5"/>
  <c r="CB288" i="5"/>
  <c r="CB289" i="5" s="1"/>
  <c r="CK280" i="5"/>
  <c r="CK283" i="5"/>
  <c r="CK288" i="5" s="1"/>
  <c r="CK289" i="5" s="1"/>
  <c r="CK8" i="5"/>
  <c r="CK281" i="5"/>
  <c r="CK279" i="5"/>
  <c r="CH281" i="5"/>
  <c r="BZ9" i="1"/>
  <c r="BZ18" i="1"/>
  <c r="AW100" i="5"/>
  <c r="BU119" i="5"/>
  <c r="BU46" i="5" s="1"/>
  <c r="BT25" i="1"/>
  <c r="BT26" i="1" s="1"/>
  <c r="BY21" i="5"/>
  <c r="BY32" i="5"/>
  <c r="BI49" i="1"/>
  <c r="BI44" i="1"/>
  <c r="BD44" i="1"/>
  <c r="BD49" i="1"/>
  <c r="BS25" i="1"/>
  <c r="BS26" i="1" s="1"/>
  <c r="BX21" i="5"/>
  <c r="BX32" i="5"/>
  <c r="BX31" i="1" s="1"/>
  <c r="CF8" i="1"/>
  <c r="CF9" i="5"/>
  <c r="BY18" i="1"/>
  <c r="BY9" i="1"/>
  <c r="BV18" i="1"/>
  <c r="BV9" i="1"/>
  <c r="BV124" i="5"/>
  <c r="CB8" i="1"/>
  <c r="CB9" i="5"/>
  <c r="BL14" i="1"/>
  <c r="CH279" i="5"/>
  <c r="CH278" i="5"/>
  <c r="BO46" i="5"/>
  <c r="BT19" i="1"/>
  <c r="BT12" i="1"/>
  <c r="CA124" i="5"/>
  <c r="CA165" i="1" s="1"/>
  <c r="BR31" i="1"/>
  <c r="BR32" i="1" s="1"/>
  <c r="BV32" i="5"/>
  <c r="BV31" i="1" s="1"/>
  <c r="BX18" i="1"/>
  <c r="BX9" i="1"/>
  <c r="BU32" i="1"/>
  <c r="CL281" i="5"/>
  <c r="CL8" i="5"/>
  <c r="CL283" i="5"/>
  <c r="CL288" i="5" s="1"/>
  <c r="CL289" i="5" s="1"/>
  <c r="CL279" i="5"/>
  <c r="CL280" i="5"/>
  <c r="CH283" i="5"/>
  <c r="CD288" i="5"/>
  <c r="CD289" i="5" s="1"/>
  <c r="CA32" i="5"/>
  <c r="CA31" i="1" s="1"/>
  <c r="CA21" i="5"/>
  <c r="CJ280" i="5"/>
  <c r="CJ283" i="5"/>
  <c r="CJ8" i="5"/>
  <c r="CJ279" i="5"/>
  <c r="CJ281" i="5"/>
  <c r="CN277" i="5"/>
  <c r="BR25" i="1"/>
  <c r="BR26" i="1" s="1"/>
  <c r="BR23" i="5"/>
  <c r="BV21" i="5"/>
  <c r="CM281" i="5"/>
  <c r="CM283" i="5"/>
  <c r="CM288" i="5" s="1"/>
  <c r="CM289" i="5" s="1"/>
  <c r="CM8" i="5"/>
  <c r="CM279" i="5"/>
  <c r="CM280" i="5"/>
  <c r="BU19" i="1"/>
  <c r="BU12" i="1"/>
  <c r="CA18" i="1"/>
  <c r="CA9" i="1"/>
  <c r="CD9" i="5"/>
  <c r="CD8" i="1"/>
  <c r="CH8" i="5"/>
  <c r="BS19" i="1"/>
  <c r="BS12" i="1"/>
  <c r="BJ46" i="5"/>
  <c r="BZ21" i="5"/>
  <c r="BZ32" i="5"/>
  <c r="BZ31" i="1" s="1"/>
  <c r="BU13" i="1"/>
  <c r="CE8" i="1"/>
  <c r="CE9" i="5"/>
  <c r="BR19" i="1"/>
  <c r="BR12" i="1"/>
  <c r="CG291" i="5"/>
  <c r="CB291" i="5"/>
  <c r="CA266" i="5"/>
  <c r="BV266" i="5"/>
  <c r="CA200" i="5"/>
  <c r="BV200" i="5"/>
  <c r="BU202" i="5"/>
  <c r="BU203" i="5" s="1"/>
  <c r="N100" i="5"/>
  <c r="CG205" i="5"/>
  <c r="CB205" i="5"/>
  <c r="CG164" i="5"/>
  <c r="CB164" i="5"/>
  <c r="AF100" i="5"/>
  <c r="Z100" i="5"/>
  <c r="T100" i="5"/>
  <c r="AL100" i="5"/>
  <c r="AR100" i="5"/>
  <c r="Q2" i="5"/>
  <c r="P5" i="5"/>
  <c r="P68" i="13" l="1"/>
  <c r="P69" i="13"/>
  <c r="P70" i="13"/>
  <c r="AW40" i="13"/>
  <c r="AW41" i="13"/>
  <c r="AX41" i="13"/>
  <c r="AX40" i="13"/>
  <c r="AV41" i="13"/>
  <c r="AV40" i="13"/>
  <c r="AN41" i="13"/>
  <c r="AN62" i="13" s="1"/>
  <c r="AN40" i="13"/>
  <c r="AN61" i="13" s="1"/>
  <c r="AS41" i="13"/>
  <c r="AS40" i="13"/>
  <c r="BV176" i="1"/>
  <c r="CA381" i="1"/>
  <c r="CB165" i="1"/>
  <c r="CB381" i="1" s="1"/>
  <c r="BV87" i="1"/>
  <c r="BU87" i="1"/>
  <c r="CB86" i="1"/>
  <c r="CA176" i="1"/>
  <c r="BS159" i="1"/>
  <c r="BS157" i="1"/>
  <c r="BR14" i="1"/>
  <c r="BS14" i="1"/>
  <c r="BS155" i="1"/>
  <c r="BS158" i="1"/>
  <c r="BY87" i="1"/>
  <c r="BY110" i="1"/>
  <c r="BY119" i="1"/>
  <c r="BY116" i="1"/>
  <c r="BY117" i="1"/>
  <c r="BY115" i="1"/>
  <c r="BY100" i="1"/>
  <c r="BT157" i="1"/>
  <c r="BZ87" i="1"/>
  <c r="BZ119" i="1"/>
  <c r="BZ115" i="1"/>
  <c r="BZ116" i="1"/>
  <c r="BZ156" i="1" s="1"/>
  <c r="BZ110" i="1"/>
  <c r="BZ117" i="1"/>
  <c r="BZ100" i="1"/>
  <c r="BS156" i="1"/>
  <c r="BT159" i="1"/>
  <c r="BX13" i="1"/>
  <c r="BX87" i="1"/>
  <c r="BX119" i="1"/>
  <c r="BX115" i="1"/>
  <c r="BX116" i="1"/>
  <c r="BX110" i="1"/>
  <c r="BX117" i="1"/>
  <c r="BX100" i="1"/>
  <c r="BT156" i="1"/>
  <c r="CA13" i="1"/>
  <c r="BT155" i="1"/>
  <c r="BT14" i="1"/>
  <c r="BT158" i="1"/>
  <c r="CB195" i="5"/>
  <c r="CB110" i="5" s="1"/>
  <c r="AT38" i="13" s="1"/>
  <c r="AX92" i="5"/>
  <c r="BZ32" i="1"/>
  <c r="AX98" i="5"/>
  <c r="AX99" i="5"/>
  <c r="AX96" i="5"/>
  <c r="AX95" i="5"/>
  <c r="BV202" i="5"/>
  <c r="BV203" i="5" s="1"/>
  <c r="CN281" i="5"/>
  <c r="CJ195" i="5"/>
  <c r="CJ110" i="5" s="1"/>
  <c r="CD202" i="5"/>
  <c r="CD203" i="5" s="1"/>
  <c r="CD196" i="5"/>
  <c r="CD104" i="5" s="1"/>
  <c r="CK195" i="5"/>
  <c r="CK110" i="5" s="1"/>
  <c r="CE202" i="5"/>
  <c r="CE203" i="5" s="1"/>
  <c r="CE196" i="5"/>
  <c r="CE104" i="5" s="1"/>
  <c r="CL195" i="5"/>
  <c r="CL110" i="5" s="1"/>
  <c r="CF202" i="5"/>
  <c r="CF203" i="5" s="1"/>
  <c r="CF196" i="5"/>
  <c r="CF104" i="5" s="1"/>
  <c r="BV198" i="5"/>
  <c r="BV196" i="5"/>
  <c r="BV104" i="5" s="1"/>
  <c r="CG195" i="5"/>
  <c r="CG110" i="5" s="1"/>
  <c r="AY38" i="13" s="1"/>
  <c r="CA196" i="5"/>
  <c r="CA104" i="5" s="1"/>
  <c r="CM159" i="5"/>
  <c r="CN159" i="5" s="1"/>
  <c r="CH159" i="5"/>
  <c r="BV32" i="1"/>
  <c r="CG124" i="5"/>
  <c r="CG165" i="1" s="1"/>
  <c r="CA119" i="5"/>
  <c r="CA46" i="5" s="1"/>
  <c r="CH284" i="5"/>
  <c r="CH288" i="5"/>
  <c r="CH289" i="5" s="1"/>
  <c r="CF9" i="1"/>
  <c r="CF18" i="1"/>
  <c r="BX23" i="5"/>
  <c r="BX25" i="1"/>
  <c r="BX26" i="1" s="1"/>
  <c r="CB21" i="5"/>
  <c r="BZ19" i="1"/>
  <c r="BZ12" i="1"/>
  <c r="CA25" i="1"/>
  <c r="CA26" i="1" s="1"/>
  <c r="CA23" i="5"/>
  <c r="CN280" i="5"/>
  <c r="BV19" i="1"/>
  <c r="BV12" i="1"/>
  <c r="BO49" i="1"/>
  <c r="BO44" i="1"/>
  <c r="BV13" i="1"/>
  <c r="BV22" i="5"/>
  <c r="BV25" i="1"/>
  <c r="BV26" i="1" s="1"/>
  <c r="CE32" i="5"/>
  <c r="CE31" i="1" s="1"/>
  <c r="CE21" i="5"/>
  <c r="CA19" i="1"/>
  <c r="CA12" i="1"/>
  <c r="CM8" i="1"/>
  <c r="CM9" i="5"/>
  <c r="CA32" i="1"/>
  <c r="CG21" i="5"/>
  <c r="CG32" i="5"/>
  <c r="CG31" i="1" s="1"/>
  <c r="CL8" i="1"/>
  <c r="CL9" i="5"/>
  <c r="BY19" i="1"/>
  <c r="BY12" i="1"/>
  <c r="CK8" i="1"/>
  <c r="CK9" i="5"/>
  <c r="CG18" i="1"/>
  <c r="CG9" i="1"/>
  <c r="CH9" i="5"/>
  <c r="CH8" i="1"/>
  <c r="CD18" i="1"/>
  <c r="CD9" i="1"/>
  <c r="CD21" i="5"/>
  <c r="CD32" i="5"/>
  <c r="CE18" i="1"/>
  <c r="CE9" i="1"/>
  <c r="CJ8" i="1"/>
  <c r="CN8" i="5"/>
  <c r="CJ9" i="5"/>
  <c r="CB32" i="5"/>
  <c r="CB31" i="1" s="1"/>
  <c r="BY31" i="1"/>
  <c r="BY32" i="1" s="1"/>
  <c r="BP46" i="5"/>
  <c r="BZ25" i="1"/>
  <c r="BZ26" i="1" s="1"/>
  <c r="BZ23" i="5"/>
  <c r="CN278" i="5"/>
  <c r="CN279" i="5"/>
  <c r="BJ49" i="1"/>
  <c r="BJ44" i="1"/>
  <c r="CB124" i="5"/>
  <c r="BV119" i="5"/>
  <c r="BV46" i="5" s="1"/>
  <c r="BU14" i="1"/>
  <c r="CN283" i="5"/>
  <c r="CJ288" i="5"/>
  <c r="CJ289" i="5" s="1"/>
  <c r="BY13" i="1"/>
  <c r="BX32" i="1"/>
  <c r="BX19" i="1"/>
  <c r="BX12" i="1"/>
  <c r="CB18" i="1"/>
  <c r="CB9" i="1"/>
  <c r="CF32" i="5"/>
  <c r="CF31" i="1" s="1"/>
  <c r="CF21" i="5"/>
  <c r="BY25" i="1"/>
  <c r="BY26" i="1" s="1"/>
  <c r="BY23" i="5"/>
  <c r="BZ13" i="1"/>
  <c r="CM291" i="5"/>
  <c r="CH291" i="5"/>
  <c r="CG200" i="5"/>
  <c r="CB200" i="5"/>
  <c r="CA202" i="5"/>
  <c r="CA203" i="5" s="1"/>
  <c r="CG266" i="5"/>
  <c r="CB266" i="5"/>
  <c r="CM205" i="5"/>
  <c r="CN205" i="5" s="1"/>
  <c r="CH205" i="5"/>
  <c r="CM164" i="5"/>
  <c r="CH164" i="5"/>
  <c r="R2" i="5"/>
  <c r="Q5" i="5"/>
  <c r="P80" i="13" l="1"/>
  <c r="P91" i="13"/>
  <c r="P90" i="13"/>
  <c r="P79" i="13"/>
  <c r="P89" i="13"/>
  <c r="P78" i="13"/>
  <c r="CB202" i="5"/>
  <c r="CB203" i="5" s="1"/>
  <c r="AT40" i="13"/>
  <c r="AT41" i="13"/>
  <c r="AY41" i="13"/>
  <c r="AY40" i="13"/>
  <c r="CB196" i="5"/>
  <c r="CB104" i="5" s="1"/>
  <c r="CB198" i="5"/>
  <c r="CB176" i="1"/>
  <c r="CG381" i="1"/>
  <c r="CH165" i="1"/>
  <c r="CH381" i="1" s="1"/>
  <c r="CA87" i="1"/>
  <c r="CN291" i="5"/>
  <c r="CG176" i="1"/>
  <c r="CH86" i="1"/>
  <c r="CB87" i="1"/>
  <c r="BZ157" i="1"/>
  <c r="BX14" i="1"/>
  <c r="BZ155" i="1"/>
  <c r="BZ159" i="1"/>
  <c r="BZ158" i="1"/>
  <c r="CD13" i="1"/>
  <c r="CD87" i="1"/>
  <c r="CD117" i="1"/>
  <c r="CD119" i="1"/>
  <c r="CD110" i="1"/>
  <c r="CD115" i="1"/>
  <c r="CD116" i="1"/>
  <c r="CD100" i="1"/>
  <c r="CF13" i="1"/>
  <c r="CF87" i="1"/>
  <c r="CF115" i="1"/>
  <c r="CF110" i="1"/>
  <c r="CF100" i="1"/>
  <c r="CF117" i="1"/>
  <c r="CF116" i="1"/>
  <c r="CF119" i="1"/>
  <c r="CA14" i="1"/>
  <c r="BY155" i="1"/>
  <c r="BY158" i="1"/>
  <c r="BY157" i="1"/>
  <c r="BY156" i="1"/>
  <c r="CE13" i="1"/>
  <c r="CE87" i="1"/>
  <c r="CE117" i="1"/>
  <c r="CE115" i="1"/>
  <c r="CE119" i="1"/>
  <c r="CE116" i="1"/>
  <c r="CE110" i="1"/>
  <c r="CE100" i="1"/>
  <c r="BY159" i="1"/>
  <c r="AX100" i="5"/>
  <c r="CM195" i="5"/>
  <c r="CM110" i="5" s="1"/>
  <c r="CG196" i="5"/>
  <c r="CG104" i="5" s="1"/>
  <c r="CK202" i="5"/>
  <c r="CK203" i="5" s="1"/>
  <c r="CK196" i="5"/>
  <c r="CK104" i="5" s="1"/>
  <c r="BY14" i="1"/>
  <c r="CH195" i="5"/>
  <c r="CH110" i="5" s="1"/>
  <c r="AZ38" i="13" s="1"/>
  <c r="CF32" i="1"/>
  <c r="CJ196" i="5"/>
  <c r="CJ104" i="5" s="1"/>
  <c r="CJ202" i="5"/>
  <c r="CJ203" i="5" s="1"/>
  <c r="CL196" i="5"/>
  <c r="CL104" i="5" s="1"/>
  <c r="CL202" i="5"/>
  <c r="CL203" i="5" s="1"/>
  <c r="CA44" i="1"/>
  <c r="CG119" i="5"/>
  <c r="CG46" i="5" s="1"/>
  <c r="CG23" i="5"/>
  <c r="CG25" i="1"/>
  <c r="CG26" i="1" s="1"/>
  <c r="CM18" i="1"/>
  <c r="CM9" i="1"/>
  <c r="CB25" i="1"/>
  <c r="CB22" i="5"/>
  <c r="CB24" i="5" s="1"/>
  <c r="CB23" i="5"/>
  <c r="CA49" i="1"/>
  <c r="CJ18" i="1"/>
  <c r="CJ9" i="1"/>
  <c r="CH124" i="5"/>
  <c r="CE19" i="1"/>
  <c r="CE12" i="1"/>
  <c r="CD19" i="1"/>
  <c r="CD12" i="1"/>
  <c r="CK32" i="5"/>
  <c r="CK31" i="1" s="1"/>
  <c r="CK21" i="5"/>
  <c r="BV14" i="1"/>
  <c r="CB19" i="1"/>
  <c r="CB12" i="1"/>
  <c r="CB13" i="1"/>
  <c r="CB32" i="1"/>
  <c r="CH18" i="1"/>
  <c r="CH9" i="1"/>
  <c r="BU49" i="1"/>
  <c r="BU44" i="1"/>
  <c r="CE23" i="5"/>
  <c r="CE25" i="1"/>
  <c r="CE26" i="1" s="1"/>
  <c r="CN284" i="5"/>
  <c r="CN288" i="5"/>
  <c r="CN289" i="5" s="1"/>
  <c r="CL32" i="5"/>
  <c r="CL31" i="1" s="1"/>
  <c r="CL21" i="5"/>
  <c r="CF19" i="1"/>
  <c r="CF12" i="1"/>
  <c r="CK18" i="1"/>
  <c r="CK9" i="1"/>
  <c r="CB119" i="5"/>
  <c r="CB46" i="5" s="1"/>
  <c r="CF25" i="1"/>
  <c r="CF26" i="1" s="1"/>
  <c r="CF23" i="5"/>
  <c r="CJ32" i="5"/>
  <c r="CJ21" i="5"/>
  <c r="CH32" i="5"/>
  <c r="CH31" i="1" s="1"/>
  <c r="CD31" i="1"/>
  <c r="CD32" i="1" s="1"/>
  <c r="CG19" i="1"/>
  <c r="CG12" i="1"/>
  <c r="CL9" i="1"/>
  <c r="CL18" i="1"/>
  <c r="BZ14" i="1"/>
  <c r="CN164" i="5"/>
  <c r="CN124" i="5" s="1"/>
  <c r="CM124" i="5"/>
  <c r="CM165" i="1" s="1"/>
  <c r="BP49" i="1"/>
  <c r="BP44" i="1"/>
  <c r="CN8" i="1"/>
  <c r="CN9" i="5"/>
  <c r="CD23" i="5"/>
  <c r="CD25" i="1"/>
  <c r="CD26" i="1" s="1"/>
  <c r="CH21" i="5"/>
  <c r="CG13" i="1"/>
  <c r="CG32" i="1"/>
  <c r="CM32" i="5"/>
  <c r="CM31" i="1" s="1"/>
  <c r="CM32" i="1" s="1"/>
  <c r="CM21" i="5"/>
  <c r="CE32" i="1"/>
  <c r="CM266" i="5"/>
  <c r="CH266" i="5"/>
  <c r="CM200" i="5"/>
  <c r="CH200" i="5"/>
  <c r="CG202" i="5"/>
  <c r="CG203" i="5" s="1"/>
  <c r="S2" i="5"/>
  <c r="R5" i="5"/>
  <c r="AZ41" i="13" l="1"/>
  <c r="AZ40" i="13"/>
  <c r="CH176" i="1"/>
  <c r="CG87" i="1"/>
  <c r="CH87" i="1"/>
  <c r="CM381" i="1"/>
  <c r="CN165" i="1"/>
  <c r="CN381" i="1" s="1"/>
  <c r="CM176" i="1"/>
  <c r="CN86" i="1"/>
  <c r="CD14" i="1"/>
  <c r="CE155" i="1"/>
  <c r="CE159" i="1"/>
  <c r="CF159" i="1"/>
  <c r="CF156" i="1"/>
  <c r="CF157" i="1"/>
  <c r="CE158" i="1"/>
  <c r="CL87" i="1"/>
  <c r="CL119" i="1"/>
  <c r="CL117" i="1"/>
  <c r="CL110" i="1"/>
  <c r="CL115" i="1"/>
  <c r="CL100" i="1"/>
  <c r="CL116" i="1"/>
  <c r="CF158" i="1"/>
  <c r="CE14" i="1"/>
  <c r="CE156" i="1"/>
  <c r="CK13" i="1"/>
  <c r="CK87" i="1"/>
  <c r="CK115" i="1"/>
  <c r="CK110" i="1"/>
  <c r="CK117" i="1"/>
  <c r="CK119" i="1"/>
  <c r="CK116" i="1"/>
  <c r="CK100" i="1"/>
  <c r="CM13" i="1"/>
  <c r="CF14" i="1"/>
  <c r="CJ13" i="1"/>
  <c r="CJ87" i="1"/>
  <c r="CJ117" i="1"/>
  <c r="CJ116" i="1"/>
  <c r="CJ119" i="1"/>
  <c r="CJ115" i="1"/>
  <c r="CJ110" i="1"/>
  <c r="CJ100" i="1"/>
  <c r="CE157" i="1"/>
  <c r="CF155" i="1"/>
  <c r="CM196" i="5"/>
  <c r="CM104" i="5" s="1"/>
  <c r="CH202" i="5"/>
  <c r="CH203" i="5" s="1"/>
  <c r="CN195" i="5"/>
  <c r="CN110" i="5" s="1"/>
  <c r="CM119" i="5"/>
  <c r="CM46" i="5" s="1"/>
  <c r="CH198" i="5"/>
  <c r="CH196" i="5"/>
  <c r="CH104" i="5" s="1"/>
  <c r="CG14" i="1"/>
  <c r="CH32" i="1"/>
  <c r="CM25" i="1"/>
  <c r="CM26" i="1" s="1"/>
  <c r="CM23" i="5"/>
  <c r="CH19" i="1"/>
  <c r="CH12" i="1"/>
  <c r="CL19" i="1"/>
  <c r="CL12" i="1"/>
  <c r="CN18" i="1"/>
  <c r="CN9" i="1"/>
  <c r="CH13" i="1"/>
  <c r="CK23" i="5"/>
  <c r="CK25" i="1"/>
  <c r="CK26" i="1" s="1"/>
  <c r="CB26" i="1"/>
  <c r="CK32" i="1"/>
  <c r="CJ19" i="1"/>
  <c r="CJ12" i="1"/>
  <c r="CJ14" i="1" s="1"/>
  <c r="CM19" i="1"/>
  <c r="CM12" i="1"/>
  <c r="BV44" i="1"/>
  <c r="BV49" i="1"/>
  <c r="CJ23" i="5"/>
  <c r="CJ25" i="1"/>
  <c r="CJ26" i="1" s="1"/>
  <c r="CN21" i="5"/>
  <c r="CL13" i="1"/>
  <c r="CN32" i="5"/>
  <c r="CN31" i="1" s="1"/>
  <c r="CJ31" i="1"/>
  <c r="CJ32" i="1" s="1"/>
  <c r="CL25" i="1"/>
  <c r="CL26" i="1" s="1"/>
  <c r="CL23" i="5"/>
  <c r="CH119" i="5"/>
  <c r="CH46" i="5" s="1"/>
  <c r="CH25" i="1"/>
  <c r="CH22" i="5"/>
  <c r="CH24" i="5" s="1"/>
  <c r="CH23" i="5"/>
  <c r="CG44" i="1"/>
  <c r="CG49" i="1"/>
  <c r="CK19" i="1"/>
  <c r="CK12" i="1"/>
  <c r="CL32" i="1"/>
  <c r="CB14" i="1"/>
  <c r="CN200" i="5"/>
  <c r="CM202" i="5"/>
  <c r="CM203" i="5" s="1"/>
  <c r="CN266" i="5"/>
  <c r="S5" i="5"/>
  <c r="V2" i="5"/>
  <c r="CN176" i="1" l="1"/>
  <c r="CM87" i="1"/>
  <c r="CN87" i="1"/>
  <c r="CK14" i="1"/>
  <c r="CK157" i="1"/>
  <c r="CM14" i="1"/>
  <c r="CL155" i="1"/>
  <c r="CK158" i="1"/>
  <c r="CK156" i="1"/>
  <c r="CK159" i="1"/>
  <c r="CL157" i="1"/>
  <c r="CL159" i="1"/>
  <c r="CL158" i="1"/>
  <c r="CK155" i="1"/>
  <c r="CL156" i="1"/>
  <c r="CN198" i="5"/>
  <c r="CN202" i="5"/>
  <c r="CN203" i="5" s="1"/>
  <c r="CN196" i="5"/>
  <c r="CN104" i="5" s="1"/>
  <c r="CN32" i="1"/>
  <c r="CL14" i="1"/>
  <c r="CH26" i="1"/>
  <c r="CN25" i="1"/>
  <c r="CN23" i="5"/>
  <c r="CN22" i="5"/>
  <c r="CN24" i="5" s="1"/>
  <c r="CH14" i="1"/>
  <c r="CN119" i="5"/>
  <c r="CN46" i="5" s="1"/>
  <c r="CN19" i="1"/>
  <c r="CN12" i="1"/>
  <c r="CN13" i="1"/>
  <c r="CM44" i="1"/>
  <c r="CM49" i="1"/>
  <c r="CB49" i="1"/>
  <c r="CB44" i="1"/>
  <c r="W2" i="5"/>
  <c r="V5" i="5"/>
  <c r="CN26" i="1" l="1"/>
  <c r="CH49" i="1"/>
  <c r="CH44" i="1"/>
  <c r="CN14" i="1"/>
  <c r="X2" i="5"/>
  <c r="W5" i="5"/>
  <c r="CN49" i="1" l="1"/>
  <c r="CN44" i="1"/>
  <c r="Y2" i="5"/>
  <c r="X5" i="5"/>
  <c r="AB2" i="5" l="1"/>
  <c r="Y5" i="5"/>
  <c r="AC2" i="5" l="1"/>
  <c r="AB5" i="5"/>
  <c r="AD2" i="5" l="1"/>
  <c r="AC5" i="5"/>
  <c r="AE2" i="5" l="1"/>
  <c r="AD5" i="5"/>
  <c r="AH2" i="5" l="1"/>
  <c r="AE5" i="5"/>
  <c r="AI2" i="5" l="1"/>
  <c r="AH5" i="5"/>
  <c r="AJ2" i="5" l="1"/>
  <c r="AI5" i="5"/>
  <c r="AK2" i="5" l="1"/>
  <c r="AJ5" i="5"/>
  <c r="AN2" i="5" l="1"/>
  <c r="AK5" i="5"/>
  <c r="AO2" i="5" l="1"/>
  <c r="AN5" i="5"/>
  <c r="AP2" i="5" l="1"/>
  <c r="AO5" i="5"/>
  <c r="AQ2" i="5" l="1"/>
  <c r="AP5" i="5"/>
  <c r="AQ5" i="5" l="1"/>
  <c r="AT2" i="5"/>
  <c r="AU2" i="5" l="1"/>
  <c r="AT5" i="5"/>
  <c r="AV2" i="5" l="1"/>
  <c r="AU5" i="5"/>
  <c r="AW2" i="5" l="1"/>
  <c r="AV5" i="5"/>
  <c r="AW5" i="5" l="1"/>
  <c r="AX5" i="5" s="1"/>
  <c r="AZ2" i="5"/>
  <c r="BA2" i="5" l="1"/>
  <c r="AZ5" i="5"/>
  <c r="BB2" i="5" l="1"/>
  <c r="BA5" i="5"/>
  <c r="BC2" i="5" l="1"/>
  <c r="BB5" i="5"/>
  <c r="BF2" i="5" l="1"/>
  <c r="BC5" i="5"/>
  <c r="BD5" i="5" s="1"/>
  <c r="BG2" i="5" l="1"/>
  <c r="BF5" i="5"/>
  <c r="BH2" i="5" l="1"/>
  <c r="BG5" i="5"/>
  <c r="BI2" i="5" l="1"/>
  <c r="BH5" i="5"/>
  <c r="BL2" i="5" l="1"/>
  <c r="BI5" i="5"/>
  <c r="BM2" i="5" l="1"/>
  <c r="BL5" i="5"/>
  <c r="BN2" i="5" l="1"/>
  <c r="BM5" i="5"/>
  <c r="BO2" i="5" l="1"/>
  <c r="BN5" i="5"/>
  <c r="BR2" i="5" l="1"/>
  <c r="BO5" i="5"/>
  <c r="BS2" i="5" l="1"/>
  <c r="BR5" i="5"/>
  <c r="BT2" i="5" l="1"/>
  <c r="BS5" i="5"/>
  <c r="BU2" i="5" l="1"/>
  <c r="BT5" i="5"/>
  <c r="BX2" i="5" l="1"/>
  <c r="BU5" i="5"/>
  <c r="BY2" i="5" l="1"/>
  <c r="BX5" i="5"/>
  <c r="BZ2" i="5" l="1"/>
  <c r="BY5" i="5"/>
  <c r="CA2" i="5" l="1"/>
  <c r="BZ5" i="5"/>
  <c r="CD2" i="5" l="1"/>
  <c r="CA5" i="5"/>
  <c r="CE2" i="5" l="1"/>
  <c r="CD5" i="5"/>
  <c r="CF2" i="5" l="1"/>
  <c r="CE5" i="5"/>
  <c r="CG2" i="5" l="1"/>
  <c r="CF5" i="5"/>
  <c r="CJ2" i="5" l="1"/>
  <c r="CG5" i="5"/>
  <c r="CK2" i="5" l="1"/>
  <c r="CJ5" i="5"/>
  <c r="CL2" i="5" l="1"/>
  <c r="CK5" i="5"/>
  <c r="CM2" i="5" l="1"/>
  <c r="CM5" i="5" s="1"/>
  <c r="CL5" i="5"/>
  <c r="F53" i="6" l="1"/>
  <c r="F7" i="6"/>
  <c r="F24" i="6"/>
  <c r="F18" i="6"/>
  <c r="F47" i="6"/>
  <c r="F35" i="6"/>
  <c r="F41" i="6"/>
  <c r="P41" i="6"/>
  <c r="P24" i="6"/>
  <c r="P7" i="6"/>
  <c r="P35" i="6"/>
  <c r="P47" i="6"/>
  <c r="P53" i="6"/>
  <c r="P18" i="6"/>
  <c r="G53" i="6"/>
  <c r="G24" i="6"/>
  <c r="G41" i="6"/>
  <c r="G35" i="6"/>
  <c r="G47" i="6"/>
  <c r="G7" i="6"/>
  <c r="G18" i="6"/>
  <c r="U7" i="6"/>
  <c r="U47" i="6"/>
  <c r="U24" i="6"/>
  <c r="U35" i="6"/>
  <c r="U41" i="6"/>
  <c r="U53" i="6"/>
  <c r="K35" i="6"/>
  <c r="K7" i="6"/>
  <c r="K41" i="6"/>
  <c r="K18" i="6"/>
  <c r="K47" i="6"/>
  <c r="K24" i="6"/>
  <c r="K53" i="6"/>
  <c r="H18" i="6"/>
  <c r="H7" i="6"/>
  <c r="H47" i="6"/>
  <c r="L53" i="6"/>
  <c r="H53" i="6"/>
  <c r="L41" i="6"/>
  <c r="L7" i="6"/>
  <c r="L18" i="6"/>
  <c r="L47" i="6"/>
  <c r="L35" i="6"/>
  <c r="H35" i="6"/>
  <c r="H24" i="6"/>
  <c r="L24" i="6"/>
  <c r="H41" i="6"/>
  <c r="Q35" i="6"/>
  <c r="Q18" i="6"/>
  <c r="Q47" i="6"/>
  <c r="Q41" i="6"/>
  <c r="Q7" i="6"/>
  <c r="Q53" i="6"/>
  <c r="Q24" i="6"/>
  <c r="O24" i="6"/>
  <c r="O41" i="6"/>
  <c r="O7" i="6"/>
  <c r="O35" i="6"/>
  <c r="O53" i="6"/>
  <c r="O47" i="6"/>
  <c r="O18" i="6"/>
  <c r="I24" i="6"/>
  <c r="I7" i="6"/>
  <c r="I41" i="6"/>
  <c r="I47" i="6"/>
  <c r="I35" i="6"/>
  <c r="I53" i="6"/>
  <c r="I18" i="6"/>
  <c r="J24" i="6"/>
  <c r="N47" i="6"/>
  <c r="N53" i="6"/>
  <c r="N7" i="6"/>
  <c r="N41" i="6"/>
  <c r="J7" i="6"/>
  <c r="J47" i="6"/>
  <c r="J53" i="6"/>
  <c r="J41" i="6"/>
  <c r="J35" i="6"/>
  <c r="N35" i="6"/>
  <c r="J18" i="6"/>
  <c r="N18" i="6"/>
  <c r="N24" i="6"/>
  <c r="M7" i="6"/>
  <c r="M41" i="6"/>
  <c r="M35" i="6"/>
  <c r="M53" i="6"/>
  <c r="M24" i="6"/>
  <c r="M47" i="6"/>
  <c r="M18" i="6"/>
  <c r="R7" i="6"/>
  <c r="R35" i="6"/>
  <c r="R18" i="6"/>
  <c r="R53" i="6"/>
  <c r="R41" i="6"/>
  <c r="R47" i="6"/>
  <c r="R24" i="6"/>
  <c r="S41" i="6"/>
  <c r="S47" i="6"/>
  <c r="S7" i="6"/>
  <c r="S35" i="6"/>
  <c r="S24" i="6"/>
  <c r="S53" i="6"/>
  <c r="V35" i="6"/>
  <c r="V41" i="6"/>
  <c r="V24" i="6"/>
  <c r="V53" i="6"/>
  <c r="T47" i="6"/>
  <c r="V7" i="6"/>
  <c r="T53" i="6"/>
  <c r="V47" i="6"/>
  <c r="T24" i="6"/>
  <c r="T7" i="6"/>
  <c r="T35" i="6"/>
  <c r="T41" i="6"/>
  <c r="E81" i="2" a="1"/>
  <c r="E81" i="2" s="1"/>
  <c r="D8" i="7"/>
  <c r="V18" i="6"/>
  <c r="U18" i="6"/>
  <c r="S18" i="6"/>
  <c r="T18" i="6"/>
  <c r="AV155" i="5"/>
  <c r="AV103" i="5" s="1"/>
  <c r="AV106" i="5" s="1"/>
  <c r="AV107" i="5" s="1"/>
  <c r="AU155" i="5"/>
  <c r="AU103" i="5" s="1"/>
  <c r="AU106" i="5" s="1"/>
  <c r="AU107" i="5" s="1"/>
  <c r="AT155" i="5"/>
  <c r="AT103" i="5" s="1"/>
  <c r="AT106" i="5" s="1"/>
  <c r="AT107" i="5" s="1"/>
  <c r="AQ155" i="5"/>
  <c r="AQ103" i="5" s="1"/>
  <c r="AQ106" i="5" s="1"/>
  <c r="AQ107" i="5" s="1"/>
  <c r="AP162" i="5"/>
  <c r="AK155" i="5"/>
  <c r="AK103" i="5" s="1"/>
  <c r="AK106" i="5" s="1"/>
  <c r="AK107" i="5" s="1"/>
  <c r="AJ155" i="5"/>
  <c r="AJ103" i="5" s="1"/>
  <c r="AI162" i="5"/>
  <c r="AH155" i="5"/>
  <c r="AH103" i="5" s="1"/>
  <c r="AH106" i="5" s="1"/>
  <c r="AH107" i="5" s="1"/>
  <c r="AE155" i="5"/>
  <c r="AE103" i="5" s="1"/>
  <c r="AE106" i="5" s="1"/>
  <c r="AE107" i="5" s="1"/>
  <c r="AD162" i="5"/>
  <c r="AC162" i="5"/>
  <c r="AB162" i="5"/>
  <c r="Y162" i="5"/>
  <c r="W162" i="5"/>
  <c r="V155" i="5"/>
  <c r="V103" i="5" s="1"/>
  <c r="V106" i="5" s="1"/>
  <c r="V107" i="5" s="1"/>
  <c r="S155" i="5"/>
  <c r="S103" i="5" s="1"/>
  <c r="P155" i="5"/>
  <c r="P103" i="5" s="1"/>
  <c r="P106" i="5" s="1"/>
  <c r="P107" i="5" s="1"/>
  <c r="M162" i="5"/>
  <c r="L155" i="5"/>
  <c r="L103" i="5" s="1"/>
  <c r="L106" i="5" s="1"/>
  <c r="L107" i="5" s="1"/>
  <c r="F162" i="5"/>
  <c r="E155" i="5"/>
  <c r="E103" i="5" s="1"/>
  <c r="E106" i="5" s="1"/>
  <c r="E107" i="5" s="1"/>
  <c r="AV136" i="5"/>
  <c r="AU136" i="5"/>
  <c r="AT136" i="5"/>
  <c r="AQ136" i="5"/>
  <c r="AP136" i="5"/>
  <c r="AO136" i="5"/>
  <c r="AN136" i="5"/>
  <c r="AK136" i="5"/>
  <c r="AJ136" i="5"/>
  <c r="AI136" i="5"/>
  <c r="AH136" i="5"/>
  <c r="AE136" i="5"/>
  <c r="AD136" i="5"/>
  <c r="AC136" i="5"/>
  <c r="AB136" i="5"/>
  <c r="Y136" i="5"/>
  <c r="X136" i="5"/>
  <c r="W136" i="5"/>
  <c r="V136" i="5"/>
  <c r="S136" i="5"/>
  <c r="R136" i="5"/>
  <c r="Q136" i="5"/>
  <c r="P136" i="5"/>
  <c r="M136" i="5"/>
  <c r="L136" i="5"/>
  <c r="K136" i="5"/>
  <c r="J136" i="5"/>
  <c r="AV135" i="5"/>
  <c r="AU135" i="5"/>
  <c r="AT135" i="5"/>
  <c r="AQ135" i="5"/>
  <c r="AP135" i="5"/>
  <c r="AO135" i="5"/>
  <c r="AN135" i="5"/>
  <c r="AK135" i="5"/>
  <c r="AJ135" i="5"/>
  <c r="AI135" i="5"/>
  <c r="AH135" i="5"/>
  <c r="AE135" i="5"/>
  <c r="AD135" i="5"/>
  <c r="AC135" i="5"/>
  <c r="AB135" i="5"/>
  <c r="Y135" i="5"/>
  <c r="X135" i="5"/>
  <c r="W135" i="5"/>
  <c r="V135" i="5"/>
  <c r="S135" i="5"/>
  <c r="R135" i="5"/>
  <c r="Q135" i="5"/>
  <c r="P135" i="5"/>
  <c r="M135" i="5"/>
  <c r="L135" i="5"/>
  <c r="K135" i="5"/>
  <c r="J135" i="5"/>
  <c r="AV134" i="5"/>
  <c r="AU134" i="5"/>
  <c r="AT134" i="5"/>
  <c r="AQ134" i="5"/>
  <c r="AP134" i="5"/>
  <c r="AO134" i="5"/>
  <c r="AN134" i="5"/>
  <c r="AK134" i="5"/>
  <c r="AJ134" i="5"/>
  <c r="AI134" i="5"/>
  <c r="AH134" i="5"/>
  <c r="AE134" i="5"/>
  <c r="AD134" i="5"/>
  <c r="AC134" i="5"/>
  <c r="AB134" i="5"/>
  <c r="Y134" i="5"/>
  <c r="X134" i="5"/>
  <c r="W134" i="5"/>
  <c r="V134" i="5"/>
  <c r="S134" i="5"/>
  <c r="R134" i="5"/>
  <c r="Q134" i="5"/>
  <c r="P134" i="5"/>
  <c r="M134" i="5"/>
  <c r="L134" i="5"/>
  <c r="K134" i="5"/>
  <c r="J134" i="5"/>
  <c r="AV133" i="5"/>
  <c r="AU133" i="5"/>
  <c r="AT133" i="5"/>
  <c r="AQ133" i="5"/>
  <c r="AP133" i="5"/>
  <c r="AO133" i="5"/>
  <c r="AN133" i="5"/>
  <c r="AK133" i="5"/>
  <c r="AJ133" i="5"/>
  <c r="AI133" i="5"/>
  <c r="AH133" i="5"/>
  <c r="AE133" i="5"/>
  <c r="AD133" i="5"/>
  <c r="AC133" i="5"/>
  <c r="AB133" i="5"/>
  <c r="Y133" i="5"/>
  <c r="X133" i="5"/>
  <c r="W133" i="5"/>
  <c r="V133" i="5"/>
  <c r="S133" i="5"/>
  <c r="R133" i="5"/>
  <c r="Q133" i="5"/>
  <c r="P133" i="5"/>
  <c r="M133" i="5"/>
  <c r="L133" i="5"/>
  <c r="K133" i="5"/>
  <c r="J133" i="5"/>
  <c r="AV37" i="5"/>
  <c r="AU37" i="5"/>
  <c r="AT37" i="5"/>
  <c r="AR37" i="5"/>
  <c r="AQ37" i="5"/>
  <c r="AP37" i="5"/>
  <c r="AO37" i="5"/>
  <c r="AN37" i="5"/>
  <c r="AL37" i="5"/>
  <c r="AK37" i="5"/>
  <c r="AJ37" i="5"/>
  <c r="AI37" i="5"/>
  <c r="AH37" i="5"/>
  <c r="AF37" i="5"/>
  <c r="AE37" i="5"/>
  <c r="AD37" i="5"/>
  <c r="AC37" i="5"/>
  <c r="AB37" i="5"/>
  <c r="Z37" i="5"/>
  <c r="Y37" i="5"/>
  <c r="X37" i="5"/>
  <c r="W37" i="5"/>
  <c r="V37" i="5"/>
  <c r="T37" i="5"/>
  <c r="S37" i="5"/>
  <c r="R37" i="5"/>
  <c r="Q37" i="5"/>
  <c r="P37" i="5"/>
  <c r="N37" i="5"/>
  <c r="M37" i="5"/>
  <c r="L37" i="5"/>
  <c r="K37" i="5"/>
  <c r="J37" i="5"/>
  <c r="AV31" i="5"/>
  <c r="AU31" i="5"/>
  <c r="AT31" i="5"/>
  <c r="AR31" i="5"/>
  <c r="AQ31" i="5"/>
  <c r="AP31" i="5"/>
  <c r="AO31" i="5"/>
  <c r="AN31" i="5"/>
  <c r="AL31" i="5"/>
  <c r="AK31" i="5"/>
  <c r="AJ31" i="5"/>
  <c r="AI31" i="5"/>
  <c r="AH31" i="5"/>
  <c r="AF31" i="5"/>
  <c r="AE31" i="5"/>
  <c r="AD31" i="5"/>
  <c r="AC31" i="5"/>
  <c r="AB31" i="5"/>
  <c r="Z31" i="5"/>
  <c r="Y31" i="5"/>
  <c r="X31" i="5"/>
  <c r="W31" i="5"/>
  <c r="V31" i="5"/>
  <c r="T31" i="5"/>
  <c r="S31" i="5"/>
  <c r="R31" i="5"/>
  <c r="Q31" i="5"/>
  <c r="P31" i="5"/>
  <c r="N31" i="5"/>
  <c r="M31" i="5"/>
  <c r="L31" i="5"/>
  <c r="K31" i="5"/>
  <c r="J31" i="5"/>
  <c r="AV27" i="5"/>
  <c r="AU27" i="5"/>
  <c r="AT27" i="5"/>
  <c r="AR27" i="5"/>
  <c r="AQ27" i="5"/>
  <c r="AP27" i="5"/>
  <c r="AO27" i="5"/>
  <c r="AN27" i="5"/>
  <c r="AL27" i="5"/>
  <c r="AK27" i="5"/>
  <c r="AJ27" i="5"/>
  <c r="AI27" i="5"/>
  <c r="AH27" i="5"/>
  <c r="AF27" i="5"/>
  <c r="AE27" i="5"/>
  <c r="AD27" i="5"/>
  <c r="AC27" i="5"/>
  <c r="AB27" i="5"/>
  <c r="Z27" i="5"/>
  <c r="Y27" i="5"/>
  <c r="X27" i="5"/>
  <c r="W27" i="5"/>
  <c r="V27" i="5"/>
  <c r="T27" i="5"/>
  <c r="S27" i="5"/>
  <c r="R27" i="5"/>
  <c r="Q27" i="5"/>
  <c r="P27" i="5"/>
  <c r="L27" i="5"/>
  <c r="K27" i="5"/>
  <c r="J27" i="5"/>
  <c r="AQ39" i="5"/>
  <c r="AE39" i="5"/>
  <c r="Y39" i="5"/>
  <c r="S39" i="5"/>
  <c r="R39" i="5"/>
  <c r="Q39" i="5"/>
  <c r="P39" i="5"/>
  <c r="M39" i="5"/>
  <c r="L39" i="5"/>
  <c r="K39" i="5"/>
  <c r="J39" i="5"/>
  <c r="F39" i="5"/>
  <c r="E39" i="5"/>
  <c r="AJ9" i="5"/>
  <c r="AI9" i="5"/>
  <c r="Y9" i="5"/>
  <c r="S9" i="5"/>
  <c r="F9" i="5"/>
  <c r="F36" i="5" s="1"/>
  <c r="AR5" i="5"/>
  <c r="AL5" i="5"/>
  <c r="AF5" i="5"/>
  <c r="Z5" i="5"/>
  <c r="T5" i="5"/>
  <c r="N5" i="5"/>
  <c r="H5" i="5"/>
  <c r="T4" i="5"/>
  <c r="Z4" i="5" s="1"/>
  <c r="AF4" i="5" s="1"/>
  <c r="AL4" i="5" s="1"/>
  <c r="AR4" i="5" s="1"/>
  <c r="AX4" i="5" s="1"/>
  <c r="BD4" i="5" s="1"/>
  <c r="AJ26" i="5" l="1"/>
  <c r="AJ30" i="5"/>
  <c r="AJ36" i="5"/>
  <c r="AI26" i="5"/>
  <c r="AI30" i="5"/>
  <c r="AI36" i="5"/>
  <c r="AJ106" i="5"/>
  <c r="AJ107" i="5" s="1"/>
  <c r="S106" i="5"/>
  <c r="S107" i="5" s="1"/>
  <c r="BJ4" i="5"/>
  <c r="BP4" i="5" s="1"/>
  <c r="BV4" i="5" s="1"/>
  <c r="CB4" i="5" s="1"/>
  <c r="CH4" i="5" s="1"/>
  <c r="CN4" i="5" s="1"/>
  <c r="AZ3" i="5"/>
  <c r="BA3" i="5" s="1"/>
  <c r="BB3" i="5" s="1"/>
  <c r="BC3" i="5" s="1"/>
  <c r="BF3" i="5" s="1"/>
  <c r="BG3" i="5" s="1"/>
  <c r="BH3" i="5" s="1"/>
  <c r="BI3" i="5" s="1"/>
  <c r="BL3" i="5" s="1"/>
  <c r="BM3" i="5" s="1"/>
  <c r="BN3" i="5" s="1"/>
  <c r="BO3" i="5" s="1"/>
  <c r="BR3" i="5" s="1"/>
  <c r="BS3" i="5" s="1"/>
  <c r="BT3" i="5" s="1"/>
  <c r="BU3" i="5" s="1"/>
  <c r="BX3" i="5" s="1"/>
  <c r="BY3" i="5" s="1"/>
  <c r="BZ3" i="5" s="1"/>
  <c r="CA3" i="5" s="1"/>
  <c r="CD3" i="5" s="1"/>
  <c r="CE3" i="5" s="1"/>
  <c r="CF3" i="5" s="1"/>
  <c r="CG3" i="5" s="1"/>
  <c r="CJ3" i="5" s="1"/>
  <c r="CK3" i="5" s="1"/>
  <c r="CL3" i="5" s="1"/>
  <c r="CM3" i="5" s="1"/>
  <c r="R23" i="5"/>
  <c r="AI34" i="5"/>
  <c r="Y23" i="5"/>
  <c r="T134" i="5"/>
  <c r="AF135" i="5"/>
  <c r="X23" i="5"/>
  <c r="N135" i="5"/>
  <c r="AE162" i="5"/>
  <c r="AN23" i="5"/>
  <c r="V34" i="5"/>
  <c r="AH34" i="5"/>
  <c r="K9" i="5"/>
  <c r="K17" i="5" s="1"/>
  <c r="T9" i="5"/>
  <c r="AD9" i="5"/>
  <c r="AU23" i="5"/>
  <c r="AR136" i="5"/>
  <c r="AK162" i="5"/>
  <c r="AV162" i="5"/>
  <c r="J23" i="5"/>
  <c r="V23" i="5"/>
  <c r="H155" i="5"/>
  <c r="H103" i="5" s="1"/>
  <c r="H106" i="5" s="1"/>
  <c r="H107" i="5" s="1"/>
  <c r="Y155" i="5"/>
  <c r="Y103" i="5" s="1"/>
  <c r="Y106" i="5" s="1"/>
  <c r="Y107" i="5" s="1"/>
  <c r="AD155" i="5"/>
  <c r="AD103" i="5" s="1"/>
  <c r="AD106" i="5" s="1"/>
  <c r="AD107" i="5" s="1"/>
  <c r="G9" i="5"/>
  <c r="AL136" i="5"/>
  <c r="AJ34" i="5"/>
  <c r="AV34" i="5"/>
  <c r="T136" i="5"/>
  <c r="AF136" i="5"/>
  <c r="P162" i="5"/>
  <c r="W155" i="5"/>
  <c r="W103" i="5" s="1"/>
  <c r="W106" i="5" s="1"/>
  <c r="W107" i="5" s="1"/>
  <c r="AI23" i="5"/>
  <c r="AB155" i="5"/>
  <c r="AB103" i="5" s="1"/>
  <c r="AB106" i="5" s="1"/>
  <c r="AB107" i="5" s="1"/>
  <c r="L162" i="5"/>
  <c r="AU162" i="5"/>
  <c r="AP9" i="5"/>
  <c r="W9" i="5"/>
  <c r="AQ9" i="5"/>
  <c r="N39" i="5"/>
  <c r="Y40" i="5"/>
  <c r="S23" i="5"/>
  <c r="AF134" i="5"/>
  <c r="F155" i="5"/>
  <c r="F103" i="5" s="1"/>
  <c r="F106" i="5" s="1"/>
  <c r="F107" i="5" s="1"/>
  <c r="AI155" i="5"/>
  <c r="AI103" i="5" s="1"/>
  <c r="AI106" i="5" s="1"/>
  <c r="AI107" i="5" s="1"/>
  <c r="S162" i="5"/>
  <c r="E9" i="5"/>
  <c r="K23" i="5"/>
  <c r="T39" i="5"/>
  <c r="T135" i="5"/>
  <c r="M155" i="5"/>
  <c r="M103" i="5" s="1"/>
  <c r="V162" i="5"/>
  <c r="AF133" i="5"/>
  <c r="AR135" i="5"/>
  <c r="H162" i="5"/>
  <c r="Z134" i="5"/>
  <c r="Z136" i="5"/>
  <c r="AQ162" i="5"/>
  <c r="AP155" i="5"/>
  <c r="AP103" i="5" s="1"/>
  <c r="AP106" i="5" s="1"/>
  <c r="AP107" i="5" s="1"/>
  <c r="Y30" i="5"/>
  <c r="Y17" i="5"/>
  <c r="Y42" i="5" s="1"/>
  <c r="Y36" i="5"/>
  <c r="Y22" i="5"/>
  <c r="Y26" i="5"/>
  <c r="Y10" i="5"/>
  <c r="Y11" i="5"/>
  <c r="AI17" i="5"/>
  <c r="AI42" i="5" s="1"/>
  <c r="AI48" i="5" s="1"/>
  <c r="AI49" i="5" s="1"/>
  <c r="AJ13" i="5"/>
  <c r="AJ17" i="5"/>
  <c r="AJ42" i="5" s="1"/>
  <c r="AJ48" i="5" s="1"/>
  <c r="AJ49" i="5" s="1"/>
  <c r="AJ12" i="5"/>
  <c r="S36" i="5"/>
  <c r="S17" i="5"/>
  <c r="S30" i="5"/>
  <c r="S26" i="5"/>
  <c r="S22" i="5"/>
  <c r="F17" i="5"/>
  <c r="F30" i="5"/>
  <c r="F26" i="5"/>
  <c r="Z9" i="5"/>
  <c r="M34" i="5"/>
  <c r="S34" i="5"/>
  <c r="AV9" i="5"/>
  <c r="M9" i="5"/>
  <c r="AB9" i="5"/>
  <c r="AB26" i="5" s="1"/>
  <c r="N9" i="5"/>
  <c r="V9" i="5"/>
  <c r="AC9" i="5"/>
  <c r="AN9" i="5"/>
  <c r="AH9" i="5"/>
  <c r="AJ40" i="5"/>
  <c r="AJ22" i="5"/>
  <c r="F33" i="5"/>
  <c r="P9" i="5"/>
  <c r="AK9" i="5"/>
  <c r="AU34" i="5"/>
  <c r="K162" i="5"/>
  <c r="K155" i="5"/>
  <c r="K103" i="5" s="1"/>
  <c r="K106" i="5" s="1"/>
  <c r="K107" i="5" s="1"/>
  <c r="R9" i="5"/>
  <c r="AF9" i="5"/>
  <c r="AF26" i="5" s="1"/>
  <c r="AU9" i="5"/>
  <c r="AI40" i="5"/>
  <c r="AI22" i="5"/>
  <c r="AO23" i="5"/>
  <c r="L9" i="5"/>
  <c r="AO9" i="5"/>
  <c r="AF39" i="5"/>
  <c r="AH23" i="5"/>
  <c r="AB23" i="5"/>
  <c r="AR39" i="5"/>
  <c r="J9" i="5"/>
  <c r="Q9" i="5"/>
  <c r="X9" i="5"/>
  <c r="Y13" i="5" s="1"/>
  <c r="AE9" i="5"/>
  <c r="AT9" i="5"/>
  <c r="AP23" i="5"/>
  <c r="AJ23" i="5"/>
  <c r="F40" i="5"/>
  <c r="F22" i="5"/>
  <c r="L23" i="5"/>
  <c r="AN34" i="5"/>
  <c r="Z39" i="5"/>
  <c r="AD23" i="5"/>
  <c r="M23" i="5"/>
  <c r="R34" i="5"/>
  <c r="Y34" i="5"/>
  <c r="Y33" i="5"/>
  <c r="AO34" i="5"/>
  <c r="P23" i="5"/>
  <c r="W23" i="5"/>
  <c r="AC23" i="5"/>
  <c r="K34" i="5"/>
  <c r="S33" i="5"/>
  <c r="AV23" i="5"/>
  <c r="L34" i="5"/>
  <c r="AB34" i="5"/>
  <c r="S40" i="5"/>
  <c r="AI33" i="5"/>
  <c r="AJ33" i="5"/>
  <c r="Z135" i="5"/>
  <c r="X162" i="5"/>
  <c r="X155" i="5"/>
  <c r="X103" i="5" s="1"/>
  <c r="X106" i="5" s="1"/>
  <c r="X107" i="5" s="1"/>
  <c r="AH162" i="5"/>
  <c r="Q23" i="5"/>
  <c r="AE23" i="5"/>
  <c r="AT23" i="5"/>
  <c r="P34" i="5"/>
  <c r="W34" i="5"/>
  <c r="AD34" i="5"/>
  <c r="AK34" i="5"/>
  <c r="AP34" i="5"/>
  <c r="G162" i="5"/>
  <c r="G155" i="5"/>
  <c r="G103" i="5" s="1"/>
  <c r="G106" i="5" s="1"/>
  <c r="G107" i="5" s="1"/>
  <c r="Q155" i="5"/>
  <c r="Q103" i="5" s="1"/>
  <c r="Q106" i="5" s="1"/>
  <c r="Q107" i="5" s="1"/>
  <c r="Q162" i="5"/>
  <c r="AN162" i="5"/>
  <c r="AN155" i="5"/>
  <c r="AN103" i="5" s="1"/>
  <c r="AN106" i="5" s="1"/>
  <c r="AN107" i="5" s="1"/>
  <c r="J34" i="5"/>
  <c r="Q34" i="5"/>
  <c r="X34" i="5"/>
  <c r="AE34" i="5"/>
  <c r="AT34" i="5"/>
  <c r="AC34" i="5"/>
  <c r="AQ34" i="5"/>
  <c r="N133" i="5"/>
  <c r="N134" i="5"/>
  <c r="J162" i="5"/>
  <c r="J155" i="5"/>
  <c r="J103" i="5" s="1"/>
  <c r="J106" i="5" s="1"/>
  <c r="J107" i="5" s="1"/>
  <c r="R162" i="5"/>
  <c r="R155" i="5"/>
  <c r="R103" i="5" s="1"/>
  <c r="R106" i="5" s="1"/>
  <c r="R107" i="5" s="1"/>
  <c r="AO155" i="5"/>
  <c r="AO103" i="5" s="1"/>
  <c r="AO106" i="5" s="1"/>
  <c r="AO107" i="5" s="1"/>
  <c r="AO162" i="5"/>
  <c r="AT162" i="5"/>
  <c r="Z133" i="5"/>
  <c r="T133" i="5"/>
  <c r="AL135" i="5"/>
  <c r="N136" i="5"/>
  <c r="AJ162" i="5"/>
  <c r="AC155" i="5"/>
  <c r="AC103" i="5" s="1"/>
  <c r="AC106" i="5" s="1"/>
  <c r="AC107" i="5" s="1"/>
  <c r="E162" i="5"/>
  <c r="Y44" i="5" l="1"/>
  <c r="Y48" i="5"/>
  <c r="Y49" i="5" s="1"/>
  <c r="AI44" i="5"/>
  <c r="AJ44" i="5"/>
  <c r="AT26" i="5"/>
  <c r="AT30" i="5"/>
  <c r="AT36" i="5"/>
  <c r="AZ36" i="5" s="1"/>
  <c r="BF36" i="5" s="1"/>
  <c r="BL36" i="5" s="1"/>
  <c r="AV30" i="5"/>
  <c r="AV36" i="5"/>
  <c r="AV26" i="5"/>
  <c r="AE40" i="5"/>
  <c r="AE26" i="5"/>
  <c r="AO33" i="5"/>
  <c r="AO36" i="5"/>
  <c r="AO26" i="5"/>
  <c r="AO30" i="5"/>
  <c r="AH26" i="5"/>
  <c r="AH30" i="5"/>
  <c r="AH36" i="5"/>
  <c r="AI10" i="5"/>
  <c r="AC26" i="5"/>
  <c r="AK30" i="5"/>
  <c r="AK36" i="5"/>
  <c r="AK26" i="5"/>
  <c r="AQ26" i="5"/>
  <c r="AQ30" i="5"/>
  <c r="AQ36" i="5"/>
  <c r="AJ11" i="5"/>
  <c r="AD26" i="5"/>
  <c r="AN36" i="5"/>
  <c r="AN26" i="5"/>
  <c r="AN30" i="5"/>
  <c r="AU30" i="5"/>
  <c r="AU36" i="5"/>
  <c r="AU26" i="5"/>
  <c r="AP26" i="5"/>
  <c r="AP30" i="5"/>
  <c r="AP36" i="5"/>
  <c r="M106" i="5"/>
  <c r="M107" i="5" s="1"/>
  <c r="E22" i="5"/>
  <c r="E36" i="5"/>
  <c r="G17" i="5"/>
  <c r="G36" i="5"/>
  <c r="K42" i="5"/>
  <c r="S42" i="5"/>
  <c r="F42" i="5"/>
  <c r="F48" i="5" s="1"/>
  <c r="F49" i="5" s="1"/>
  <c r="AL39" i="5"/>
  <c r="AK39" i="5"/>
  <c r="AK40" i="5" s="1"/>
  <c r="T36" i="5"/>
  <c r="T17" i="5"/>
  <c r="T30" i="5"/>
  <c r="T26" i="5"/>
  <c r="AD33" i="5"/>
  <c r="T22" i="5"/>
  <c r="V22" i="5"/>
  <c r="V40" i="5"/>
  <c r="AN40" i="5"/>
  <c r="W10" i="5"/>
  <c r="AQ23" i="5"/>
  <c r="AK23" i="5"/>
  <c r="AK22" i="5"/>
  <c r="AV40" i="5"/>
  <c r="E40" i="5"/>
  <c r="E30" i="5"/>
  <c r="E26" i="5"/>
  <c r="E33" i="5"/>
  <c r="E17" i="5"/>
  <c r="E42" i="5" s="1"/>
  <c r="E48" i="5" s="1"/>
  <c r="E49" i="5" s="1"/>
  <c r="AV33" i="5"/>
  <c r="AU40" i="5"/>
  <c r="R40" i="5"/>
  <c r="W17" i="5"/>
  <c r="W42" i="5" s="1"/>
  <c r="W22" i="5"/>
  <c r="W30" i="5"/>
  <c r="W40" i="5"/>
  <c r="K10" i="5"/>
  <c r="K40" i="5"/>
  <c r="AD22" i="5"/>
  <c r="AD40" i="5"/>
  <c r="AD17" i="5"/>
  <c r="AD42" i="5" s="1"/>
  <c r="AD48" i="5" s="1"/>
  <c r="AD49" i="5" s="1"/>
  <c r="AD30" i="5"/>
  <c r="BB30" i="5" s="1"/>
  <c r="BH30" i="5" s="1"/>
  <c r="BN30" i="5" s="1"/>
  <c r="BT30" i="5" s="1"/>
  <c r="AJ10" i="5"/>
  <c r="AD36" i="5"/>
  <c r="AQ12" i="5"/>
  <c r="M40" i="5"/>
  <c r="BJ5" i="5"/>
  <c r="W36" i="5"/>
  <c r="K11" i="5"/>
  <c r="K30" i="5"/>
  <c r="W33" i="5"/>
  <c r="K26" i="5"/>
  <c r="N40" i="5"/>
  <c r="K33" i="5"/>
  <c r="W26" i="5"/>
  <c r="K22" i="5"/>
  <c r="T23" i="5"/>
  <c r="G33" i="5"/>
  <c r="N23" i="5"/>
  <c r="G30" i="5"/>
  <c r="K36" i="5"/>
  <c r="G22" i="5"/>
  <c r="AQ13" i="5"/>
  <c r="T40" i="5"/>
  <c r="J40" i="5"/>
  <c r="AP13" i="5"/>
  <c r="AQ17" i="5"/>
  <c r="AQ42" i="5" s="1"/>
  <c r="AQ48" i="5" s="1"/>
  <c r="AQ49" i="5" s="1"/>
  <c r="AP17" i="5"/>
  <c r="AP42" i="5" s="1"/>
  <c r="AP48" i="5" s="1"/>
  <c r="AP49" i="5" s="1"/>
  <c r="H9" i="5"/>
  <c r="AQ22" i="5"/>
  <c r="AQ40" i="5"/>
  <c r="AP33" i="5"/>
  <c r="AP10" i="5"/>
  <c r="AP22" i="5"/>
  <c r="AP11" i="5"/>
  <c r="AQ33" i="5"/>
  <c r="AP40" i="5"/>
  <c r="AQ10" i="5"/>
  <c r="BP5" i="5"/>
  <c r="Q40" i="5"/>
  <c r="AN33" i="5"/>
  <c r="X33" i="5"/>
  <c r="M22" i="5"/>
  <c r="AB33" i="5"/>
  <c r="L33" i="5"/>
  <c r="N22" i="5"/>
  <c r="W11" i="5"/>
  <c r="AP12" i="5"/>
  <c r="AB22" i="5"/>
  <c r="AD13" i="5"/>
  <c r="T11" i="5"/>
  <c r="Y28" i="5"/>
  <c r="AB40" i="5"/>
  <c r="AH17" i="5"/>
  <c r="AH42" i="5" s="1"/>
  <c r="AH48" i="5" s="1"/>
  <c r="AH49" i="5" s="1"/>
  <c r="AH11" i="5"/>
  <c r="AH22" i="5"/>
  <c r="AH12" i="5"/>
  <c r="AH10" i="5"/>
  <c r="AH13" i="5"/>
  <c r="AJ18" i="5"/>
  <c r="AQ11" i="5"/>
  <c r="AH33" i="5"/>
  <c r="P33" i="5"/>
  <c r="Z162" i="5"/>
  <c r="Z155" i="5"/>
  <c r="Z103" i="5" s="1"/>
  <c r="Z106" i="5" s="1"/>
  <c r="Z107" i="5" s="1"/>
  <c r="AC22" i="5"/>
  <c r="AT22" i="5"/>
  <c r="AT33" i="5"/>
  <c r="AT17" i="5"/>
  <c r="AT42" i="5" s="1"/>
  <c r="AT48" i="5" s="1"/>
  <c r="AT49" i="5" s="1"/>
  <c r="AT13" i="5"/>
  <c r="AT12" i="5"/>
  <c r="AT10" i="5"/>
  <c r="AT11" i="5"/>
  <c r="AU17" i="5"/>
  <c r="AU42" i="5" s="1"/>
  <c r="AU48" i="5" s="1"/>
  <c r="AU49" i="5" s="1"/>
  <c r="AU12" i="5"/>
  <c r="AU10" i="5"/>
  <c r="AU22" i="5"/>
  <c r="AU13" i="5"/>
  <c r="AU11" i="5"/>
  <c r="V36" i="5"/>
  <c r="V13" i="5"/>
  <c r="V26" i="5"/>
  <c r="V17" i="5"/>
  <c r="V42" i="5" s="1"/>
  <c r="V48" i="5" s="1"/>
  <c r="V49" i="5" s="1"/>
  <c r="V12" i="5"/>
  <c r="V10" i="5"/>
  <c r="V30" i="5"/>
  <c r="V11" i="5"/>
  <c r="W12" i="5"/>
  <c r="S18" i="5"/>
  <c r="T162" i="5"/>
  <c r="T155" i="5"/>
  <c r="T103" i="5" s="1"/>
  <c r="AO40" i="5"/>
  <c r="Z33" i="5"/>
  <c r="Z34" i="5"/>
  <c r="P40" i="5"/>
  <c r="AC40" i="5"/>
  <c r="AE36" i="5"/>
  <c r="BC36" i="5" s="1"/>
  <c r="BI36" i="5" s="1"/>
  <c r="BO36" i="5" s="1"/>
  <c r="BU36" i="5" s="1"/>
  <c r="AE30" i="5"/>
  <c r="BC30" i="5" s="1"/>
  <c r="BI30" i="5" s="1"/>
  <c r="BO30" i="5" s="1"/>
  <c r="BU30" i="5" s="1"/>
  <c r="AE22" i="5"/>
  <c r="AE17" i="5"/>
  <c r="AE42" i="5" s="1"/>
  <c r="AE48" i="5" s="1"/>
  <c r="AE49" i="5" s="1"/>
  <c r="AE13" i="5"/>
  <c r="AE10" i="5"/>
  <c r="AE33" i="5"/>
  <c r="AE11" i="5"/>
  <c r="AE12" i="5"/>
  <c r="AF36" i="5"/>
  <c r="AF30" i="5"/>
  <c r="AF17" i="5"/>
  <c r="AF42" i="5" s="1"/>
  <c r="AF48" i="5" s="1"/>
  <c r="AF49" i="5" s="1"/>
  <c r="AF10" i="5"/>
  <c r="AF11" i="5"/>
  <c r="AU33" i="5"/>
  <c r="N36" i="5"/>
  <c r="N26" i="5"/>
  <c r="N30" i="5"/>
  <c r="N17" i="5"/>
  <c r="AB36" i="5"/>
  <c r="AB17" i="5"/>
  <c r="AB42" i="5" s="1"/>
  <c r="AB48" i="5" s="1"/>
  <c r="AB49" i="5" s="1"/>
  <c r="AB13" i="5"/>
  <c r="AB30" i="5"/>
  <c r="AB11" i="5"/>
  <c r="AB12" i="5"/>
  <c r="AB10" i="5"/>
  <c r="M33" i="5"/>
  <c r="AD11" i="5"/>
  <c r="W13" i="5"/>
  <c r="S11" i="5"/>
  <c r="T10" i="5"/>
  <c r="AI12" i="5"/>
  <c r="AK17" i="5"/>
  <c r="AK12" i="5"/>
  <c r="AK10" i="5"/>
  <c r="AK13" i="5"/>
  <c r="AK11" i="5"/>
  <c r="AN17" i="5"/>
  <c r="AN42" i="5" s="1"/>
  <c r="AN48" i="5" s="1"/>
  <c r="AN49" i="5" s="1"/>
  <c r="AN12" i="5"/>
  <c r="AN22" i="5"/>
  <c r="AN10" i="5"/>
  <c r="AN13" i="5"/>
  <c r="AN11" i="5"/>
  <c r="AO17" i="5"/>
  <c r="AO42" i="5" s="1"/>
  <c r="AO48" i="5" s="1"/>
  <c r="AO49" i="5" s="1"/>
  <c r="AO12" i="5"/>
  <c r="AO22" i="5"/>
  <c r="AO13" i="5"/>
  <c r="AO10" i="5"/>
  <c r="AO11" i="5"/>
  <c r="AC36" i="5"/>
  <c r="BA36" i="5" s="1"/>
  <c r="BG36" i="5" s="1"/>
  <c r="BM36" i="5" s="1"/>
  <c r="BS36" i="5" s="1"/>
  <c r="AC13" i="5"/>
  <c r="AC30" i="5"/>
  <c r="AC17" i="5"/>
  <c r="AC42" i="5" s="1"/>
  <c r="AC48" i="5" s="1"/>
  <c r="AC49" i="5" s="1"/>
  <c r="AC11" i="5"/>
  <c r="AC10" i="5"/>
  <c r="AC12" i="5"/>
  <c r="K18" i="5"/>
  <c r="AL34" i="5"/>
  <c r="P22" i="5"/>
  <c r="L36" i="5"/>
  <c r="L17" i="5"/>
  <c r="L42" i="5" s="1"/>
  <c r="L22" i="5"/>
  <c r="L26" i="5"/>
  <c r="L28" i="5" s="1"/>
  <c r="L30" i="5"/>
  <c r="L13" i="5"/>
  <c r="L12" i="5"/>
  <c r="L10" i="5"/>
  <c r="L11" i="5"/>
  <c r="L40" i="5"/>
  <c r="AC33" i="5"/>
  <c r="T33" i="5"/>
  <c r="T34" i="5"/>
  <c r="AT40" i="5"/>
  <c r="X26" i="5"/>
  <c r="X30" i="5"/>
  <c r="X22" i="5"/>
  <c r="X17" i="5"/>
  <c r="X42" i="5" s="1"/>
  <c r="X12" i="5"/>
  <c r="X11" i="5"/>
  <c r="X10" i="5"/>
  <c r="X13" i="5"/>
  <c r="X36" i="5"/>
  <c r="R36" i="5"/>
  <c r="R30" i="5"/>
  <c r="R17" i="5"/>
  <c r="R42" i="5" s="1"/>
  <c r="R12" i="5"/>
  <c r="R26" i="5"/>
  <c r="R10" i="5"/>
  <c r="R13" i="5"/>
  <c r="R22" i="5"/>
  <c r="R11" i="5"/>
  <c r="R33" i="5"/>
  <c r="AF33" i="5"/>
  <c r="M36" i="5"/>
  <c r="M17" i="5"/>
  <c r="M42" i="5" s="1"/>
  <c r="M13" i="5"/>
  <c r="M26" i="5"/>
  <c r="M30" i="5"/>
  <c r="M12" i="5"/>
  <c r="M11" i="5"/>
  <c r="M10" i="5"/>
  <c r="AV17" i="5"/>
  <c r="AV42" i="5" s="1"/>
  <c r="AV48" i="5" s="1"/>
  <c r="AV12" i="5"/>
  <c r="AV10" i="5"/>
  <c r="AV22" i="5"/>
  <c r="AV11" i="5"/>
  <c r="AV13" i="5"/>
  <c r="F18" i="5"/>
  <c r="S12" i="5"/>
  <c r="AI11" i="5"/>
  <c r="Y12" i="5"/>
  <c r="N33" i="5"/>
  <c r="N34" i="5"/>
  <c r="J26" i="5"/>
  <c r="J30" i="5"/>
  <c r="J36" i="5"/>
  <c r="J22" i="5"/>
  <c r="J13" i="5"/>
  <c r="J11" i="5"/>
  <c r="J17" i="5"/>
  <c r="J42" i="5" s="1"/>
  <c r="J12" i="5"/>
  <c r="J10" i="5"/>
  <c r="AI13" i="5"/>
  <c r="K12" i="5"/>
  <c r="Z22" i="5"/>
  <c r="Z23" i="5"/>
  <c r="P26" i="5"/>
  <c r="P36" i="5"/>
  <c r="P30" i="5"/>
  <c r="P12" i="5"/>
  <c r="P10" i="5"/>
  <c r="P13" i="5"/>
  <c r="P11" i="5"/>
  <c r="P17" i="5"/>
  <c r="P42" i="5" s="1"/>
  <c r="Z36" i="5"/>
  <c r="Z17" i="5"/>
  <c r="Z42" i="5" s="1"/>
  <c r="Z26" i="5"/>
  <c r="Z30" i="5"/>
  <c r="Z10" i="5"/>
  <c r="Z11" i="5"/>
  <c r="AD12" i="5"/>
  <c r="BV5" i="5"/>
  <c r="AI18" i="5"/>
  <c r="Y24" i="5"/>
  <c r="AF162" i="5"/>
  <c r="AF155" i="5"/>
  <c r="AF103" i="5" s="1"/>
  <c r="AF106" i="5" s="1"/>
  <c r="AF107" i="5" s="1"/>
  <c r="AK33" i="5"/>
  <c r="N162" i="5"/>
  <c r="N155" i="5"/>
  <c r="N103" i="5" s="1"/>
  <c r="N106" i="5" s="1"/>
  <c r="N107" i="5" s="1"/>
  <c r="V33" i="5"/>
  <c r="J33" i="5"/>
  <c r="AR34" i="5"/>
  <c r="Q26" i="5"/>
  <c r="Q36" i="5"/>
  <c r="Q30" i="5"/>
  <c r="Q33" i="5"/>
  <c r="Q22" i="5"/>
  <c r="Q17" i="5"/>
  <c r="Q42" i="5" s="1"/>
  <c r="Q13" i="5"/>
  <c r="Q11" i="5"/>
  <c r="Q12" i="5"/>
  <c r="Q10" i="5"/>
  <c r="AF23" i="5"/>
  <c r="AF22" i="5"/>
  <c r="AF34" i="5"/>
  <c r="AH40" i="5"/>
  <c r="AD10" i="5"/>
  <c r="S10" i="5"/>
  <c r="S13" i="5"/>
  <c r="Y18" i="5"/>
  <c r="K13" i="5"/>
  <c r="X40" i="5"/>
  <c r="AC69" i="3"/>
  <c r="AD69" i="3" s="1"/>
  <c r="AE69" i="3" l="1"/>
  <c r="BA30" i="5"/>
  <c r="BG30" i="5" s="1"/>
  <c r="BM30" i="5" s="1"/>
  <c r="BS30" i="5" s="1"/>
  <c r="BY30" i="5" s="1"/>
  <c r="BB36" i="5"/>
  <c r="BH36" i="5" s="1"/>
  <c r="BN36" i="5" s="1"/>
  <c r="BT36" i="5" s="1"/>
  <c r="BT35" i="5" s="1"/>
  <c r="AZ30" i="5"/>
  <c r="BF30" i="5" s="1"/>
  <c r="BL30" i="5" s="1"/>
  <c r="BR30" i="5" s="1"/>
  <c r="BY36" i="5"/>
  <c r="BS35" i="5"/>
  <c r="CA30" i="5"/>
  <c r="BU29" i="5"/>
  <c r="BZ30" i="5"/>
  <c r="BT29" i="5"/>
  <c r="BR36" i="5"/>
  <c r="BL35" i="5"/>
  <c r="CA36" i="5"/>
  <c r="BU35" i="5"/>
  <c r="BZ36" i="5"/>
  <c r="J44" i="5"/>
  <c r="J48" i="5"/>
  <c r="J49" i="5" s="1"/>
  <c r="M44" i="5"/>
  <c r="M48" i="5"/>
  <c r="M49" i="5" s="1"/>
  <c r="W44" i="5"/>
  <c r="W48" i="5"/>
  <c r="W49" i="5" s="1"/>
  <c r="Z44" i="5"/>
  <c r="Z48" i="5"/>
  <c r="Z49" i="5" s="1"/>
  <c r="Q44" i="5"/>
  <c r="Q48" i="5"/>
  <c r="Q49" i="5" s="1"/>
  <c r="P44" i="5"/>
  <c r="P48" i="5"/>
  <c r="P49" i="5" s="1"/>
  <c r="R44" i="5"/>
  <c r="R48" i="5"/>
  <c r="R49" i="5" s="1"/>
  <c r="X44" i="5"/>
  <c r="X48" i="5"/>
  <c r="X49" i="5" s="1"/>
  <c r="L44" i="5"/>
  <c r="L48" i="5"/>
  <c r="L49" i="5" s="1"/>
  <c r="S44" i="5"/>
  <c r="S48" i="5"/>
  <c r="S49" i="5" s="1"/>
  <c r="K44" i="5"/>
  <c r="K48" i="5"/>
  <c r="K49" i="5" s="1"/>
  <c r="AC44" i="5"/>
  <c r="AH44" i="5"/>
  <c r="AB44" i="5"/>
  <c r="AF44" i="5"/>
  <c r="AE44" i="5"/>
  <c r="AD44" i="5"/>
  <c r="AO44" i="5"/>
  <c r="AT44" i="5"/>
  <c r="E44" i="5"/>
  <c r="V44" i="5"/>
  <c r="AP44" i="5"/>
  <c r="AU44" i="5"/>
  <c r="AQ44" i="5"/>
  <c r="AV49" i="5"/>
  <c r="AV44" i="5"/>
  <c r="AN44" i="5"/>
  <c r="F44" i="5"/>
  <c r="T106" i="5"/>
  <c r="T107" i="5" s="1"/>
  <c r="G18" i="5"/>
  <c r="AL23" i="5"/>
  <c r="AR23" i="5"/>
  <c r="Z28" i="5"/>
  <c r="H33" i="5"/>
  <c r="H36" i="5"/>
  <c r="AK42" i="5"/>
  <c r="AK48" i="5" s="1"/>
  <c r="AK49" i="5" s="1"/>
  <c r="T42" i="5"/>
  <c r="T48" i="5" s="1"/>
  <c r="T49" i="5" s="1"/>
  <c r="N42" i="5"/>
  <c r="T18" i="5"/>
  <c r="T24" i="5"/>
  <c r="V24" i="5"/>
  <c r="S24" i="5"/>
  <c r="AP24" i="5"/>
  <c r="Z24" i="5"/>
  <c r="AE24" i="5"/>
  <c r="AB24" i="5"/>
  <c r="L24" i="5"/>
  <c r="K24" i="5"/>
  <c r="AO24" i="5"/>
  <c r="AJ24" i="5"/>
  <c r="AQ24" i="5"/>
  <c r="AC24" i="5"/>
  <c r="K28" i="5"/>
  <c r="J24" i="5"/>
  <c r="AD28" i="5"/>
  <c r="Q24" i="5"/>
  <c r="AQ18" i="5"/>
  <c r="E18" i="5"/>
  <c r="AP18" i="5"/>
  <c r="AD18" i="5"/>
  <c r="Q28" i="5"/>
  <c r="W18" i="5"/>
  <c r="J28" i="5"/>
  <c r="AV24" i="5"/>
  <c r="AH24" i="5"/>
  <c r="H22" i="5"/>
  <c r="N11" i="5"/>
  <c r="N10" i="5"/>
  <c r="AL133" i="5"/>
  <c r="M24" i="5"/>
  <c r="AI24" i="5"/>
  <c r="H30" i="5"/>
  <c r="H17" i="5"/>
  <c r="AF24" i="5"/>
  <c r="R24" i="5"/>
  <c r="T12" i="5"/>
  <c r="T28" i="5"/>
  <c r="N12" i="5"/>
  <c r="S28" i="5"/>
  <c r="AR13" i="5"/>
  <c r="AF12" i="5"/>
  <c r="AF28" i="5"/>
  <c r="AN24" i="5"/>
  <c r="R28" i="5"/>
  <c r="AB28" i="5"/>
  <c r="Z40" i="5"/>
  <c r="AC28" i="5"/>
  <c r="AN18" i="5"/>
  <c r="AB18" i="5"/>
  <c r="AF18" i="5"/>
  <c r="P18" i="5"/>
  <c r="F43" i="5"/>
  <c r="R18" i="5"/>
  <c r="X18" i="5"/>
  <c r="V18" i="5"/>
  <c r="AU18" i="5"/>
  <c r="AT18" i="5"/>
  <c r="AO18" i="5"/>
  <c r="AE18" i="5"/>
  <c r="J18" i="5"/>
  <c r="Z12" i="5"/>
  <c r="AH18" i="5"/>
  <c r="CB5" i="5"/>
  <c r="Z18" i="5"/>
  <c r="N13" i="5"/>
  <c r="X24" i="5"/>
  <c r="K43" i="5"/>
  <c r="AJ43" i="5"/>
  <c r="AH28" i="5"/>
  <c r="Y43" i="5"/>
  <c r="AI43" i="5"/>
  <c r="W43" i="5"/>
  <c r="AV18" i="5"/>
  <c r="AL12" i="5"/>
  <c r="AQ43" i="5"/>
  <c r="W24" i="5"/>
  <c r="AJ28" i="5"/>
  <c r="AF40" i="5"/>
  <c r="T13" i="5"/>
  <c r="P28" i="5"/>
  <c r="AK24" i="5"/>
  <c r="AD43" i="5"/>
  <c r="AD24" i="5"/>
  <c r="AC18" i="5"/>
  <c r="W28" i="5"/>
  <c r="AF13" i="5"/>
  <c r="N18" i="5"/>
  <c r="AE28" i="5"/>
  <c r="V28" i="5"/>
  <c r="AT24" i="5"/>
  <c r="AP43" i="5"/>
  <c r="L18" i="5"/>
  <c r="Q18" i="5"/>
  <c r="M18" i="5"/>
  <c r="X28" i="5"/>
  <c r="P24" i="5"/>
  <c r="AR12" i="5"/>
  <c r="AK18" i="5"/>
  <c r="E43" i="5"/>
  <c r="S43" i="5"/>
  <c r="Z13" i="5"/>
  <c r="AU24" i="5"/>
  <c r="AL13" i="5"/>
  <c r="BL29" i="5" l="1"/>
  <c r="BS29" i="5"/>
  <c r="BS29" i="1" s="1"/>
  <c r="BS30" i="1" s="1"/>
  <c r="BL33" i="1"/>
  <c r="BL34" i="1" s="1"/>
  <c r="CE30" i="5"/>
  <c r="BY29" i="5"/>
  <c r="BX36" i="5"/>
  <c r="BR35" i="5"/>
  <c r="BT29" i="1"/>
  <c r="BT30" i="1" s="1"/>
  <c r="CF30" i="5"/>
  <c r="BZ29" i="5"/>
  <c r="BL29" i="1"/>
  <c r="BL30" i="1" s="1"/>
  <c r="BU29" i="1"/>
  <c r="BU30" i="1" s="1"/>
  <c r="BX30" i="5"/>
  <c r="BR29" i="5"/>
  <c r="CG30" i="5"/>
  <c r="CA29" i="5"/>
  <c r="BT33" i="1"/>
  <c r="BT34" i="1" s="1"/>
  <c r="BU33" i="1"/>
  <c r="BU34" i="1" s="1"/>
  <c r="BS33" i="1"/>
  <c r="BS34" i="1" s="1"/>
  <c r="CF36" i="5"/>
  <c r="BZ35" i="5"/>
  <c r="CG36" i="5"/>
  <c r="CA35" i="5"/>
  <c r="CE36" i="5"/>
  <c r="BY35" i="5"/>
  <c r="N44" i="5"/>
  <c r="N48" i="5"/>
  <c r="N49" i="5" s="1"/>
  <c r="AK44" i="5"/>
  <c r="T43" i="5"/>
  <c r="T44" i="5"/>
  <c r="H18" i="5"/>
  <c r="N24" i="5"/>
  <c r="AL134" i="5"/>
  <c r="AL162" i="5"/>
  <c r="CH5" i="5"/>
  <c r="CN5" i="5"/>
  <c r="AN43" i="5"/>
  <c r="AE43" i="5"/>
  <c r="P43" i="5"/>
  <c r="AH43" i="5"/>
  <c r="AT43" i="5"/>
  <c r="AO43" i="5"/>
  <c r="AL9" i="5"/>
  <c r="AF43" i="5"/>
  <c r="L43" i="5"/>
  <c r="AC43" i="5"/>
  <c r="AP28" i="5"/>
  <c r="J43" i="5"/>
  <c r="AI28" i="5"/>
  <c r="AK43" i="5"/>
  <c r="AK28" i="5"/>
  <c r="AU43" i="5"/>
  <c r="X43" i="5"/>
  <c r="AL155" i="5"/>
  <c r="AL103" i="5" s="1"/>
  <c r="AL106" i="5" s="1"/>
  <c r="AL107" i="5" s="1"/>
  <c r="N43" i="5"/>
  <c r="R43" i="5"/>
  <c r="Q43" i="5"/>
  <c r="M43" i="5"/>
  <c r="AV43" i="5"/>
  <c r="AN28" i="5"/>
  <c r="Z43" i="5"/>
  <c r="V43" i="5"/>
  <c r="AR134" i="5"/>
  <c r="AR133" i="5"/>
  <c r="AB43" i="5"/>
  <c r="E77" i="2"/>
  <c r="E75" i="2"/>
  <c r="G74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CA33" i="1" l="1"/>
  <c r="CA34" i="1" s="1"/>
  <c r="CA37" i="5"/>
  <c r="CD36" i="5"/>
  <c r="BX35" i="5"/>
  <c r="CM36" i="5"/>
  <c r="CM35" i="5" s="1"/>
  <c r="CG35" i="5"/>
  <c r="BY29" i="1"/>
  <c r="BY30" i="1" s="1"/>
  <c r="BY31" i="5"/>
  <c r="BZ33" i="1"/>
  <c r="BZ34" i="1" s="1"/>
  <c r="BZ37" i="5"/>
  <c r="CA29" i="1"/>
  <c r="CA30" i="1" s="1"/>
  <c r="CA31" i="5"/>
  <c r="CK30" i="5"/>
  <c r="CK29" i="5" s="1"/>
  <c r="CE29" i="5"/>
  <c r="CL36" i="5"/>
  <c r="CL35" i="5" s="1"/>
  <c r="CF35" i="5"/>
  <c r="CM30" i="5"/>
  <c r="CM29" i="5" s="1"/>
  <c r="CG29" i="5"/>
  <c r="BZ29" i="1"/>
  <c r="BZ30" i="1" s="1"/>
  <c r="BZ31" i="5"/>
  <c r="BR29" i="1"/>
  <c r="BR30" i="1" s="1"/>
  <c r="BV29" i="5"/>
  <c r="BR31" i="5"/>
  <c r="CL30" i="5"/>
  <c r="CL29" i="5" s="1"/>
  <c r="CF29" i="5"/>
  <c r="CD30" i="5"/>
  <c r="BX29" i="5"/>
  <c r="CB29" i="5" s="1"/>
  <c r="CB35" i="5"/>
  <c r="BY33" i="1"/>
  <c r="BY34" i="1" s="1"/>
  <c r="BY37" i="5"/>
  <c r="CK36" i="5"/>
  <c r="CK35" i="5" s="1"/>
  <c r="CE35" i="5"/>
  <c r="BR33" i="1"/>
  <c r="BR34" i="1" s="1"/>
  <c r="BV35" i="5"/>
  <c r="BR37" i="5"/>
  <c r="AL30" i="5"/>
  <c r="AL36" i="5"/>
  <c r="AL26" i="5"/>
  <c r="AL28" i="5" s="1"/>
  <c r="E78" i="2"/>
  <c r="G75" i="2"/>
  <c r="AR162" i="5"/>
  <c r="AR155" i="5"/>
  <c r="AR103" i="5" s="1"/>
  <c r="AR106" i="5" s="1"/>
  <c r="AR107" i="5" s="1"/>
  <c r="AL10" i="5"/>
  <c r="AL17" i="5"/>
  <c r="AL42" i="5" s="1"/>
  <c r="AL48" i="5" s="1"/>
  <c r="AL49" i="5" s="1"/>
  <c r="AL11" i="5"/>
  <c r="AL33" i="5"/>
  <c r="AL22" i="5"/>
  <c r="AL40" i="5"/>
  <c r="AZ26" i="5"/>
  <c r="AT28" i="5"/>
  <c r="AR9" i="5"/>
  <c r="AO28" i="5"/>
  <c r="AV28" i="5"/>
  <c r="BB26" i="5"/>
  <c r="AQ28" i="5"/>
  <c r="E82" i="2"/>
  <c r="BV29" i="1" l="1"/>
  <c r="BV30" i="1" s="1"/>
  <c r="CE29" i="1"/>
  <c r="CE30" i="1" s="1"/>
  <c r="CE31" i="5"/>
  <c r="CB29" i="1"/>
  <c r="CB30" i="1" s="1"/>
  <c r="CB31" i="5"/>
  <c r="CL33" i="1"/>
  <c r="CL34" i="1" s="1"/>
  <c r="CL37" i="5"/>
  <c r="CK29" i="1"/>
  <c r="CK30" i="1" s="1"/>
  <c r="CK31" i="5"/>
  <c r="CG33" i="1"/>
  <c r="CG34" i="1" s="1"/>
  <c r="CG37" i="5"/>
  <c r="CB33" i="1"/>
  <c r="CB34" i="1" s="1"/>
  <c r="CB37" i="5"/>
  <c r="CM33" i="1"/>
  <c r="CM34" i="1" s="1"/>
  <c r="CM37" i="5"/>
  <c r="CK33" i="1"/>
  <c r="CK34" i="1" s="1"/>
  <c r="CK37" i="5"/>
  <c r="BX29" i="1"/>
  <c r="BX30" i="1" s="1"/>
  <c r="BX31" i="5"/>
  <c r="BX33" i="1"/>
  <c r="BX34" i="1" s="1"/>
  <c r="BX37" i="5"/>
  <c r="AX11" i="5"/>
  <c r="AX10" i="5"/>
  <c r="BV33" i="1"/>
  <c r="BV34" i="1" s="1"/>
  <c r="CJ30" i="5"/>
  <c r="CJ29" i="5" s="1"/>
  <c r="CD29" i="5"/>
  <c r="CG29" i="1"/>
  <c r="CG30" i="1" s="1"/>
  <c r="CG31" i="5"/>
  <c r="CJ36" i="5"/>
  <c r="CJ35" i="5" s="1"/>
  <c r="CD35" i="5"/>
  <c r="CF29" i="1"/>
  <c r="CF30" i="1" s="1"/>
  <c r="CF31" i="5"/>
  <c r="CM29" i="1"/>
  <c r="CM30" i="1" s="1"/>
  <c r="CM31" i="5"/>
  <c r="CE33" i="1"/>
  <c r="CE34" i="1" s="1"/>
  <c r="CE37" i="5"/>
  <c r="CL29" i="1"/>
  <c r="CL30" i="1" s="1"/>
  <c r="CL31" i="5"/>
  <c r="CF33" i="1"/>
  <c r="CF34" i="1" s="1"/>
  <c r="CF37" i="5"/>
  <c r="AL44" i="5"/>
  <c r="AR26" i="5"/>
  <c r="AR28" i="5" s="1"/>
  <c r="AR30" i="5"/>
  <c r="AR36" i="5"/>
  <c r="AL24" i="5"/>
  <c r="AR11" i="5"/>
  <c r="AR17" i="5"/>
  <c r="AR42" i="5" s="1"/>
  <c r="AR48" i="5" s="1"/>
  <c r="AR49" i="5" s="1"/>
  <c r="AR10" i="5"/>
  <c r="AR33" i="5"/>
  <c r="AR22" i="5"/>
  <c r="AR40" i="5"/>
  <c r="BF26" i="5"/>
  <c r="AZ28" i="5"/>
  <c r="AL18" i="5"/>
  <c r="BH26" i="5"/>
  <c r="BB28" i="5"/>
  <c r="BA26" i="5"/>
  <c r="AU28" i="5"/>
  <c r="AW28" i="5"/>
  <c r="BC26" i="5"/>
  <c r="E89" i="2"/>
  <c r="I82" i="2" s="1"/>
  <c r="E88" i="2"/>
  <c r="H82" i="2" s="1"/>
  <c r="E92" i="2"/>
  <c r="E93" i="2"/>
  <c r="E91" i="2"/>
  <c r="F91" i="2" s="1"/>
  <c r="E90" i="2"/>
  <c r="F90" i="2" s="1"/>
  <c r="E84" i="2"/>
  <c r="AV362" i="1"/>
  <c r="CH35" i="5" l="1"/>
  <c r="CD33" i="1"/>
  <c r="CD34" i="1" s="1"/>
  <c r="CD37" i="5"/>
  <c r="CN35" i="5"/>
  <c r="CJ33" i="1"/>
  <c r="CJ34" i="1" s="1"/>
  <c r="CJ37" i="5"/>
  <c r="CH29" i="5"/>
  <c r="CD29" i="1"/>
  <c r="CD30" i="1" s="1"/>
  <c r="CD31" i="5"/>
  <c r="CN29" i="5"/>
  <c r="CJ29" i="1"/>
  <c r="CJ30" i="1" s="1"/>
  <c r="CJ31" i="5"/>
  <c r="AR44" i="5"/>
  <c r="AR24" i="5"/>
  <c r="AL43" i="5"/>
  <c r="AW136" i="5"/>
  <c r="AX136" i="5" s="1"/>
  <c r="AW133" i="5"/>
  <c r="AW135" i="5"/>
  <c r="AX135" i="5" s="1"/>
  <c r="AW134" i="5"/>
  <c r="BC28" i="5"/>
  <c r="BI26" i="5"/>
  <c r="BG26" i="5"/>
  <c r="BA28" i="5"/>
  <c r="BN26" i="5"/>
  <c r="BH28" i="5"/>
  <c r="BF28" i="5"/>
  <c r="BL26" i="5"/>
  <c r="BL25" i="5" s="1"/>
  <c r="AR18" i="5"/>
  <c r="H75" i="2"/>
  <c r="H78" i="2"/>
  <c r="F93" i="2"/>
  <c r="F92" i="2"/>
  <c r="F89" i="2"/>
  <c r="I75" i="2"/>
  <c r="I78" i="2"/>
  <c r="H84" i="2"/>
  <c r="I84" i="2"/>
  <c r="CH29" i="1" l="1"/>
  <c r="CH30" i="1" s="1"/>
  <c r="CH31" i="5"/>
  <c r="CN33" i="1"/>
  <c r="CN34" i="1" s="1"/>
  <c r="CN37" i="5"/>
  <c r="BL27" i="1"/>
  <c r="BL28" i="1" s="1"/>
  <c r="CN29" i="1"/>
  <c r="CN30" i="1" s="1"/>
  <c r="CN31" i="5"/>
  <c r="CH33" i="1"/>
  <c r="CH34" i="1" s="1"/>
  <c r="CH37" i="5"/>
  <c r="BT26" i="5"/>
  <c r="BT25" i="5" s="1"/>
  <c r="BT39" i="5" s="1"/>
  <c r="BT40" i="5" s="1"/>
  <c r="BN28" i="5"/>
  <c r="AW9" i="5"/>
  <c r="AR43" i="5"/>
  <c r="BO26" i="5"/>
  <c r="BI28" i="5"/>
  <c r="BL28" i="5"/>
  <c r="BR26" i="5"/>
  <c r="BR25" i="5" s="1"/>
  <c r="BR39" i="5" s="1"/>
  <c r="BR40" i="5" s="1"/>
  <c r="BM26" i="5"/>
  <c r="BG28" i="5"/>
  <c r="AU362" i="1"/>
  <c r="M88" i="3"/>
  <c r="N88" i="3" s="1"/>
  <c r="O88" i="3" s="1"/>
  <c r="P88" i="3" s="1"/>
  <c r="AW32" i="5" l="1"/>
  <c r="AW35" i="5"/>
  <c r="AW25" i="5"/>
  <c r="AW21" i="5"/>
  <c r="AW29" i="5"/>
  <c r="BR27" i="1"/>
  <c r="BR28" i="1" s="1"/>
  <c r="BR27" i="5"/>
  <c r="BT27" i="1"/>
  <c r="BT28" i="1" s="1"/>
  <c r="BM28" i="5"/>
  <c r="BS26" i="5"/>
  <c r="BS25" i="5" s="1"/>
  <c r="BS39" i="5" s="1"/>
  <c r="BS40" i="5" s="1"/>
  <c r="BU26" i="5"/>
  <c r="BU25" i="5" s="1"/>
  <c r="BU39" i="5" s="1"/>
  <c r="BU40" i="5" s="1"/>
  <c r="BO28" i="5"/>
  <c r="AW13" i="5"/>
  <c r="AX13" i="5" s="1"/>
  <c r="AW11" i="5"/>
  <c r="AW12" i="5"/>
  <c r="AX12" i="5" s="1"/>
  <c r="AW10" i="5"/>
  <c r="BT28" i="5"/>
  <c r="BZ26" i="5"/>
  <c r="BZ25" i="5" s="1"/>
  <c r="BZ39" i="5" s="1"/>
  <c r="BZ40" i="5" s="1"/>
  <c r="BR28" i="5"/>
  <c r="BX26" i="5"/>
  <c r="BX25" i="5" s="1"/>
  <c r="BX39" i="5" s="1"/>
  <c r="BX40" i="5" s="1"/>
  <c r="AZ9" i="5"/>
  <c r="Q88" i="3"/>
  <c r="BU27" i="1" l="1"/>
  <c r="BU28" i="1" s="1"/>
  <c r="AW29" i="1"/>
  <c r="AW30" i="1" s="1"/>
  <c r="AX29" i="5"/>
  <c r="AW31" i="5"/>
  <c r="AX21" i="5"/>
  <c r="AW25" i="1"/>
  <c r="AW26" i="1" s="1"/>
  <c r="BX27" i="1"/>
  <c r="BX28" i="1" s="1"/>
  <c r="BX27" i="5"/>
  <c r="BS27" i="1"/>
  <c r="BS28" i="1" s="1"/>
  <c r="AW27" i="1"/>
  <c r="AW28" i="1" s="1"/>
  <c r="AX25" i="5"/>
  <c r="AW27" i="5"/>
  <c r="BZ27" i="1"/>
  <c r="BZ28" i="1" s="1"/>
  <c r="BZ27" i="5"/>
  <c r="AZ35" i="5"/>
  <c r="AZ25" i="5"/>
  <c r="AZ29" i="5"/>
  <c r="AZ32" i="5"/>
  <c r="AZ21" i="5"/>
  <c r="AX35" i="5"/>
  <c r="AW33" i="1"/>
  <c r="AW34" i="1" s="1"/>
  <c r="AW37" i="5"/>
  <c r="AW39" i="5"/>
  <c r="BV25" i="5"/>
  <c r="BV39" i="5" s="1"/>
  <c r="BV40" i="5" s="1"/>
  <c r="AW31" i="1"/>
  <c r="AW32" i="1" s="1"/>
  <c r="AX32" i="5"/>
  <c r="AW23" i="5"/>
  <c r="BZ28" i="5"/>
  <c r="CF26" i="5"/>
  <c r="CF25" i="5" s="1"/>
  <c r="CF39" i="5" s="1"/>
  <c r="CF40" i="5" s="1"/>
  <c r="AW162" i="5"/>
  <c r="AW155" i="5"/>
  <c r="AW103" i="5" s="1"/>
  <c r="BA9" i="5"/>
  <c r="BS28" i="5"/>
  <c r="BY26" i="5"/>
  <c r="BY25" i="5" s="1"/>
  <c r="BY39" i="5" s="1"/>
  <c r="BY40" i="5" s="1"/>
  <c r="CA26" i="5"/>
  <c r="CA25" i="5" s="1"/>
  <c r="CA39" i="5" s="1"/>
  <c r="CA40" i="5" s="1"/>
  <c r="BU28" i="5"/>
  <c r="AZ11" i="5"/>
  <c r="AZ12" i="5"/>
  <c r="AZ13" i="5"/>
  <c r="AZ10" i="5"/>
  <c r="CD26" i="5"/>
  <c r="CD25" i="5" s="1"/>
  <c r="CD39" i="5" s="1"/>
  <c r="CD40" i="5" s="1"/>
  <c r="BX28" i="5"/>
  <c r="R88" i="3"/>
  <c r="CA27" i="1" l="1"/>
  <c r="CA28" i="1" s="1"/>
  <c r="CA27" i="5"/>
  <c r="CB25" i="5"/>
  <c r="CB39" i="5" s="1"/>
  <c r="CB40" i="5" s="1"/>
  <c r="BY27" i="1"/>
  <c r="BY28" i="1" s="1"/>
  <c r="BY27" i="5"/>
  <c r="AX31" i="1"/>
  <c r="AX33" i="5"/>
  <c r="AX34" i="5"/>
  <c r="AZ25" i="1"/>
  <c r="AZ26" i="1" s="1"/>
  <c r="AX39" i="5"/>
  <c r="AX23" i="5"/>
  <c r="AX25" i="1"/>
  <c r="AX22" i="5"/>
  <c r="AX24" i="5" s="1"/>
  <c r="AX37" i="5"/>
  <c r="AX33" i="1"/>
  <c r="AX36" i="5"/>
  <c r="BA35" i="5"/>
  <c r="BA25" i="5"/>
  <c r="BA21" i="5"/>
  <c r="BA25" i="1" s="1"/>
  <c r="BA26" i="1" s="1"/>
  <c r="BA29" i="5"/>
  <c r="BA32" i="5"/>
  <c r="BA31" i="1" s="1"/>
  <c r="BA32" i="1" s="1"/>
  <c r="AZ31" i="1"/>
  <c r="AZ32" i="1" s="1"/>
  <c r="AX27" i="1"/>
  <c r="AX27" i="5"/>
  <c r="AX26" i="5"/>
  <c r="AX28" i="5" s="1"/>
  <c r="AZ29" i="1"/>
  <c r="AZ30" i="1" s="1"/>
  <c r="AZ31" i="5"/>
  <c r="AX31" i="5"/>
  <c r="AX29" i="1"/>
  <c r="AX30" i="5"/>
  <c r="AZ27" i="1"/>
  <c r="AZ28" i="1" s="1"/>
  <c r="AZ27" i="5"/>
  <c r="BV27" i="1"/>
  <c r="CF27" i="1"/>
  <c r="CF28" i="1" s="1"/>
  <c r="CF27" i="5"/>
  <c r="CD27" i="1"/>
  <c r="CD28" i="1" s="1"/>
  <c r="CD27" i="5"/>
  <c r="AZ33" i="1"/>
  <c r="AZ34" i="1" s="1"/>
  <c r="AZ37" i="5"/>
  <c r="AW24" i="5"/>
  <c r="BY28" i="5"/>
  <c r="CE26" i="5"/>
  <c r="CE25" i="5" s="1"/>
  <c r="CE39" i="5" s="1"/>
  <c r="CE40" i="5" s="1"/>
  <c r="CF28" i="5"/>
  <c r="CL26" i="5"/>
  <c r="BB9" i="5"/>
  <c r="CA28" i="5"/>
  <c r="CG26" i="5"/>
  <c r="CG25" i="5" s="1"/>
  <c r="CG39" i="5" s="1"/>
  <c r="CG40" i="5" s="1"/>
  <c r="BA13" i="5"/>
  <c r="BA11" i="5"/>
  <c r="BA10" i="5"/>
  <c r="BA12" i="5"/>
  <c r="CJ26" i="5"/>
  <c r="CD28" i="5"/>
  <c r="S88" i="3"/>
  <c r="AX34" i="1" l="1"/>
  <c r="CE27" i="1"/>
  <c r="CE28" i="1" s="1"/>
  <c r="CE27" i="5"/>
  <c r="AX32" i="1"/>
  <c r="BA29" i="1"/>
  <c r="BA30" i="1" s="1"/>
  <c r="BA31" i="5"/>
  <c r="AX26" i="1"/>
  <c r="CH25" i="5"/>
  <c r="CH39" i="5" s="1"/>
  <c r="CH40" i="5" s="1"/>
  <c r="AX28" i="1"/>
  <c r="BA27" i="1"/>
  <c r="BA28" i="1" s="1"/>
  <c r="BA27" i="5"/>
  <c r="AX40" i="5"/>
  <c r="CB27" i="1"/>
  <c r="CB27" i="5"/>
  <c r="BB25" i="5"/>
  <c r="BB29" i="5"/>
  <c r="BB21" i="5"/>
  <c r="BB25" i="1" s="1"/>
  <c r="BB26" i="1" s="1"/>
  <c r="BB32" i="5"/>
  <c r="BB31" i="1" s="1"/>
  <c r="BB32" i="1" s="1"/>
  <c r="BB35" i="5"/>
  <c r="AX30" i="1"/>
  <c r="BA33" i="1"/>
  <c r="BA34" i="1" s="1"/>
  <c r="BA37" i="5"/>
  <c r="CG27" i="1"/>
  <c r="CG28" i="1" s="1"/>
  <c r="CG27" i="5"/>
  <c r="CJ28" i="5"/>
  <c r="CJ25" i="5"/>
  <c r="CJ39" i="5" s="1"/>
  <c r="CJ40" i="5" s="1"/>
  <c r="CL28" i="5"/>
  <c r="CL25" i="5"/>
  <c r="CL39" i="5" s="1"/>
  <c r="CL40" i="5" s="1"/>
  <c r="BV28" i="1"/>
  <c r="CK26" i="5"/>
  <c r="CE28" i="5"/>
  <c r="BB12" i="5"/>
  <c r="BB10" i="5"/>
  <c r="BB11" i="5"/>
  <c r="BB13" i="5"/>
  <c r="CG28" i="5"/>
  <c r="CM26" i="5"/>
  <c r="BC9" i="5"/>
  <c r="T88" i="3"/>
  <c r="CH27" i="1" l="1"/>
  <c r="CH27" i="5"/>
  <c r="CB28" i="1"/>
  <c r="CB16" i="1"/>
  <c r="CM28" i="5"/>
  <c r="CM25" i="5"/>
  <c r="CM39" i="5" s="1"/>
  <c r="CM40" i="5" s="1"/>
  <c r="CL27" i="1"/>
  <c r="CL28" i="1" s="1"/>
  <c r="CL27" i="5"/>
  <c r="BB33" i="1"/>
  <c r="BB34" i="1" s="1"/>
  <c r="BB37" i="5"/>
  <c r="BB29" i="1"/>
  <c r="BB30" i="1" s="1"/>
  <c r="BB31" i="5"/>
  <c r="BC25" i="5"/>
  <c r="BD25" i="5" s="1"/>
  <c r="BC29" i="5"/>
  <c r="BC32" i="5"/>
  <c r="BC35" i="5"/>
  <c r="BC21" i="5"/>
  <c r="CK28" i="5"/>
  <c r="CK25" i="5"/>
  <c r="CK39" i="5" s="1"/>
  <c r="CK40" i="5" s="1"/>
  <c r="CJ27" i="1"/>
  <c r="CJ28" i="1" s="1"/>
  <c r="CJ27" i="5"/>
  <c r="BB27" i="1"/>
  <c r="BB28" i="1" s="1"/>
  <c r="BB27" i="5"/>
  <c r="BC12" i="5"/>
  <c r="BD12" i="5" s="1"/>
  <c r="BC13" i="5"/>
  <c r="BD13" i="5" s="1"/>
  <c r="BC10" i="5"/>
  <c r="BC11" i="5"/>
  <c r="U88" i="3"/>
  <c r="CN25" i="5" l="1"/>
  <c r="CN39" i="5" s="1"/>
  <c r="CN40" i="5" s="1"/>
  <c r="BD27" i="1"/>
  <c r="BD27" i="5"/>
  <c r="BD26" i="5"/>
  <c r="BD28" i="5" s="1"/>
  <c r="BC33" i="1"/>
  <c r="BC34" i="1" s="1"/>
  <c r="BC37" i="5"/>
  <c r="BC31" i="1"/>
  <c r="BC32" i="1" s="1"/>
  <c r="BD32" i="5"/>
  <c r="BC29" i="1"/>
  <c r="BC30" i="1" s="1"/>
  <c r="BC31" i="5"/>
  <c r="BD29" i="5"/>
  <c r="CK27" i="1"/>
  <c r="CK28" i="1" s="1"/>
  <c r="CK27" i="5"/>
  <c r="CH28" i="1"/>
  <c r="CH16" i="1"/>
  <c r="BC27" i="1"/>
  <c r="BC28" i="1" s="1"/>
  <c r="BC27" i="5"/>
  <c r="BC25" i="1"/>
  <c r="BC26" i="1" s="1"/>
  <c r="BD21" i="5"/>
  <c r="BD35" i="5"/>
  <c r="CM27" i="1"/>
  <c r="CM28" i="1" s="1"/>
  <c r="CM27" i="5"/>
  <c r="BF9" i="5"/>
  <c r="D10" i="7"/>
  <c r="CN27" i="5" l="1"/>
  <c r="CN27" i="1"/>
  <c r="CN28" i="1" s="1"/>
  <c r="BD23" i="5"/>
  <c r="BD25" i="1"/>
  <c r="BD22" i="5"/>
  <c r="BD24" i="5" s="1"/>
  <c r="BD29" i="1"/>
  <c r="BD31" i="5"/>
  <c r="BD30" i="5"/>
  <c r="BD31" i="1"/>
  <c r="BD34" i="5"/>
  <c r="BD33" i="5"/>
  <c r="BD28" i="1"/>
  <c r="BD33" i="1"/>
  <c r="BD36" i="5"/>
  <c r="BD37" i="5"/>
  <c r="BF29" i="5"/>
  <c r="BF21" i="5"/>
  <c r="BF32" i="5"/>
  <c r="BF35" i="5"/>
  <c r="BF25" i="5"/>
  <c r="BD39" i="5"/>
  <c r="BG9" i="5"/>
  <c r="BF13" i="5"/>
  <c r="BF10" i="5"/>
  <c r="BF12" i="5"/>
  <c r="BF11" i="5"/>
  <c r="D11" i="7"/>
  <c r="P119" i="3"/>
  <c r="Q118" i="3"/>
  <c r="Q119" i="3" s="1"/>
  <c r="O112" i="3"/>
  <c r="P111" i="3"/>
  <c r="P112" i="3" s="1"/>
  <c r="U107" i="3"/>
  <c r="V107" i="3" s="1"/>
  <c r="T105" i="3"/>
  <c r="U105" i="3" s="1"/>
  <c r="AC71" i="3"/>
  <c r="AD71" i="3" s="1"/>
  <c r="AA69" i="3"/>
  <c r="I2" i="3"/>
  <c r="F8" i="12" s="1"/>
  <c r="AD375" i="1"/>
  <c r="AE375" i="1" s="1"/>
  <c r="AH375" i="1" s="1"/>
  <c r="AI375" i="1" s="1"/>
  <c r="AJ375" i="1" s="1"/>
  <c r="AK375" i="1" s="1"/>
  <c r="AN375" i="1" s="1"/>
  <c r="AO375" i="1" s="1"/>
  <c r="AP375" i="1" s="1"/>
  <c r="AQ375" i="1" s="1"/>
  <c r="AT375" i="1" s="1"/>
  <c r="AU375" i="1" s="1"/>
  <c r="AV375" i="1" s="1"/>
  <c r="AW375" i="1" s="1"/>
  <c r="AW376" i="1" s="1"/>
  <c r="AW377" i="1" s="1"/>
  <c r="Y371" i="1"/>
  <c r="X371" i="1"/>
  <c r="W371" i="1"/>
  <c r="V371" i="1"/>
  <c r="Y370" i="1"/>
  <c r="X370" i="1"/>
  <c r="W370" i="1"/>
  <c r="V370" i="1"/>
  <c r="AT362" i="1"/>
  <c r="AQ362" i="1"/>
  <c r="AP362" i="1"/>
  <c r="AO362" i="1"/>
  <c r="AN362" i="1"/>
  <c r="AK362" i="1"/>
  <c r="AJ362" i="1"/>
  <c r="AI362" i="1"/>
  <c r="AH362" i="1"/>
  <c r="AE362" i="1"/>
  <c r="AD362" i="1"/>
  <c r="AC362" i="1"/>
  <c r="AB362" i="1"/>
  <c r="AC347" i="1"/>
  <c r="AD347" i="1" s="1"/>
  <c r="AE347" i="1" s="1"/>
  <c r="AL345" i="1"/>
  <c r="AN345" i="1" s="1"/>
  <c r="AO345" i="1" s="1"/>
  <c r="AP345" i="1" s="1"/>
  <c r="AQ345" i="1" s="1"/>
  <c r="AR345" i="1" s="1"/>
  <c r="AT345" i="1" s="1"/>
  <c r="AU345" i="1" s="1"/>
  <c r="AV345" i="1" s="1"/>
  <c r="AW345" i="1" s="1"/>
  <c r="AX345" i="1" s="1"/>
  <c r="BA345" i="1" s="1"/>
  <c r="BB345" i="1" s="1"/>
  <c r="BC345" i="1" s="1"/>
  <c r="BD345" i="1" s="1"/>
  <c r="BF345" i="1" s="1"/>
  <c r="BG345" i="1" s="1"/>
  <c r="BH345" i="1" s="1"/>
  <c r="BI345" i="1" s="1"/>
  <c r="BJ345" i="1" s="1"/>
  <c r="BL345" i="1" s="1"/>
  <c r="BM345" i="1" s="1"/>
  <c r="BN345" i="1" s="1"/>
  <c r="BO345" i="1" s="1"/>
  <c r="BP345" i="1" s="1"/>
  <c r="BR345" i="1" s="1"/>
  <c r="BS345" i="1" s="1"/>
  <c r="BT345" i="1" s="1"/>
  <c r="BU345" i="1" s="1"/>
  <c r="BV345" i="1" s="1"/>
  <c r="BX345" i="1" s="1"/>
  <c r="BY345" i="1" s="1"/>
  <c r="BZ345" i="1" s="1"/>
  <c r="CA345" i="1" s="1"/>
  <c r="CB345" i="1" s="1"/>
  <c r="CD345" i="1" s="1"/>
  <c r="CE345" i="1" s="1"/>
  <c r="CF345" i="1" s="1"/>
  <c r="CG345" i="1" s="1"/>
  <c r="CH345" i="1" s="1"/>
  <c r="CJ345" i="1" s="1"/>
  <c r="CK345" i="1" s="1"/>
  <c r="CL345" i="1" s="1"/>
  <c r="CM345" i="1" s="1"/>
  <c r="CN345" i="1" s="1"/>
  <c r="AC345" i="1"/>
  <c r="AD345" i="1" s="1"/>
  <c r="AE345" i="1" s="1"/>
  <c r="AF345" i="1" s="1"/>
  <c r="AH345" i="1" s="1"/>
  <c r="AI345" i="1" s="1"/>
  <c r="AJ345" i="1" s="1"/>
  <c r="B339" i="1"/>
  <c r="B337" i="1"/>
  <c r="B335" i="1"/>
  <c r="B333" i="1"/>
  <c r="B331" i="1"/>
  <c r="B329" i="1"/>
  <c r="B327" i="1"/>
  <c r="B325" i="1"/>
  <c r="B323" i="1"/>
  <c r="B321" i="1"/>
  <c r="B319" i="1"/>
  <c r="B317" i="1"/>
  <c r="B315" i="1"/>
  <c r="B313" i="1"/>
  <c r="B311" i="1"/>
  <c r="B309" i="1"/>
  <c r="B307" i="1"/>
  <c r="B305" i="1"/>
  <c r="B303" i="1"/>
  <c r="B301" i="1"/>
  <c r="B299" i="1"/>
  <c r="B297" i="1"/>
  <c r="B295" i="1"/>
  <c r="B293" i="1"/>
  <c r="B291" i="1"/>
  <c r="B289" i="1"/>
  <c r="B287" i="1"/>
  <c r="B285" i="1"/>
  <c r="B283" i="1"/>
  <c r="B281" i="1"/>
  <c r="B279" i="1"/>
  <c r="B277" i="1"/>
  <c r="B275" i="1"/>
  <c r="B273" i="1"/>
  <c r="B271" i="1"/>
  <c r="B269" i="1"/>
  <c r="B267" i="1"/>
  <c r="B265" i="1"/>
  <c r="B263" i="1"/>
  <c r="B261" i="1"/>
  <c r="AD132" i="1"/>
  <c r="AC132" i="1"/>
  <c r="AB132" i="1"/>
  <c r="Y132" i="1"/>
  <c r="X132" i="1"/>
  <c r="W132" i="1"/>
  <c r="V132" i="1"/>
  <c r="S132" i="1"/>
  <c r="R132" i="1"/>
  <c r="Q132" i="1"/>
  <c r="P132" i="1"/>
  <c r="AW130" i="1"/>
  <c r="AX130" i="1" s="1"/>
  <c r="AZ130" i="1" s="1"/>
  <c r="BA130" i="1" s="1"/>
  <c r="BB130" i="1" s="1"/>
  <c r="BC130" i="1" s="1"/>
  <c r="BD130" i="1" s="1"/>
  <c r="BF130" i="1" s="1"/>
  <c r="BG130" i="1" s="1"/>
  <c r="BH130" i="1" s="1"/>
  <c r="BI130" i="1" s="1"/>
  <c r="BJ130" i="1" s="1"/>
  <c r="BL130" i="1" s="1"/>
  <c r="BM130" i="1" s="1"/>
  <c r="BN130" i="1" s="1"/>
  <c r="BO130" i="1" s="1"/>
  <c r="BP130" i="1" s="1"/>
  <c r="BR130" i="1" s="1"/>
  <c r="BS130" i="1" s="1"/>
  <c r="BT130" i="1" s="1"/>
  <c r="BU130" i="1" s="1"/>
  <c r="BV130" i="1" s="1"/>
  <c r="BX130" i="1" s="1"/>
  <c r="BY130" i="1" s="1"/>
  <c r="BZ130" i="1" s="1"/>
  <c r="CA130" i="1" s="1"/>
  <c r="CB130" i="1" s="1"/>
  <c r="CD130" i="1" s="1"/>
  <c r="CE130" i="1" s="1"/>
  <c r="CF130" i="1" s="1"/>
  <c r="CG130" i="1" s="1"/>
  <c r="CH130" i="1" s="1"/>
  <c r="CJ130" i="1" s="1"/>
  <c r="CK130" i="1" s="1"/>
  <c r="CL130" i="1" s="1"/>
  <c r="CM130" i="1" s="1"/>
  <c r="CN130" i="1" s="1"/>
  <c r="AW127" i="1"/>
  <c r="AC121" i="1"/>
  <c r="AC125" i="1" s="1"/>
  <c r="AB121" i="1"/>
  <c r="AB125" i="1" s="1"/>
  <c r="Y121" i="1"/>
  <c r="Y125" i="1" s="1"/>
  <c r="X121" i="1"/>
  <c r="X125" i="1" s="1"/>
  <c r="W121" i="1"/>
  <c r="W125" i="1" s="1"/>
  <c r="V121" i="1"/>
  <c r="V125" i="1" s="1"/>
  <c r="S121" i="1"/>
  <c r="S125" i="1" s="1"/>
  <c r="R121" i="1"/>
  <c r="R125" i="1" s="1"/>
  <c r="Q121" i="1"/>
  <c r="Q125" i="1" s="1"/>
  <c r="P121" i="1"/>
  <c r="P125" i="1" s="1"/>
  <c r="AW106" i="1"/>
  <c r="AX106" i="1" s="1"/>
  <c r="AC104" i="1"/>
  <c r="AC111" i="1" s="1"/>
  <c r="AB104" i="1"/>
  <c r="AB111" i="1" s="1"/>
  <c r="Y104" i="1"/>
  <c r="Y111" i="1" s="1"/>
  <c r="X104" i="1"/>
  <c r="X111" i="1" s="1"/>
  <c r="W104" i="1"/>
  <c r="W111" i="1" s="1"/>
  <c r="V104" i="1"/>
  <c r="V111" i="1" s="1"/>
  <c r="S104" i="1"/>
  <c r="S111" i="1" s="1"/>
  <c r="R104" i="1"/>
  <c r="R111" i="1" s="1"/>
  <c r="Q104" i="1"/>
  <c r="Q111" i="1" s="1"/>
  <c r="P104" i="1"/>
  <c r="P111" i="1" s="1"/>
  <c r="N86" i="1"/>
  <c r="AF83" i="1"/>
  <c r="Z83" i="1"/>
  <c r="T83" i="1"/>
  <c r="N83" i="1"/>
  <c r="Z371" i="1"/>
  <c r="Z370" i="1"/>
  <c r="BD75" i="1"/>
  <c r="BC75" i="1"/>
  <c r="BB75" i="1"/>
  <c r="BA75" i="1"/>
  <c r="AZ75" i="1"/>
  <c r="AW75" i="1"/>
  <c r="AV75" i="1"/>
  <c r="AU75" i="1"/>
  <c r="AT75" i="1"/>
  <c r="AR75" i="1"/>
  <c r="AQ75" i="1"/>
  <c r="AP75" i="1"/>
  <c r="AO75" i="1"/>
  <c r="AN75" i="1"/>
  <c r="AL75" i="1"/>
  <c r="AK75" i="1"/>
  <c r="AJ75" i="1"/>
  <c r="AI75" i="1"/>
  <c r="AH75" i="1"/>
  <c r="AF75" i="1"/>
  <c r="AE75" i="1"/>
  <c r="AD75" i="1"/>
  <c r="AC75" i="1"/>
  <c r="AB75" i="1"/>
  <c r="Z75" i="1"/>
  <c r="Y75" i="1"/>
  <c r="X75" i="1"/>
  <c r="W75" i="1"/>
  <c r="V75" i="1"/>
  <c r="B31" i="1"/>
  <c r="C20" i="3" s="1"/>
  <c r="AR29" i="1"/>
  <c r="AQ29" i="1"/>
  <c r="AP29" i="1"/>
  <c r="AO29" i="1"/>
  <c r="AN29" i="1"/>
  <c r="AL29" i="1"/>
  <c r="AK29" i="1"/>
  <c r="AJ29" i="1"/>
  <c r="AI29" i="1"/>
  <c r="AH29" i="1"/>
  <c r="AF29" i="1"/>
  <c r="AE29" i="1"/>
  <c r="AD29" i="1"/>
  <c r="AC29" i="1"/>
  <c r="AB29" i="1"/>
  <c r="Z29" i="1"/>
  <c r="Y29" i="1"/>
  <c r="X29" i="1"/>
  <c r="W29" i="1"/>
  <c r="V29" i="1"/>
  <c r="T29" i="1"/>
  <c r="S29" i="1"/>
  <c r="R29" i="1"/>
  <c r="Q29" i="1"/>
  <c r="P29" i="1"/>
  <c r="N29" i="1"/>
  <c r="M29" i="1"/>
  <c r="L29" i="1"/>
  <c r="K29" i="1"/>
  <c r="J29" i="1"/>
  <c r="B29" i="1"/>
  <c r="C18" i="3" s="1"/>
  <c r="AR27" i="1"/>
  <c r="AQ27" i="1"/>
  <c r="AP27" i="1"/>
  <c r="AO27" i="1"/>
  <c r="AN27" i="1"/>
  <c r="AL27" i="1"/>
  <c r="AK27" i="1"/>
  <c r="AJ27" i="1"/>
  <c r="AI27" i="1"/>
  <c r="AH27" i="1"/>
  <c r="AF27" i="1"/>
  <c r="AE27" i="1"/>
  <c r="AD27" i="1"/>
  <c r="AC27" i="1"/>
  <c r="AB27" i="1"/>
  <c r="Z27" i="1"/>
  <c r="Y27" i="1"/>
  <c r="X27" i="1"/>
  <c r="W27" i="1"/>
  <c r="V27" i="1"/>
  <c r="T27" i="1"/>
  <c r="S27" i="1"/>
  <c r="R27" i="1"/>
  <c r="Q27" i="1"/>
  <c r="P27" i="1"/>
  <c r="N27" i="1"/>
  <c r="M27" i="1"/>
  <c r="L27" i="1"/>
  <c r="K27" i="1"/>
  <c r="J27" i="1"/>
  <c r="B27" i="1"/>
  <c r="C16" i="3" s="1"/>
  <c r="AN25" i="1"/>
  <c r="B25" i="1"/>
  <c r="C14" i="3" s="1"/>
  <c r="AO21" i="1"/>
  <c r="S21" i="1"/>
  <c r="B19" i="1"/>
  <c r="AB8" i="1"/>
  <c r="T8" i="1"/>
  <c r="M8" i="1"/>
  <c r="F8" i="1"/>
  <c r="B8" i="1"/>
  <c r="AN7" i="1"/>
  <c r="AT17" i="1" s="1"/>
  <c r="AF7" i="1"/>
  <c r="Y7" i="1"/>
  <c r="R7" i="1"/>
  <c r="K7" i="1"/>
  <c r="B7" i="1"/>
  <c r="N4" i="1"/>
  <c r="AR21" i="1"/>
  <c r="H21" i="1"/>
  <c r="AF21" i="1"/>
  <c r="Z21" i="1"/>
  <c r="AQ31" i="1"/>
  <c r="AO31" i="1"/>
  <c r="AK31" i="1"/>
  <c r="AJ31" i="1"/>
  <c r="AH31" i="1"/>
  <c r="AE31" i="1"/>
  <c r="AD31" i="1"/>
  <c r="AC31" i="1"/>
  <c r="X31" i="1"/>
  <c r="W31" i="1"/>
  <c r="S31" i="1"/>
  <c r="Q31" i="1"/>
  <c r="P31" i="1"/>
  <c r="L31" i="1"/>
  <c r="J31" i="1"/>
  <c r="AQ25" i="1"/>
  <c r="AP25" i="1"/>
  <c r="AO25" i="1"/>
  <c r="AK25" i="1"/>
  <c r="AJ25" i="1"/>
  <c r="AI25" i="1"/>
  <c r="AH25" i="1"/>
  <c r="AE25" i="1"/>
  <c r="AD25" i="1"/>
  <c r="AC25" i="1"/>
  <c r="Y25" i="1"/>
  <c r="X25" i="1"/>
  <c r="W25" i="1"/>
  <c r="V25" i="1"/>
  <c r="S25" i="1"/>
  <c r="R25" i="1"/>
  <c r="Q25" i="1"/>
  <c r="P25" i="1"/>
  <c r="M25" i="1"/>
  <c r="L25" i="1"/>
  <c r="K25" i="1"/>
  <c r="J25" i="1"/>
  <c r="AQ21" i="1"/>
  <c r="AP21" i="1"/>
  <c r="AN21" i="1"/>
  <c r="AL21" i="1"/>
  <c r="AK21" i="1"/>
  <c r="AJ21" i="1"/>
  <c r="AI21" i="1"/>
  <c r="AH21" i="1"/>
  <c r="AE21" i="1"/>
  <c r="AD21" i="1"/>
  <c r="AC21" i="1"/>
  <c r="AB21" i="1"/>
  <c r="Y21" i="1"/>
  <c r="X21" i="1"/>
  <c r="W21" i="1"/>
  <c r="V21" i="1"/>
  <c r="T21" i="1"/>
  <c r="R21" i="1"/>
  <c r="Q21" i="1"/>
  <c r="P21" i="1"/>
  <c r="N21" i="1"/>
  <c r="M21" i="1"/>
  <c r="L21" i="1"/>
  <c r="K21" i="1"/>
  <c r="J21" i="1"/>
  <c r="G21" i="1"/>
  <c r="F21" i="1"/>
  <c r="E21" i="1"/>
  <c r="D21" i="1"/>
  <c r="AR8" i="1"/>
  <c r="AQ8" i="1"/>
  <c r="AW18" i="1" s="1"/>
  <c r="AP8" i="1"/>
  <c r="AV18" i="1" s="1"/>
  <c r="AO8" i="1"/>
  <c r="AU18" i="1" s="1"/>
  <c r="AN8" i="1"/>
  <c r="AT18" i="1" s="1"/>
  <c r="AL8" i="1"/>
  <c r="AK8" i="1"/>
  <c r="AJ8" i="1"/>
  <c r="AI8" i="1"/>
  <c r="AF8" i="1"/>
  <c r="AE8" i="1"/>
  <c r="AD8" i="1"/>
  <c r="AC8" i="1"/>
  <c r="Z8" i="1"/>
  <c r="Y8" i="1"/>
  <c r="X8" i="1"/>
  <c r="W8" i="1"/>
  <c r="V8" i="1"/>
  <c r="S8" i="1"/>
  <c r="R8" i="1"/>
  <c r="Q8" i="1"/>
  <c r="P8" i="1"/>
  <c r="N8" i="1"/>
  <c r="L8" i="1"/>
  <c r="K8" i="1"/>
  <c r="J8" i="1"/>
  <c r="H8" i="1"/>
  <c r="G7" i="3" s="1"/>
  <c r="G8" i="1"/>
  <c r="E8" i="1"/>
  <c r="D8" i="1"/>
  <c r="AQ7" i="1"/>
  <c r="AW17" i="1" s="1"/>
  <c r="AP7" i="1"/>
  <c r="AV17" i="1" s="1"/>
  <c r="AK7" i="1"/>
  <c r="AJ7" i="1"/>
  <c r="AE7" i="1"/>
  <c r="AD7" i="1"/>
  <c r="AB7" i="1"/>
  <c r="X7" i="1"/>
  <c r="W7" i="1"/>
  <c r="Q7" i="1"/>
  <c r="P7" i="1"/>
  <c r="M7" i="1"/>
  <c r="J7" i="1"/>
  <c r="G7" i="1"/>
  <c r="H47" i="3" l="1"/>
  <c r="H52" i="3"/>
  <c r="H54" i="3"/>
  <c r="H53" i="3"/>
  <c r="AE71" i="3"/>
  <c r="AW371" i="1"/>
  <c r="AW370" i="1"/>
  <c r="AP90" i="1"/>
  <c r="AP91" i="1"/>
  <c r="M90" i="1"/>
  <c r="M91" i="1"/>
  <c r="D91" i="1"/>
  <c r="D90" i="1"/>
  <c r="N90" i="1"/>
  <c r="N91" i="1"/>
  <c r="Y90" i="1"/>
  <c r="Y91" i="1"/>
  <c r="AK91" i="1"/>
  <c r="AK90" i="1"/>
  <c r="AZ106" i="1"/>
  <c r="AX89" i="1"/>
  <c r="R91" i="1"/>
  <c r="R90" i="1"/>
  <c r="X91" i="1"/>
  <c r="X90" i="1"/>
  <c r="H48" i="3"/>
  <c r="H40" i="3"/>
  <c r="H60" i="3"/>
  <c r="H41" i="3"/>
  <c r="H61" i="3"/>
  <c r="H42" i="3"/>
  <c r="H64" i="3"/>
  <c r="H45" i="3"/>
  <c r="H38" i="3"/>
  <c r="H37" i="3"/>
  <c r="H39" i="3"/>
  <c r="H62" i="3"/>
  <c r="H43" i="3"/>
  <c r="E91" i="1"/>
  <c r="E90" i="1"/>
  <c r="AJ90" i="1"/>
  <c r="AJ91" i="1"/>
  <c r="P90" i="1"/>
  <c r="P91" i="1"/>
  <c r="AL90" i="1"/>
  <c r="AL91" i="1"/>
  <c r="F91" i="1"/>
  <c r="F90" i="1"/>
  <c r="Q90" i="1"/>
  <c r="Q91" i="1"/>
  <c r="AN91" i="1"/>
  <c r="AN90" i="1"/>
  <c r="Z90" i="1"/>
  <c r="Z91" i="1"/>
  <c r="J91" i="1"/>
  <c r="J90" i="1"/>
  <c r="T90" i="1"/>
  <c r="T91" i="1"/>
  <c r="AQ90" i="1"/>
  <c r="AW90" i="1" s="1"/>
  <c r="BC90" i="1" s="1"/>
  <c r="BI90" i="1" s="1"/>
  <c r="AQ91" i="1"/>
  <c r="AW91" i="1" s="1"/>
  <c r="S91" i="1"/>
  <c r="S90" i="1"/>
  <c r="K90" i="1"/>
  <c r="K91" i="1"/>
  <c r="AH90" i="1"/>
  <c r="AH91" i="1"/>
  <c r="G91" i="1"/>
  <c r="G90" i="1"/>
  <c r="V91" i="1"/>
  <c r="V90" i="1"/>
  <c r="G12" i="3"/>
  <c r="G32" i="3" s="1"/>
  <c r="H90" i="1"/>
  <c r="H91" i="1"/>
  <c r="AO91" i="1"/>
  <c r="AO90" i="1"/>
  <c r="L90" i="1"/>
  <c r="L91" i="1"/>
  <c r="W91" i="1"/>
  <c r="W90" i="1"/>
  <c r="AI90" i="1"/>
  <c r="AI91" i="1"/>
  <c r="AR90" i="1"/>
  <c r="AR91" i="1"/>
  <c r="AC90" i="1"/>
  <c r="AC91" i="1"/>
  <c r="AB91" i="1"/>
  <c r="AB90" i="1"/>
  <c r="AD90" i="1"/>
  <c r="AD91" i="1"/>
  <c r="AE90" i="1"/>
  <c r="AE91" i="1"/>
  <c r="AF90" i="1"/>
  <c r="AF91" i="1"/>
  <c r="H12" i="3"/>
  <c r="H58" i="3"/>
  <c r="H59" i="3" s="1"/>
  <c r="H22" i="3"/>
  <c r="H27" i="3"/>
  <c r="H7" i="3"/>
  <c r="H8" i="3" s="1"/>
  <c r="H18" i="3"/>
  <c r="H16" i="3"/>
  <c r="CN16" i="1"/>
  <c r="BF39" i="5"/>
  <c r="BF33" i="1"/>
  <c r="BF34" i="1" s="1"/>
  <c r="BF37" i="5"/>
  <c r="BL37" i="5"/>
  <c r="BF31" i="1"/>
  <c r="BF32" i="1" s="1"/>
  <c r="BG29" i="5"/>
  <c r="BG21" i="5"/>
  <c r="BG32" i="5"/>
  <c r="BG31" i="1" s="1"/>
  <c r="BG32" i="1" s="1"/>
  <c r="BG35" i="5"/>
  <c r="BG25" i="5"/>
  <c r="BF25" i="1"/>
  <c r="BF26" i="1" s="1"/>
  <c r="BF23" i="5"/>
  <c r="BL23" i="5"/>
  <c r="BD30" i="1"/>
  <c r="AX18" i="1"/>
  <c r="BF29" i="1"/>
  <c r="BF30" i="1" s="1"/>
  <c r="BF31" i="5"/>
  <c r="BL31" i="5"/>
  <c r="BD32" i="1"/>
  <c r="BD40" i="5"/>
  <c r="BD26" i="1"/>
  <c r="BD16" i="1"/>
  <c r="BD34" i="1"/>
  <c r="BF27" i="1"/>
  <c r="BF28" i="1" s="1"/>
  <c r="BF27" i="5"/>
  <c r="BL27" i="5"/>
  <c r="W133" i="1"/>
  <c r="W134" i="1" s="1"/>
  <c r="R133" i="1"/>
  <c r="R134" i="1" s="1"/>
  <c r="AD121" i="1"/>
  <c r="AD125" i="1" s="1"/>
  <c r="AD133" i="1" s="1"/>
  <c r="Y133" i="1"/>
  <c r="Y134" i="1" s="1"/>
  <c r="P133" i="1"/>
  <c r="P134" i="1" s="1"/>
  <c r="AB133" i="1"/>
  <c r="AB134" i="1" s="1"/>
  <c r="T121" i="1"/>
  <c r="T125" i="1" s="1"/>
  <c r="AC133" i="1"/>
  <c r="AC134" i="1" s="1"/>
  <c r="S133" i="1"/>
  <c r="S134" i="1" s="1"/>
  <c r="Q111" i="3"/>
  <c r="Q112" i="3" s="1"/>
  <c r="AF132" i="1"/>
  <c r="G9" i="1"/>
  <c r="AO18" i="1"/>
  <c r="AQ17" i="1"/>
  <c r="D9" i="1"/>
  <c r="J17" i="1"/>
  <c r="W18" i="1"/>
  <c r="K9" i="1"/>
  <c r="AE17" i="1"/>
  <c r="N18" i="1"/>
  <c r="V18" i="1"/>
  <c r="BH9" i="5"/>
  <c r="L18" i="1"/>
  <c r="Q17" i="1"/>
  <c r="BG13" i="5"/>
  <c r="BG12" i="5"/>
  <c r="BG11" i="5"/>
  <c r="BG10" i="5"/>
  <c r="AJ17" i="1"/>
  <c r="AQ18" i="1"/>
  <c r="P18" i="1"/>
  <c r="AJ18" i="1"/>
  <c r="S18" i="1"/>
  <c r="AC18" i="1"/>
  <c r="R118" i="3"/>
  <c r="R119" i="3" s="1"/>
  <c r="N7" i="1"/>
  <c r="H5" i="3" s="1"/>
  <c r="Y31" i="1"/>
  <c r="AI31" i="1"/>
  <c r="AB25" i="1"/>
  <c r="R31" i="1"/>
  <c r="W9" i="1"/>
  <c r="Z18" i="1"/>
  <c r="H7" i="1"/>
  <c r="X17" i="1"/>
  <c r="Z7" i="1"/>
  <c r="AC7" i="1"/>
  <c r="AC17" i="1" s="1"/>
  <c r="Q9" i="1"/>
  <c r="AE9" i="1"/>
  <c r="P9" i="1"/>
  <c r="AB31" i="1"/>
  <c r="J9" i="1"/>
  <c r="X9" i="1"/>
  <c r="V7" i="1"/>
  <c r="V17" i="1" s="1"/>
  <c r="AD9" i="1"/>
  <c r="R9" i="1"/>
  <c r="Y9" i="1"/>
  <c r="AF9" i="1"/>
  <c r="AN9" i="1"/>
  <c r="AP31" i="1"/>
  <c r="AK9" i="1"/>
  <c r="C5" i="3"/>
  <c r="B12" i="1"/>
  <c r="B17" i="1" s="1"/>
  <c r="AH8" i="1"/>
  <c r="AH18" i="1" s="1"/>
  <c r="AL25" i="1"/>
  <c r="K31" i="1"/>
  <c r="E7" i="1"/>
  <c r="E9" i="1" s="1"/>
  <c r="L7" i="1"/>
  <c r="L9" i="1" s="1"/>
  <c r="S7" i="1"/>
  <c r="S9" i="1" s="1"/>
  <c r="AH7" i="1"/>
  <c r="AO7" i="1"/>
  <c r="Z31" i="1"/>
  <c r="AL31" i="1"/>
  <c r="F7" i="1"/>
  <c r="AI7" i="1"/>
  <c r="AI9" i="1" s="1"/>
  <c r="B13" i="1"/>
  <c r="B18" i="1" s="1"/>
  <c r="C7" i="3"/>
  <c r="M31" i="1"/>
  <c r="AN31" i="1"/>
  <c r="AD18" i="1"/>
  <c r="AK18" i="1"/>
  <c r="AR18" i="1"/>
  <c r="T4" i="1"/>
  <c r="V31" i="1"/>
  <c r="T104" i="1"/>
  <c r="T111" i="1" s="1"/>
  <c r="Z104" i="1"/>
  <c r="Z111" i="1" s="1"/>
  <c r="V133" i="1"/>
  <c r="V134" i="1" s="1"/>
  <c r="Z121" i="1"/>
  <c r="Z125" i="1" s="1"/>
  <c r="T132" i="1"/>
  <c r="AE132" i="1"/>
  <c r="Z132" i="1"/>
  <c r="V105" i="3"/>
  <c r="J2" i="3"/>
  <c r="G8" i="12" s="1"/>
  <c r="M9" i="1"/>
  <c r="AB9" i="1"/>
  <c r="AP9" i="1"/>
  <c r="P17" i="1"/>
  <c r="W17" i="1"/>
  <c r="AD17" i="1"/>
  <c r="AK17" i="1"/>
  <c r="J18" i="1"/>
  <c r="Q18" i="1"/>
  <c r="X18" i="1"/>
  <c r="AE18" i="1"/>
  <c r="AL18" i="1"/>
  <c r="AJ9" i="1"/>
  <c r="AQ9" i="1"/>
  <c r="K18" i="1"/>
  <c r="R18" i="1"/>
  <c r="Y18" i="1"/>
  <c r="AF18" i="1"/>
  <c r="M18" i="1"/>
  <c r="T18" i="1"/>
  <c r="AB18" i="1"/>
  <c r="AI18" i="1"/>
  <c r="AP18" i="1"/>
  <c r="M17" i="1"/>
  <c r="AP17" i="1"/>
  <c r="AX128" i="1"/>
  <c r="AT132" i="1"/>
  <c r="AX127" i="1"/>
  <c r="AZ127" i="1" s="1"/>
  <c r="BA127" i="1" s="1"/>
  <c r="BB127" i="1" s="1"/>
  <c r="BC127" i="1" s="1"/>
  <c r="BD127" i="1" s="1"/>
  <c r="BF127" i="1" s="1"/>
  <c r="BG127" i="1" s="1"/>
  <c r="BH127" i="1" s="1"/>
  <c r="BI127" i="1" s="1"/>
  <c r="BJ127" i="1" s="1"/>
  <c r="BL127" i="1" s="1"/>
  <c r="BM127" i="1" s="1"/>
  <c r="BN127" i="1" s="1"/>
  <c r="BO127" i="1" s="1"/>
  <c r="BP127" i="1" s="1"/>
  <c r="BR127" i="1" s="1"/>
  <c r="BS127" i="1" s="1"/>
  <c r="BT127" i="1" s="1"/>
  <c r="BU127" i="1" s="1"/>
  <c r="BV127" i="1" s="1"/>
  <c r="BX127" i="1" s="1"/>
  <c r="BY127" i="1" s="1"/>
  <c r="BZ127" i="1" s="1"/>
  <c r="CA127" i="1" s="1"/>
  <c r="CB127" i="1" s="1"/>
  <c r="CD127" i="1" s="1"/>
  <c r="CE127" i="1" s="1"/>
  <c r="CF127" i="1" s="1"/>
  <c r="CG127" i="1" s="1"/>
  <c r="CH127" i="1" s="1"/>
  <c r="CJ127" i="1" s="1"/>
  <c r="CK127" i="1" s="1"/>
  <c r="CL127" i="1" s="1"/>
  <c r="CM127" i="1" s="1"/>
  <c r="CN127" i="1" s="1"/>
  <c r="AD104" i="1"/>
  <c r="AE121" i="1"/>
  <c r="X133" i="1"/>
  <c r="X134" i="1" s="1"/>
  <c r="Q133" i="1"/>
  <c r="Q134" i="1" s="1"/>
  <c r="AH347" i="1"/>
  <c r="AI347" i="1" s="1"/>
  <c r="AJ347" i="1" s="1"/>
  <c r="AK347" i="1" s="1"/>
  <c r="AF347" i="1"/>
  <c r="AR362" i="1"/>
  <c r="AL362" i="1"/>
  <c r="AF362" i="1"/>
  <c r="T25" i="1"/>
  <c r="AF25" i="1"/>
  <c r="Z25" i="1"/>
  <c r="N31" i="1"/>
  <c r="H20" i="3" s="1"/>
  <c r="N25" i="1"/>
  <c r="H14" i="3" s="1"/>
  <c r="AR25" i="1"/>
  <c r="T31" i="1"/>
  <c r="AR31" i="1"/>
  <c r="I54" i="3" l="1"/>
  <c r="I52" i="3"/>
  <c r="I53" i="3"/>
  <c r="AZ370" i="1"/>
  <c r="AW80" i="1"/>
  <c r="AW179" i="1" s="1"/>
  <c r="AZ371" i="1"/>
  <c r="AZ81" i="1" s="1"/>
  <c r="AW81" i="1"/>
  <c r="AX81" i="1" s="1"/>
  <c r="AX371" i="1" s="1"/>
  <c r="H49" i="3"/>
  <c r="AZ128" i="1"/>
  <c r="BA128" i="1" s="1"/>
  <c r="BB128" i="1" s="1"/>
  <c r="BC128" i="1" s="1"/>
  <c r="BD128" i="1" s="1"/>
  <c r="AJ87" i="1"/>
  <c r="AJ93" i="1"/>
  <c r="AJ96" i="1"/>
  <c r="AJ88" i="1"/>
  <c r="AJ89" i="1"/>
  <c r="AJ92" i="1"/>
  <c r="AJ95" i="1"/>
  <c r="AJ94" i="1"/>
  <c r="R87" i="1"/>
  <c r="R93" i="1"/>
  <c r="R96" i="1"/>
  <c r="R88" i="1"/>
  <c r="R94" i="1"/>
  <c r="R92" i="1"/>
  <c r="R89" i="1"/>
  <c r="R95" i="1"/>
  <c r="Q93" i="1"/>
  <c r="Q96" i="1"/>
  <c r="Q88" i="1"/>
  <c r="Q89" i="1"/>
  <c r="Q92" i="1"/>
  <c r="Q95" i="1"/>
  <c r="Q94" i="1"/>
  <c r="I39" i="3"/>
  <c r="I62" i="3"/>
  <c r="D87" i="1"/>
  <c r="D93" i="1"/>
  <c r="D96" i="1"/>
  <c r="D88" i="1"/>
  <c r="D94" i="1"/>
  <c r="D92" i="1"/>
  <c r="D89" i="1"/>
  <c r="D95" i="1"/>
  <c r="I43" i="3"/>
  <c r="BA106" i="1"/>
  <c r="BA152" i="1" s="1"/>
  <c r="S87" i="1"/>
  <c r="S96" i="1"/>
  <c r="S88" i="1"/>
  <c r="S94" i="1"/>
  <c r="S89" i="1"/>
  <c r="S93" i="1"/>
  <c r="S92" i="1"/>
  <c r="S95" i="1"/>
  <c r="AK93" i="1"/>
  <c r="AK96" i="1"/>
  <c r="AK88" i="1"/>
  <c r="AK94" i="1"/>
  <c r="AK92" i="1"/>
  <c r="AK95" i="1"/>
  <c r="AK89" i="1"/>
  <c r="X87" i="1"/>
  <c r="X94" i="1"/>
  <c r="X89" i="1"/>
  <c r="X92" i="1"/>
  <c r="X93" i="1"/>
  <c r="X96" i="1"/>
  <c r="X88" i="1"/>
  <c r="X95" i="1"/>
  <c r="I64" i="3"/>
  <c r="I37" i="3"/>
  <c r="I61" i="3"/>
  <c r="AP87" i="1"/>
  <c r="AP89" i="1"/>
  <c r="AP92" i="1"/>
  <c r="AP95" i="1"/>
  <c r="AP96" i="1"/>
  <c r="AP88" i="1"/>
  <c r="AP93" i="1"/>
  <c r="AP94" i="1"/>
  <c r="L92" i="1"/>
  <c r="L93" i="1"/>
  <c r="L94" i="1"/>
  <c r="L88" i="1"/>
  <c r="L96" i="1"/>
  <c r="L89" i="1"/>
  <c r="L95" i="1"/>
  <c r="J94" i="1"/>
  <c r="J89" i="1"/>
  <c r="J92" i="1"/>
  <c r="J93" i="1"/>
  <c r="J96" i="1"/>
  <c r="J88" i="1"/>
  <c r="J95" i="1"/>
  <c r="BC91" i="1"/>
  <c r="I48" i="3"/>
  <c r="I38" i="3"/>
  <c r="I42" i="3"/>
  <c r="AI95" i="1"/>
  <c r="AI93" i="1"/>
  <c r="AI96" i="1"/>
  <c r="AI88" i="1"/>
  <c r="AI94" i="1"/>
  <c r="AI89" i="1"/>
  <c r="AI92" i="1"/>
  <c r="E96" i="1"/>
  <c r="E88" i="1"/>
  <c r="E94" i="1"/>
  <c r="E89" i="1"/>
  <c r="E92" i="1"/>
  <c r="E93" i="1"/>
  <c r="E95" i="1"/>
  <c r="AN87" i="1"/>
  <c r="AN94" i="1"/>
  <c r="AN89" i="1"/>
  <c r="AN92" i="1"/>
  <c r="AN93" i="1"/>
  <c r="AN96" i="1"/>
  <c r="AN95" i="1"/>
  <c r="AN88" i="1"/>
  <c r="G87" i="1"/>
  <c r="G94" i="1"/>
  <c r="G89" i="1"/>
  <c r="G92" i="1"/>
  <c r="G93" i="1"/>
  <c r="G96" i="1"/>
  <c r="G88" i="1"/>
  <c r="G95" i="1"/>
  <c r="BO90" i="1"/>
  <c r="I45" i="3"/>
  <c r="I40" i="3"/>
  <c r="I60" i="3"/>
  <c r="M34" i="1"/>
  <c r="M93" i="1"/>
  <c r="M96" i="1"/>
  <c r="M88" i="1"/>
  <c r="M94" i="1"/>
  <c r="M89" i="1"/>
  <c r="M92" i="1"/>
  <c r="M95" i="1"/>
  <c r="P87" i="1"/>
  <c r="P93" i="1"/>
  <c r="P96" i="1"/>
  <c r="P88" i="1"/>
  <c r="P94" i="1"/>
  <c r="P89" i="1"/>
  <c r="P92" i="1"/>
  <c r="P95" i="1"/>
  <c r="AQ92" i="1"/>
  <c r="AW92" i="1" s="1"/>
  <c r="AQ95" i="1"/>
  <c r="AW95" i="1" s="1"/>
  <c r="AQ93" i="1"/>
  <c r="AW93" i="1" s="1"/>
  <c r="AQ94" i="1"/>
  <c r="AW94" i="1" s="1"/>
  <c r="AQ96" i="1"/>
  <c r="AW96" i="1" s="1"/>
  <c r="AQ89" i="1"/>
  <c r="AW89" i="1" s="1"/>
  <c r="BC89" i="1" s="1"/>
  <c r="BI89" i="1" s="1"/>
  <c r="BO89" i="1" s="1"/>
  <c r="BU89" i="1" s="1"/>
  <c r="CA89" i="1" s="1"/>
  <c r="CG89" i="1" s="1"/>
  <c r="CM89" i="1" s="1"/>
  <c r="AQ88" i="1"/>
  <c r="AW88" i="1" s="1"/>
  <c r="Y89" i="1"/>
  <c r="Y92" i="1"/>
  <c r="Y96" i="1"/>
  <c r="Y88" i="1"/>
  <c r="Y93" i="1"/>
  <c r="Y94" i="1"/>
  <c r="Y95" i="1"/>
  <c r="W94" i="1"/>
  <c r="W89" i="1"/>
  <c r="W92" i="1"/>
  <c r="W93" i="1"/>
  <c r="W96" i="1"/>
  <c r="W88" i="1"/>
  <c r="W95" i="1"/>
  <c r="K89" i="1"/>
  <c r="K92" i="1"/>
  <c r="K96" i="1"/>
  <c r="K88" i="1"/>
  <c r="K94" i="1"/>
  <c r="K93" i="1"/>
  <c r="K95" i="1"/>
  <c r="I41" i="3"/>
  <c r="H9" i="3"/>
  <c r="AB92" i="1"/>
  <c r="AB93" i="1"/>
  <c r="AB88" i="1"/>
  <c r="AB96" i="1"/>
  <c r="AB89" i="1"/>
  <c r="AB95" i="1"/>
  <c r="AB94" i="1"/>
  <c r="AF87" i="1"/>
  <c r="AF95" i="1"/>
  <c r="AF88" i="1"/>
  <c r="AF92" i="1"/>
  <c r="AF94" i="1"/>
  <c r="AF96" i="1"/>
  <c r="AF93" i="1"/>
  <c r="AF89" i="1"/>
  <c r="AE87" i="1"/>
  <c r="AE88" i="1"/>
  <c r="AE92" i="1"/>
  <c r="AE94" i="1"/>
  <c r="AE96" i="1"/>
  <c r="AE89" i="1"/>
  <c r="AE93" i="1"/>
  <c r="AE95" i="1"/>
  <c r="AD88" i="1"/>
  <c r="AD92" i="1"/>
  <c r="AD94" i="1"/>
  <c r="AD96" i="1"/>
  <c r="AD89" i="1"/>
  <c r="AD93" i="1"/>
  <c r="AD95" i="1"/>
  <c r="I14" i="3"/>
  <c r="I16" i="3"/>
  <c r="I20" i="3"/>
  <c r="H32" i="3"/>
  <c r="H63" i="3"/>
  <c r="H65" i="3" s="1"/>
  <c r="AK34" i="1"/>
  <c r="AK87" i="1"/>
  <c r="I58" i="3"/>
  <c r="I59" i="3" s="1"/>
  <c r="AB34" i="1"/>
  <c r="AB87" i="1"/>
  <c r="I12" i="3"/>
  <c r="AI34" i="1"/>
  <c r="AI87" i="1"/>
  <c r="E69" i="1"/>
  <c r="E39" i="1" s="1"/>
  <c r="E87" i="1"/>
  <c r="I18" i="3"/>
  <c r="AW19" i="1"/>
  <c r="AQ87" i="1"/>
  <c r="I7" i="3"/>
  <c r="I8" i="3" s="1"/>
  <c r="Y34" i="1"/>
  <c r="Y87" i="1"/>
  <c r="W34" i="1"/>
  <c r="W87" i="1"/>
  <c r="Q34" i="1"/>
  <c r="Q87" i="1"/>
  <c r="I27" i="3"/>
  <c r="I22" i="3"/>
  <c r="AD34" i="1"/>
  <c r="AD87" i="1"/>
  <c r="BG23" i="5"/>
  <c r="BG25" i="1"/>
  <c r="BG26" i="1" s="1"/>
  <c r="BG39" i="5"/>
  <c r="AO9" i="1"/>
  <c r="AU17" i="1"/>
  <c r="Z9" i="1"/>
  <c r="BG29" i="1"/>
  <c r="BG30" i="1" s="1"/>
  <c r="BG31" i="5"/>
  <c r="AX16" i="1"/>
  <c r="BH21" i="5"/>
  <c r="BH32" i="5"/>
  <c r="BH31" i="1" s="1"/>
  <c r="BH32" i="1" s="1"/>
  <c r="BH35" i="5"/>
  <c r="BH29" i="5"/>
  <c r="BH25" i="5"/>
  <c r="AN34" i="1"/>
  <c r="AT19" i="1"/>
  <c r="G5" i="3"/>
  <c r="BG27" i="1"/>
  <c r="BG28" i="1" s="1"/>
  <c r="BG27" i="5"/>
  <c r="AP34" i="1"/>
  <c r="AV19" i="1"/>
  <c r="BG33" i="1"/>
  <c r="BG34" i="1" s="1"/>
  <c r="BG37" i="5"/>
  <c r="T16" i="1"/>
  <c r="L34" i="1"/>
  <c r="L69" i="1"/>
  <c r="K34" i="1"/>
  <c r="K69" i="1"/>
  <c r="T133" i="1"/>
  <c r="T134" i="1" s="1"/>
  <c r="AR164" i="1"/>
  <c r="S118" i="3"/>
  <c r="AX62" i="1"/>
  <c r="R111" i="3"/>
  <c r="L17" i="1"/>
  <c r="G26" i="1"/>
  <c r="G32" i="1"/>
  <c r="G30" i="1"/>
  <c r="G34" i="1"/>
  <c r="E13" i="1"/>
  <c r="E28" i="1"/>
  <c r="E32" i="1"/>
  <c r="E26" i="1"/>
  <c r="E34" i="1"/>
  <c r="E30" i="1"/>
  <c r="AJ32" i="1"/>
  <c r="AJ34" i="1"/>
  <c r="X34" i="1"/>
  <c r="AQ32" i="1"/>
  <c r="AQ34" i="1"/>
  <c r="J23" i="1"/>
  <c r="J34" i="1"/>
  <c r="AF23" i="1"/>
  <c r="AF24" i="1" s="1"/>
  <c r="AF34" i="1"/>
  <c r="P34" i="1"/>
  <c r="D30" i="1"/>
  <c r="D34" i="1"/>
  <c r="D28" i="1"/>
  <c r="D26" i="1"/>
  <c r="D32" i="1"/>
  <c r="S23" i="1"/>
  <c r="S35" i="1" s="1"/>
  <c r="S34" i="1"/>
  <c r="R26" i="1"/>
  <c r="R34" i="1"/>
  <c r="AE34" i="1"/>
  <c r="Z133" i="1"/>
  <c r="Z134" i="1" s="1"/>
  <c r="AX107" i="1"/>
  <c r="AZ107" i="1" s="1"/>
  <c r="BA107" i="1" s="1"/>
  <c r="BB107" i="1" s="1"/>
  <c r="BC107" i="1" s="1"/>
  <c r="BD107" i="1" s="1"/>
  <c r="BF107" i="1" s="1"/>
  <c r="BG107" i="1" s="1"/>
  <c r="BH107" i="1" s="1"/>
  <c r="BI107" i="1" s="1"/>
  <c r="BJ107" i="1" s="1"/>
  <c r="BL107" i="1" s="1"/>
  <c r="BM107" i="1" s="1"/>
  <c r="BN107" i="1" s="1"/>
  <c r="BO107" i="1" s="1"/>
  <c r="BP107" i="1" s="1"/>
  <c r="BR107" i="1" s="1"/>
  <c r="BS107" i="1" s="1"/>
  <c r="BT107" i="1" s="1"/>
  <c r="BU107" i="1" s="1"/>
  <c r="BV107" i="1" s="1"/>
  <c r="BX107" i="1" s="1"/>
  <c r="BY107" i="1" s="1"/>
  <c r="BZ107" i="1" s="1"/>
  <c r="CA107" i="1" s="1"/>
  <c r="CB107" i="1" s="1"/>
  <c r="CD107" i="1" s="1"/>
  <c r="CE107" i="1" s="1"/>
  <c r="CF107" i="1" s="1"/>
  <c r="CG107" i="1" s="1"/>
  <c r="CH107" i="1" s="1"/>
  <c r="CJ107" i="1" s="1"/>
  <c r="CK107" i="1" s="1"/>
  <c r="CL107" i="1" s="1"/>
  <c r="CM107" i="1" s="1"/>
  <c r="CN107" i="1" s="1"/>
  <c r="G12" i="1"/>
  <c r="AF28" i="1"/>
  <c r="K30" i="1"/>
  <c r="W26" i="1"/>
  <c r="R17" i="1"/>
  <c r="K13" i="1"/>
  <c r="K23" i="1"/>
  <c r="K35" i="1" s="1"/>
  <c r="K87" i="1"/>
  <c r="AH9" i="1"/>
  <c r="G23" i="1"/>
  <c r="AK23" i="1"/>
  <c r="AK30" i="1"/>
  <c r="P23" i="1"/>
  <c r="P30" i="1"/>
  <c r="P13" i="1"/>
  <c r="P32" i="1"/>
  <c r="P26" i="1"/>
  <c r="AF30" i="1"/>
  <c r="G13" i="1"/>
  <c r="K17" i="1"/>
  <c r="AF12" i="1"/>
  <c r="AN18" i="1"/>
  <c r="Y32" i="1"/>
  <c r="Y12" i="1"/>
  <c r="D23" i="1"/>
  <c r="D35" i="1" s="1"/>
  <c r="D13" i="1"/>
  <c r="J19" i="1"/>
  <c r="D12" i="1"/>
  <c r="Y13" i="1"/>
  <c r="Y30" i="1"/>
  <c r="AN17" i="1"/>
  <c r="K12" i="1"/>
  <c r="K32" i="1"/>
  <c r="K26" i="1"/>
  <c r="K28" i="1"/>
  <c r="J32" i="1"/>
  <c r="S12" i="1"/>
  <c r="R13" i="1"/>
  <c r="S32" i="1"/>
  <c r="S30" i="1"/>
  <c r="S17" i="1"/>
  <c r="Y17" i="1"/>
  <c r="R32" i="1"/>
  <c r="P28" i="1"/>
  <c r="X13" i="1"/>
  <c r="AI17" i="1"/>
  <c r="AC9" i="1"/>
  <c r="X28" i="1"/>
  <c r="AD13" i="1"/>
  <c r="L12" i="1"/>
  <c r="L26" i="1"/>
  <c r="L28" i="1"/>
  <c r="J28" i="1"/>
  <c r="L32" i="1"/>
  <c r="AD28" i="1"/>
  <c r="X19" i="1"/>
  <c r="J13" i="1"/>
  <c r="J26" i="1"/>
  <c r="L23" i="1"/>
  <c r="L35" i="1" s="1"/>
  <c r="L13" i="1"/>
  <c r="L30" i="1"/>
  <c r="AJ13" i="1"/>
  <c r="P19" i="1"/>
  <c r="J30" i="1"/>
  <c r="R19" i="1"/>
  <c r="L87" i="1"/>
  <c r="AK32" i="1"/>
  <c r="S28" i="1"/>
  <c r="AD32" i="1"/>
  <c r="AD26" i="1"/>
  <c r="K19" i="1"/>
  <c r="J12" i="1"/>
  <c r="S26" i="1"/>
  <c r="AN26" i="1"/>
  <c r="AK26" i="1"/>
  <c r="J87" i="1"/>
  <c r="S13" i="1"/>
  <c r="AN32" i="1"/>
  <c r="AD23" i="1"/>
  <c r="AD30" i="1"/>
  <c r="AK13" i="1"/>
  <c r="S19" i="1"/>
  <c r="AN23" i="1"/>
  <c r="AK28" i="1"/>
  <c r="AF17" i="1"/>
  <c r="BJ9" i="5"/>
  <c r="BH12" i="5"/>
  <c r="BH11" i="5"/>
  <c r="BH13" i="5"/>
  <c r="BH10" i="5"/>
  <c r="AN12" i="1"/>
  <c r="AN13" i="1"/>
  <c r="E23" i="1"/>
  <c r="E35" i="1" s="1"/>
  <c r="BI9" i="5"/>
  <c r="AE13" i="1"/>
  <c r="AN30" i="1"/>
  <c r="AE23" i="1"/>
  <c r="N9" i="1"/>
  <c r="E12" i="1"/>
  <c r="AN28" i="1"/>
  <c r="W30" i="1"/>
  <c r="Q13" i="1"/>
  <c r="AE30" i="1"/>
  <c r="W19" i="1"/>
  <c r="AB17" i="1"/>
  <c r="Q28" i="1"/>
  <c r="W32" i="1"/>
  <c r="AQ13" i="1"/>
  <c r="AF13" i="1"/>
  <c r="F9" i="1"/>
  <c r="AE26" i="1"/>
  <c r="X30" i="1"/>
  <c r="Q23" i="1"/>
  <c r="W28" i="1"/>
  <c r="AE12" i="1"/>
  <c r="W23" i="1"/>
  <c r="W13" i="1"/>
  <c r="AH17" i="1"/>
  <c r="AK19" i="1"/>
  <c r="X26" i="1"/>
  <c r="Q30" i="1"/>
  <c r="AE32" i="1"/>
  <c r="AK12" i="1"/>
  <c r="AD19" i="1"/>
  <c r="V9" i="1"/>
  <c r="AB32" i="1"/>
  <c r="AE28" i="1"/>
  <c r="AE19" i="1"/>
  <c r="R12" i="1"/>
  <c r="R28" i="1"/>
  <c r="R23" i="1"/>
  <c r="R30" i="1"/>
  <c r="AF26" i="1"/>
  <c r="AO17" i="1"/>
  <c r="W12" i="1"/>
  <c r="Q19" i="1"/>
  <c r="Q32" i="1"/>
  <c r="Q12" i="1"/>
  <c r="Q26" i="1"/>
  <c r="AF31" i="1"/>
  <c r="AR16" i="1"/>
  <c r="Z16" i="1"/>
  <c r="Z4" i="1"/>
  <c r="T7" i="1"/>
  <c r="I5" i="3" s="1"/>
  <c r="AJ12" i="1"/>
  <c r="Y26" i="1"/>
  <c r="Y23" i="1"/>
  <c r="Y19" i="1"/>
  <c r="Y28" i="1"/>
  <c r="X12" i="1"/>
  <c r="X32" i="1"/>
  <c r="X23" i="1"/>
  <c r="H9" i="1"/>
  <c r="AD12" i="1"/>
  <c r="P12" i="1"/>
  <c r="N17" i="1"/>
  <c r="S119" i="3"/>
  <c r="T118" i="3"/>
  <c r="K2" i="3"/>
  <c r="H8" i="12" s="1"/>
  <c r="O98" i="3"/>
  <c r="P97" i="3"/>
  <c r="AC364" i="1"/>
  <c r="AC366" i="1" s="1"/>
  <c r="AC358" i="1" s="1"/>
  <c r="AE125" i="1"/>
  <c r="AE133" i="1" s="1"/>
  <c r="AW149" i="1"/>
  <c r="AP23" i="1"/>
  <c r="AP35" i="1" s="1"/>
  <c r="AP19" i="1"/>
  <c r="AP13" i="1"/>
  <c r="AQ26" i="1"/>
  <c r="AJ28" i="1"/>
  <c r="AI26" i="1"/>
  <c r="AP12" i="1"/>
  <c r="AP30" i="1"/>
  <c r="AQ23" i="1"/>
  <c r="AQ35" i="1" s="1"/>
  <c r="AQ19" i="1"/>
  <c r="AI23" i="1"/>
  <c r="AI35" i="1" s="1"/>
  <c r="AI13" i="1"/>
  <c r="M32" i="1"/>
  <c r="AJ26" i="1"/>
  <c r="AB26" i="1"/>
  <c r="M28" i="1"/>
  <c r="AI12" i="1"/>
  <c r="AI30" i="1"/>
  <c r="AH132" i="1"/>
  <c r="AE104" i="1"/>
  <c r="AJ23" i="1"/>
  <c r="AJ35" i="1" s="1"/>
  <c r="AJ19" i="1"/>
  <c r="AB23" i="1"/>
  <c r="AB35" i="1" s="1"/>
  <c r="AB13" i="1"/>
  <c r="AB12" i="1"/>
  <c r="AB30" i="1"/>
  <c r="AD111" i="1"/>
  <c r="AD134" i="1" s="1"/>
  <c r="AP32" i="1"/>
  <c r="M26" i="1"/>
  <c r="AQ30" i="1"/>
  <c r="AP28" i="1"/>
  <c r="AL347" i="1"/>
  <c r="AN347" i="1"/>
  <c r="AO347" i="1" s="1"/>
  <c r="AP347" i="1" s="1"/>
  <c r="AQ347" i="1" s="1"/>
  <c r="AF121" i="1"/>
  <c r="M87" i="1"/>
  <c r="M23" i="1"/>
  <c r="M35" i="1" s="1"/>
  <c r="M19" i="1"/>
  <c r="M13" i="1"/>
  <c r="AI32" i="1"/>
  <c r="AJ30" i="1"/>
  <c r="AI28" i="1"/>
  <c r="M12" i="1"/>
  <c r="M30" i="1"/>
  <c r="AH121" i="1"/>
  <c r="AQ12" i="1"/>
  <c r="AQ28" i="1"/>
  <c r="AP26" i="1"/>
  <c r="AB28" i="1"/>
  <c r="BA371" i="1" l="1"/>
  <c r="BA81" i="1" s="1"/>
  <c r="BA370" i="1"/>
  <c r="AZ80" i="1"/>
  <c r="J54" i="3"/>
  <c r="AZ378" i="1"/>
  <c r="J53" i="3"/>
  <c r="AX179" i="1"/>
  <c r="AW384" i="1"/>
  <c r="BA378" i="1"/>
  <c r="BB371" i="1"/>
  <c r="BB81" i="1" s="1"/>
  <c r="H17" i="3"/>
  <c r="E9" i="12"/>
  <c r="BF128" i="1"/>
  <c r="BG128" i="1" s="1"/>
  <c r="BH128" i="1" s="1"/>
  <c r="BI128" i="1" s="1"/>
  <c r="BJ128" i="1" s="1"/>
  <c r="H15" i="3"/>
  <c r="H28" i="3"/>
  <c r="H23" i="3"/>
  <c r="H70" i="3"/>
  <c r="J7" i="3"/>
  <c r="J8" i="3" s="1"/>
  <c r="J42" i="3"/>
  <c r="BC93" i="1"/>
  <c r="AW116" i="1"/>
  <c r="AW156" i="1" s="1"/>
  <c r="J43" i="3"/>
  <c r="J41" i="3"/>
  <c r="AW110" i="1"/>
  <c r="BC95" i="1"/>
  <c r="AW115" i="1"/>
  <c r="BC92" i="1"/>
  <c r="BI91" i="1"/>
  <c r="J64" i="3"/>
  <c r="N94" i="1"/>
  <c r="N95" i="1"/>
  <c r="N89" i="1"/>
  <c r="N96" i="1"/>
  <c r="N88" i="1"/>
  <c r="N92" i="1"/>
  <c r="N93" i="1"/>
  <c r="J39" i="3"/>
  <c r="BB106" i="1"/>
  <c r="BC106" i="1" s="1"/>
  <c r="BD106" i="1" s="1"/>
  <c r="AH92" i="1"/>
  <c r="AH95" i="1"/>
  <c r="AH93" i="1"/>
  <c r="AH94" i="1"/>
  <c r="AH96" i="1"/>
  <c r="AH89" i="1"/>
  <c r="AH88" i="1"/>
  <c r="Z96" i="1"/>
  <c r="Z89" i="1"/>
  <c r="Z88" i="1"/>
  <c r="Z93" i="1"/>
  <c r="Z94" i="1"/>
  <c r="Z95" i="1"/>
  <c r="Z92" i="1"/>
  <c r="BC88" i="1"/>
  <c r="AW100" i="1"/>
  <c r="AW152" i="1" s="1"/>
  <c r="J60" i="3"/>
  <c r="BU90" i="1"/>
  <c r="H87" i="1"/>
  <c r="H93" i="1"/>
  <c r="H88" i="1"/>
  <c r="H89" i="1"/>
  <c r="H95" i="1"/>
  <c r="H96" i="1"/>
  <c r="H92" i="1"/>
  <c r="H94" i="1"/>
  <c r="V87" i="1"/>
  <c r="V96" i="1"/>
  <c r="V88" i="1"/>
  <c r="V94" i="1"/>
  <c r="V89" i="1"/>
  <c r="V93" i="1"/>
  <c r="V92" i="1"/>
  <c r="V95" i="1"/>
  <c r="F94" i="1"/>
  <c r="F89" i="1"/>
  <c r="F92" i="1"/>
  <c r="F93" i="1"/>
  <c r="F96" i="1"/>
  <c r="F95" i="1"/>
  <c r="F88" i="1"/>
  <c r="AO94" i="1"/>
  <c r="AO89" i="1"/>
  <c r="AO92" i="1"/>
  <c r="AO95" i="1"/>
  <c r="AO93" i="1"/>
  <c r="AO96" i="1"/>
  <c r="AO88" i="1"/>
  <c r="BC96" i="1"/>
  <c r="AW119" i="1"/>
  <c r="J37" i="3"/>
  <c r="J62" i="3"/>
  <c r="J38" i="3"/>
  <c r="J40" i="3"/>
  <c r="J48" i="3"/>
  <c r="BC94" i="1"/>
  <c r="AW117" i="1"/>
  <c r="J45" i="3"/>
  <c r="J61" i="3"/>
  <c r="H19" i="3"/>
  <c r="H21" i="3"/>
  <c r="H13" i="3"/>
  <c r="AC87" i="1"/>
  <c r="AC88" i="1"/>
  <c r="AC92" i="1"/>
  <c r="AC94" i="1"/>
  <c r="AC96" i="1"/>
  <c r="AC89" i="1"/>
  <c r="AC93" i="1"/>
  <c r="AC95" i="1"/>
  <c r="E73" i="1"/>
  <c r="I32" i="3"/>
  <c r="J18" i="3"/>
  <c r="I63" i="3"/>
  <c r="I65" i="3" s="1"/>
  <c r="J22" i="3"/>
  <c r="J20" i="3"/>
  <c r="AH34" i="1"/>
  <c r="AH87" i="1"/>
  <c r="F69" i="1"/>
  <c r="F39" i="1" s="1"/>
  <c r="F87" i="1"/>
  <c r="J5" i="3"/>
  <c r="Z34" i="1"/>
  <c r="Z87" i="1"/>
  <c r="J16" i="3"/>
  <c r="AF4" i="1"/>
  <c r="J58" i="3"/>
  <c r="J59" i="3" s="1"/>
  <c r="J27" i="3"/>
  <c r="J12" i="3"/>
  <c r="AO13" i="1"/>
  <c r="AO87" i="1"/>
  <c r="J14" i="3"/>
  <c r="AO28" i="1"/>
  <c r="AO26" i="1"/>
  <c r="AO19" i="1"/>
  <c r="AO12" i="1"/>
  <c r="AO32" i="1"/>
  <c r="AO23" i="1"/>
  <c r="AO24" i="1" s="1"/>
  <c r="AO30" i="1"/>
  <c r="Z26" i="1"/>
  <c r="Z32" i="1"/>
  <c r="Z13" i="1"/>
  <c r="AF19" i="1"/>
  <c r="Z30" i="1"/>
  <c r="Z28" i="1"/>
  <c r="Z12" i="1"/>
  <c r="Z23" i="1"/>
  <c r="Z24" i="1" s="1"/>
  <c r="H6" i="3"/>
  <c r="BH27" i="1"/>
  <c r="BH28" i="1" s="1"/>
  <c r="BH27" i="5"/>
  <c r="AF32" i="1"/>
  <c r="BH29" i="1"/>
  <c r="BH30" i="1" s="1"/>
  <c r="BH31" i="5"/>
  <c r="AO34" i="1"/>
  <c r="AU19" i="1"/>
  <c r="G9" i="3"/>
  <c r="D9" i="12" s="1"/>
  <c r="BH33" i="1"/>
  <c r="BH34" i="1" s="1"/>
  <c r="BH37" i="5"/>
  <c r="I6" i="3"/>
  <c r="I9" i="3"/>
  <c r="F9" i="12" s="1"/>
  <c r="BH25" i="1"/>
  <c r="BH26" i="1" s="1"/>
  <c r="BH23" i="5"/>
  <c r="BH39" i="5"/>
  <c r="BI32" i="5"/>
  <c r="BI35" i="5"/>
  <c r="BJ35" i="5" s="1"/>
  <c r="BJ36" i="5" s="1"/>
  <c r="BI25" i="5"/>
  <c r="BJ25" i="5" s="1"/>
  <c r="BJ26" i="5" s="1"/>
  <c r="BJ28" i="5" s="1"/>
  <c r="BI21" i="5"/>
  <c r="BJ21" i="5" s="1"/>
  <c r="BI29" i="5"/>
  <c r="BJ29" i="5" s="1"/>
  <c r="AB38" i="1"/>
  <c r="AB40" i="1" s="1"/>
  <c r="AB43" i="1"/>
  <c r="AB45" i="1" s="1"/>
  <c r="AB46" i="1" s="1"/>
  <c r="L43" i="1"/>
  <c r="L45" i="1" s="1"/>
  <c r="L46" i="1" s="1"/>
  <c r="L38" i="1"/>
  <c r="M43" i="1"/>
  <c r="M45" i="1" s="1"/>
  <c r="M46" i="1" s="1"/>
  <c r="M38" i="1"/>
  <c r="AI38" i="1"/>
  <c r="AI40" i="1" s="1"/>
  <c r="AI43" i="1"/>
  <c r="AI45" i="1" s="1"/>
  <c r="AI46" i="1" s="1"/>
  <c r="AP43" i="1"/>
  <c r="AP45" i="1" s="1"/>
  <c r="AP46" i="1" s="1"/>
  <c r="AP38" i="1"/>
  <c r="AP40" i="1" s="1"/>
  <c r="K39" i="1"/>
  <c r="M69" i="1"/>
  <c r="K73" i="1"/>
  <c r="D43" i="1"/>
  <c r="D45" i="1" s="1"/>
  <c r="D46" i="1" s="1"/>
  <c r="D38" i="1"/>
  <c r="D40" i="1" s="1"/>
  <c r="AQ43" i="1"/>
  <c r="AQ45" i="1" s="1"/>
  <c r="AQ46" i="1" s="1"/>
  <c r="AQ38" i="1"/>
  <c r="AQ40" i="1" s="1"/>
  <c r="K38" i="1"/>
  <c r="K43" i="1"/>
  <c r="K45" i="1" s="1"/>
  <c r="K46" i="1" s="1"/>
  <c r="AJ38" i="1"/>
  <c r="AJ40" i="1" s="1"/>
  <c r="AJ43" i="1"/>
  <c r="AJ45" i="1" s="1"/>
  <c r="AJ46" i="1" s="1"/>
  <c r="S38" i="1"/>
  <c r="S40" i="1" s="1"/>
  <c r="S43" i="1"/>
  <c r="S45" i="1" s="1"/>
  <c r="S46" i="1" s="1"/>
  <c r="E43" i="1"/>
  <c r="E45" i="1" s="1"/>
  <c r="E46" i="1" s="1"/>
  <c r="E38" i="1"/>
  <c r="E40" i="1" s="1"/>
  <c r="L39" i="1"/>
  <c r="L73" i="1"/>
  <c r="AB57" i="1"/>
  <c r="S24" i="1"/>
  <c r="AQ57" i="1"/>
  <c r="AI57" i="1"/>
  <c r="E57" i="1"/>
  <c r="E59" i="1" s="1"/>
  <c r="AP57" i="1"/>
  <c r="S57" i="1"/>
  <c r="D57" i="1"/>
  <c r="D60" i="1" s="1"/>
  <c r="AJ57" i="1"/>
  <c r="L57" i="1"/>
  <c r="M57" i="1"/>
  <c r="AX61" i="1"/>
  <c r="AX149" i="1" s="1"/>
  <c r="K57" i="1"/>
  <c r="BA3" i="1"/>
  <c r="BB3" i="1" s="1"/>
  <c r="BC3" i="1" s="1"/>
  <c r="BF3" i="1" s="1"/>
  <c r="BG3" i="1" s="1"/>
  <c r="BH3" i="1" s="1"/>
  <c r="BI3" i="1" s="1"/>
  <c r="BL3" i="1" s="1"/>
  <c r="BM3" i="1" s="1"/>
  <c r="BN3" i="1" s="1"/>
  <c r="BO3" i="1" s="1"/>
  <c r="BR3" i="1" s="1"/>
  <c r="BS3" i="1" s="1"/>
  <c r="BT3" i="1" s="1"/>
  <c r="BU3" i="1" s="1"/>
  <c r="BX3" i="1" s="1"/>
  <c r="BY3" i="1" s="1"/>
  <c r="BZ3" i="1" s="1"/>
  <c r="CA3" i="1" s="1"/>
  <c r="CD3" i="1" s="1"/>
  <c r="CE3" i="1" s="1"/>
  <c r="CF3" i="1" s="1"/>
  <c r="CG3" i="1" s="1"/>
  <c r="CJ3" i="1" s="1"/>
  <c r="CK3" i="1" s="1"/>
  <c r="CL3" i="1" s="1"/>
  <c r="CM3" i="1" s="1"/>
  <c r="AH125" i="1"/>
  <c r="AH133" i="1" s="1"/>
  <c r="P14" i="1"/>
  <c r="X24" i="1"/>
  <c r="X35" i="1"/>
  <c r="Q24" i="1"/>
  <c r="Q35" i="1"/>
  <c r="P24" i="1"/>
  <c r="P35" i="1"/>
  <c r="AF35" i="1"/>
  <c r="AK24" i="1"/>
  <c r="AK35" i="1"/>
  <c r="AK36" i="1" s="1"/>
  <c r="AN24" i="1"/>
  <c r="AN35" i="1"/>
  <c r="AD24" i="1"/>
  <c r="AD35" i="1"/>
  <c r="J35" i="1"/>
  <c r="R24" i="1"/>
  <c r="R35" i="1"/>
  <c r="W24" i="1"/>
  <c r="W35" i="1"/>
  <c r="AE24" i="1"/>
  <c r="AE35" i="1"/>
  <c r="Y24" i="1"/>
  <c r="Y35" i="1"/>
  <c r="E36" i="1"/>
  <c r="R112" i="3"/>
  <c r="S111" i="3"/>
  <c r="V32" i="1"/>
  <c r="V34" i="1"/>
  <c r="H30" i="1"/>
  <c r="H34" i="1"/>
  <c r="H32" i="1"/>
  <c r="H28" i="1"/>
  <c r="H26" i="1"/>
  <c r="L19" i="1"/>
  <c r="F26" i="1"/>
  <c r="F30" i="1"/>
  <c r="F34" i="1"/>
  <c r="F32" i="1"/>
  <c r="F28" i="1"/>
  <c r="N87" i="1"/>
  <c r="N34" i="1"/>
  <c r="AC13" i="1"/>
  <c r="AC34" i="1"/>
  <c r="D14" i="1"/>
  <c r="G14" i="1"/>
  <c r="J14" i="1"/>
  <c r="AK14" i="1"/>
  <c r="K14" i="1"/>
  <c r="S14" i="1"/>
  <c r="AC12" i="1"/>
  <c r="AC23" i="1"/>
  <c r="Y14" i="1"/>
  <c r="AC28" i="1"/>
  <c r="AC19" i="1"/>
  <c r="AC30" i="1"/>
  <c r="AC26" i="1"/>
  <c r="AC32" i="1"/>
  <c r="AI19" i="1"/>
  <c r="AH28" i="1"/>
  <c r="AH12" i="1"/>
  <c r="V23" i="1"/>
  <c r="V35" i="1" s="1"/>
  <c r="AH23" i="1"/>
  <c r="AH13" i="1"/>
  <c r="AH30" i="1"/>
  <c r="AH32" i="1"/>
  <c r="AH19" i="1"/>
  <c r="AN19" i="1"/>
  <c r="AH26" i="1"/>
  <c r="L36" i="1"/>
  <c r="D36" i="1"/>
  <c r="V28" i="1"/>
  <c r="V19" i="1"/>
  <c r="Q14" i="1"/>
  <c r="L14" i="1"/>
  <c r="K36" i="1"/>
  <c r="W14" i="1"/>
  <c r="AD14" i="1"/>
  <c r="AN14" i="1"/>
  <c r="E14" i="1"/>
  <c r="N30" i="1"/>
  <c r="N23" i="1"/>
  <c r="N28" i="1"/>
  <c r="N12" i="1"/>
  <c r="AB19" i="1"/>
  <c r="V12" i="1"/>
  <c r="V30" i="1"/>
  <c r="N19" i="1"/>
  <c r="N26" i="1"/>
  <c r="V26" i="1"/>
  <c r="N32" i="1"/>
  <c r="AE14" i="1"/>
  <c r="N13" i="1"/>
  <c r="V13" i="1"/>
  <c r="R14" i="1"/>
  <c r="X14" i="1"/>
  <c r="AF14" i="1"/>
  <c r="BI12" i="5"/>
  <c r="BJ12" i="5" s="1"/>
  <c r="BI10" i="5"/>
  <c r="BI11" i="5"/>
  <c r="BI13" i="5"/>
  <c r="BJ13" i="5" s="1"/>
  <c r="BJ11" i="5"/>
  <c r="BJ10" i="5"/>
  <c r="F23" i="1"/>
  <c r="F35" i="1" s="1"/>
  <c r="AI14" i="1"/>
  <c r="F12" i="1"/>
  <c r="F13" i="1"/>
  <c r="AQ14" i="1"/>
  <c r="AJ14" i="1"/>
  <c r="AL16" i="1"/>
  <c r="AC361" i="1"/>
  <c r="H23" i="1"/>
  <c r="H35" i="1" s="1"/>
  <c r="G24" i="3" s="1"/>
  <c r="H13" i="1"/>
  <c r="AF16" i="1"/>
  <c r="AE111" i="1"/>
  <c r="AE134" i="1" s="1"/>
  <c r="H12" i="1"/>
  <c r="AF125" i="1"/>
  <c r="AF133" i="1" s="1"/>
  <c r="BD62" i="1"/>
  <c r="T17" i="1"/>
  <c r="Z17" i="1"/>
  <c r="T9" i="1"/>
  <c r="L2" i="3"/>
  <c r="I8" i="12" s="1"/>
  <c r="T119" i="3"/>
  <c r="U118" i="3"/>
  <c r="Q97" i="3"/>
  <c r="P98" i="3"/>
  <c r="AX102" i="1"/>
  <c r="AZ102" i="1" s="1"/>
  <c r="BA102" i="1" s="1"/>
  <c r="BB102" i="1" s="1"/>
  <c r="BC102" i="1" s="1"/>
  <c r="BD102" i="1" s="1"/>
  <c r="BF102" i="1" s="1"/>
  <c r="AI24" i="1"/>
  <c r="AQ24" i="1"/>
  <c r="AP14" i="1"/>
  <c r="AB14" i="1"/>
  <c r="S36" i="1"/>
  <c r="M14" i="1"/>
  <c r="AR347" i="1"/>
  <c r="AT347" i="1"/>
  <c r="AU347" i="1" s="1"/>
  <c r="AV347" i="1" s="1"/>
  <c r="AW347" i="1" s="1"/>
  <c r="AF104" i="1"/>
  <c r="AB24" i="1"/>
  <c r="AJ24" i="1"/>
  <c r="AP24" i="1"/>
  <c r="M36" i="1"/>
  <c r="AL7" i="1"/>
  <c r="AW388" i="1" l="1"/>
  <c r="AX384" i="1"/>
  <c r="AX388" i="1" s="1"/>
  <c r="BB370" i="1"/>
  <c r="BA80" i="1"/>
  <c r="K53" i="3"/>
  <c r="K54" i="3"/>
  <c r="BB378" i="1"/>
  <c r="BC371" i="1"/>
  <c r="BC81" i="1" s="1"/>
  <c r="BD81" i="1" s="1"/>
  <c r="BL128" i="1"/>
  <c r="BM128" i="1" s="1"/>
  <c r="BN128" i="1" s="1"/>
  <c r="BO128" i="1" s="1"/>
  <c r="BP128" i="1" s="1"/>
  <c r="AC363" i="1"/>
  <c r="AC367" i="1"/>
  <c r="J9" i="3"/>
  <c r="BB152" i="1"/>
  <c r="BC116" i="1"/>
  <c r="BI93" i="1"/>
  <c r="K64" i="3"/>
  <c r="BI88" i="1"/>
  <c r="BC100" i="1"/>
  <c r="BF106" i="1"/>
  <c r="BD89" i="1"/>
  <c r="K43" i="3"/>
  <c r="K37" i="3"/>
  <c r="K61" i="3"/>
  <c r="K24" i="3"/>
  <c r="K45" i="3"/>
  <c r="BO91" i="1"/>
  <c r="K39" i="3"/>
  <c r="K41" i="3"/>
  <c r="BC110" i="1"/>
  <c r="BI95" i="1"/>
  <c r="K38" i="3"/>
  <c r="K48" i="3"/>
  <c r="BI92" i="1"/>
  <c r="BC115" i="1"/>
  <c r="AW158" i="1"/>
  <c r="AX110" i="1"/>
  <c r="AW157" i="1"/>
  <c r="AX117" i="1"/>
  <c r="K60" i="3"/>
  <c r="AW155" i="1"/>
  <c r="AX115" i="1"/>
  <c r="K42" i="3"/>
  <c r="T96" i="1"/>
  <c r="T95" i="1"/>
  <c r="T88" i="1"/>
  <c r="T93" i="1"/>
  <c r="T92" i="1"/>
  <c r="T89" i="1"/>
  <c r="T94" i="1"/>
  <c r="BG102" i="1"/>
  <c r="BI94" i="1"/>
  <c r="BC117" i="1"/>
  <c r="AW159" i="1"/>
  <c r="AX119" i="1"/>
  <c r="CA90" i="1"/>
  <c r="BI96" i="1"/>
  <c r="BC119" i="1"/>
  <c r="K40" i="3"/>
  <c r="K62" i="3"/>
  <c r="J6" i="3"/>
  <c r="AZ149" i="1"/>
  <c r="G69" i="1"/>
  <c r="G39" i="1" s="1"/>
  <c r="F73" i="1"/>
  <c r="G73" i="1" s="1"/>
  <c r="J32" i="3"/>
  <c r="AO14" i="1"/>
  <c r="AL4" i="1"/>
  <c r="L61" i="3" s="1"/>
  <c r="K12" i="3"/>
  <c r="K27" i="3"/>
  <c r="T34" i="1"/>
  <c r="T87" i="1"/>
  <c r="K5" i="3"/>
  <c r="K6" i="3" s="1"/>
  <c r="K16" i="3"/>
  <c r="K18" i="3"/>
  <c r="K7" i="3"/>
  <c r="J63" i="3"/>
  <c r="J65" i="3" s="1"/>
  <c r="K58" i="3"/>
  <c r="K59" i="3" s="1"/>
  <c r="K20" i="3"/>
  <c r="K14" i="3"/>
  <c r="L7" i="3"/>
  <c r="K22" i="3"/>
  <c r="AO35" i="1"/>
  <c r="AO57" i="1" s="1"/>
  <c r="M140" i="1"/>
  <c r="M161" i="1" s="1"/>
  <c r="Z14" i="1"/>
  <c r="AQ140" i="1"/>
  <c r="AQ161" i="1" s="1"/>
  <c r="Z35" i="1"/>
  <c r="Z38" i="1" s="1"/>
  <c r="AP140" i="1"/>
  <c r="AP161" i="1" s="1"/>
  <c r="AI140" i="1"/>
  <c r="AI161" i="1" s="1"/>
  <c r="BJ29" i="1"/>
  <c r="BJ30" i="1" s="1"/>
  <c r="BJ31" i="5"/>
  <c r="BJ30" i="5"/>
  <c r="BJ27" i="1"/>
  <c r="BJ28" i="1" s="1"/>
  <c r="BJ27" i="5"/>
  <c r="K140" i="1"/>
  <c r="K161" i="1" s="1"/>
  <c r="D140" i="1"/>
  <c r="D161" i="1" s="1"/>
  <c r="BI29" i="1"/>
  <c r="BI30" i="1" s="1"/>
  <c r="BI31" i="5"/>
  <c r="BJ25" i="1"/>
  <c r="BJ23" i="5"/>
  <c r="BJ22" i="5"/>
  <c r="BJ33" i="1"/>
  <c r="BJ34" i="1" s="1"/>
  <c r="BJ37" i="5"/>
  <c r="S140" i="1"/>
  <c r="S161" i="1" s="1"/>
  <c r="BI25" i="1"/>
  <c r="BI26" i="1" s="1"/>
  <c r="BI23" i="5"/>
  <c r="BI39" i="5"/>
  <c r="BI27" i="1"/>
  <c r="BI28" i="1" s="1"/>
  <c r="BI27" i="5"/>
  <c r="BI33" i="1"/>
  <c r="BI34" i="1" s="1"/>
  <c r="BI37" i="5"/>
  <c r="H10" i="3"/>
  <c r="G23" i="3"/>
  <c r="G70" i="3"/>
  <c r="G15" i="3"/>
  <c r="G13" i="3"/>
  <c r="G17" i="3"/>
  <c r="G21" i="3"/>
  <c r="G28" i="3"/>
  <c r="H11" i="3"/>
  <c r="G19" i="3"/>
  <c r="BI31" i="1"/>
  <c r="BI32" i="1" s="1"/>
  <c r="BJ32" i="5"/>
  <c r="I10" i="3"/>
  <c r="I11" i="3"/>
  <c r="I28" i="3"/>
  <c r="I23" i="3"/>
  <c r="I70" i="3"/>
  <c r="I13" i="3"/>
  <c r="I17" i="3"/>
  <c r="I19" i="3"/>
  <c r="I15" i="3"/>
  <c r="I21" i="3"/>
  <c r="L140" i="1"/>
  <c r="L161" i="1" s="1"/>
  <c r="K40" i="1"/>
  <c r="K48" i="1" s="1"/>
  <c r="K50" i="1" s="1"/>
  <c r="K51" i="1" s="1"/>
  <c r="AJ140" i="1"/>
  <c r="AJ161" i="1" s="1"/>
  <c r="E140" i="1"/>
  <c r="E161" i="1" s="1"/>
  <c r="AK43" i="1"/>
  <c r="AK45" i="1" s="1"/>
  <c r="AK46" i="1" s="1"/>
  <c r="AK38" i="1"/>
  <c r="AK40" i="1" s="1"/>
  <c r="S48" i="1"/>
  <c r="S50" i="1" s="1"/>
  <c r="S51" i="1" s="1"/>
  <c r="S41" i="1"/>
  <c r="V43" i="1"/>
  <c r="V45" i="1" s="1"/>
  <c r="V46" i="1" s="1"/>
  <c r="V38" i="1"/>
  <c r="V40" i="1" s="1"/>
  <c r="AE43" i="1"/>
  <c r="AE45" i="1" s="1"/>
  <c r="AE38" i="1"/>
  <c r="AE40" i="1" s="1"/>
  <c r="J38" i="1"/>
  <c r="J40" i="1" s="1"/>
  <c r="J43" i="1"/>
  <c r="J45" i="1" s="1"/>
  <c r="J46" i="1" s="1"/>
  <c r="X43" i="1"/>
  <c r="X45" i="1" s="1"/>
  <c r="X46" i="1" s="1"/>
  <c r="X38" i="1"/>
  <c r="X40" i="1" s="1"/>
  <c r="AD43" i="1"/>
  <c r="AD45" i="1" s="1"/>
  <c r="AD38" i="1"/>
  <c r="AD40" i="1" s="1"/>
  <c r="AF43" i="1"/>
  <c r="AF45" i="1" s="1"/>
  <c r="AF46" i="1" s="1"/>
  <c r="AF38" i="1"/>
  <c r="AJ48" i="1"/>
  <c r="AJ50" i="1" s="1"/>
  <c r="AJ51" i="1" s="1"/>
  <c r="AJ41" i="1"/>
  <c r="M73" i="1"/>
  <c r="M75" i="1" s="1"/>
  <c r="AO43" i="1"/>
  <c r="AO45" i="1" s="1"/>
  <c r="AO46" i="1" s="1"/>
  <c r="AQ48" i="1"/>
  <c r="AQ50" i="1" s="1"/>
  <c r="AQ51" i="1" s="1"/>
  <c r="AQ41" i="1"/>
  <c r="M39" i="1"/>
  <c r="M40" i="1" s="1"/>
  <c r="AN43" i="1"/>
  <c r="AN45" i="1" s="1"/>
  <c r="AN46" i="1" s="1"/>
  <c r="AN38" i="1"/>
  <c r="AN40" i="1" s="1"/>
  <c r="AP48" i="1"/>
  <c r="AP50" i="1" s="1"/>
  <c r="AP51" i="1" s="1"/>
  <c r="AP41" i="1"/>
  <c r="L40" i="1"/>
  <c r="H43" i="1"/>
  <c r="H45" i="1" s="1"/>
  <c r="H38" i="1"/>
  <c r="W43" i="1"/>
  <c r="W45" i="1" s="1"/>
  <c r="W46" i="1" s="1"/>
  <c r="W38" i="1"/>
  <c r="W40" i="1" s="1"/>
  <c r="P43" i="1"/>
  <c r="P45" i="1" s="1"/>
  <c r="P46" i="1" s="1"/>
  <c r="P38" i="1"/>
  <c r="P40" i="1" s="1"/>
  <c r="E48" i="1"/>
  <c r="E50" i="1" s="1"/>
  <c r="E51" i="1" s="1"/>
  <c r="E41" i="1"/>
  <c r="D48" i="1"/>
  <c r="D50" i="1" s="1"/>
  <c r="D51" i="1" s="1"/>
  <c r="D41" i="1"/>
  <c r="F43" i="1"/>
  <c r="F45" i="1" s="1"/>
  <c r="F46" i="1" s="1"/>
  <c r="F38" i="1"/>
  <c r="F40" i="1" s="1"/>
  <c r="Y43" i="1"/>
  <c r="Y45" i="1" s="1"/>
  <c r="Y46" i="1" s="1"/>
  <c r="Y38" i="1"/>
  <c r="Y40" i="1" s="1"/>
  <c r="R43" i="1"/>
  <c r="R45" i="1" s="1"/>
  <c r="R46" i="1" s="1"/>
  <c r="R38" i="1"/>
  <c r="R40" i="1" s="1"/>
  <c r="Q43" i="1"/>
  <c r="Q45" i="1" s="1"/>
  <c r="Q46" i="1" s="1"/>
  <c r="Q38" i="1"/>
  <c r="Q40" i="1" s="1"/>
  <c r="AI48" i="1"/>
  <c r="AI50" i="1" s="1"/>
  <c r="AI51" i="1" s="1"/>
  <c r="AI41" i="1"/>
  <c r="AB48" i="1"/>
  <c r="AB50" i="1" s="1"/>
  <c r="AB51" i="1" s="1"/>
  <c r="AB41" i="1"/>
  <c r="W36" i="1"/>
  <c r="AE57" i="1"/>
  <c r="J57" i="1"/>
  <c r="AD57" i="1"/>
  <c r="AF57" i="1"/>
  <c r="D59" i="1"/>
  <c r="E60" i="1"/>
  <c r="E63" i="1" s="1"/>
  <c r="E65" i="1" s="1"/>
  <c r="AT57" i="1"/>
  <c r="AT140" i="1"/>
  <c r="AT161" i="1" s="1"/>
  <c r="AN57" i="1"/>
  <c r="V57" i="1"/>
  <c r="W57" i="1"/>
  <c r="P57" i="1"/>
  <c r="AK57" i="1"/>
  <c r="AK60" i="1" s="1"/>
  <c r="AK63" i="1" s="1"/>
  <c r="Y57" i="1"/>
  <c r="R57" i="1"/>
  <c r="X57" i="1"/>
  <c r="F57" i="1"/>
  <c r="D63" i="1"/>
  <c r="Q57" i="1"/>
  <c r="H57" i="1"/>
  <c r="AX131" i="1"/>
  <c r="AZ131" i="1" s="1"/>
  <c r="BA131" i="1" s="1"/>
  <c r="BB131" i="1" s="1"/>
  <c r="BC131" i="1" s="1"/>
  <c r="BD131" i="1" s="1"/>
  <c r="BF131" i="1" s="1"/>
  <c r="BG131" i="1" s="1"/>
  <c r="BH131" i="1" s="1"/>
  <c r="BI131" i="1" s="1"/>
  <c r="BJ131" i="1" s="1"/>
  <c r="BL131" i="1" s="1"/>
  <c r="BM131" i="1" s="1"/>
  <c r="BN131" i="1" s="1"/>
  <c r="BO131" i="1" s="1"/>
  <c r="BP131" i="1" s="1"/>
  <c r="BR131" i="1" s="1"/>
  <c r="BS131" i="1" s="1"/>
  <c r="BT131" i="1" s="1"/>
  <c r="BU131" i="1" s="1"/>
  <c r="BV131" i="1" s="1"/>
  <c r="BX131" i="1" s="1"/>
  <c r="BY131" i="1" s="1"/>
  <c r="BZ131" i="1" s="1"/>
  <c r="CA131" i="1" s="1"/>
  <c r="CB131" i="1" s="1"/>
  <c r="CD131" i="1" s="1"/>
  <c r="CE131" i="1" s="1"/>
  <c r="CF131" i="1" s="1"/>
  <c r="CG131" i="1" s="1"/>
  <c r="CH131" i="1" s="1"/>
  <c r="CJ131" i="1" s="1"/>
  <c r="CK131" i="1" s="1"/>
  <c r="CL131" i="1" s="1"/>
  <c r="CM131" i="1" s="1"/>
  <c r="CN131" i="1" s="1"/>
  <c r="N35" i="1"/>
  <c r="H24" i="3" s="1"/>
  <c r="J36" i="1"/>
  <c r="AH24" i="1"/>
  <c r="AH35" i="1"/>
  <c r="AC24" i="1"/>
  <c r="AC35" i="1"/>
  <c r="AJ121" i="1"/>
  <c r="S112" i="3"/>
  <c r="T111" i="3"/>
  <c r="AH14" i="1"/>
  <c r="AD364" i="1"/>
  <c r="AD366" i="1" s="1"/>
  <c r="AD358" i="1" s="1"/>
  <c r="AD361" i="1" s="1"/>
  <c r="AC14" i="1"/>
  <c r="Y36" i="1"/>
  <c r="P36" i="1"/>
  <c r="V24" i="1"/>
  <c r="AF111" i="1"/>
  <c r="AF134" i="1" s="1"/>
  <c r="AL83" i="1"/>
  <c r="AD36" i="1"/>
  <c r="Q36" i="1"/>
  <c r="R36" i="1"/>
  <c r="F36" i="1"/>
  <c r="AN36" i="1"/>
  <c r="AE36" i="1"/>
  <c r="V14" i="1"/>
  <c r="N14" i="1"/>
  <c r="X36" i="1"/>
  <c r="AF36" i="1"/>
  <c r="F14" i="1"/>
  <c r="AL17" i="1"/>
  <c r="AL9" i="1"/>
  <c r="T12" i="1"/>
  <c r="T23" i="1"/>
  <c r="T35" i="1" s="1"/>
  <c r="I24" i="3" s="1"/>
  <c r="T13" i="1"/>
  <c r="T28" i="1"/>
  <c r="T30" i="1"/>
  <c r="Z19" i="1"/>
  <c r="T32" i="1"/>
  <c r="T26" i="1"/>
  <c r="T19" i="1"/>
  <c r="H14" i="1"/>
  <c r="H36" i="1"/>
  <c r="U119" i="3"/>
  <c r="V118" i="3"/>
  <c r="V119" i="3" s="1"/>
  <c r="R97" i="3"/>
  <c r="Q98" i="3"/>
  <c r="M2" i="3"/>
  <c r="J8" i="12" s="1"/>
  <c r="AH104" i="1"/>
  <c r="AH111" i="1" s="1"/>
  <c r="AH134" i="1" s="1"/>
  <c r="AB364" i="1"/>
  <c r="AB366" i="1" s="1"/>
  <c r="AB358" i="1" s="1"/>
  <c r="AB361" i="1" s="1"/>
  <c r="AB367" i="1" s="1"/>
  <c r="M37" i="6"/>
  <c r="AQ36" i="1"/>
  <c r="H37" i="6"/>
  <c r="AJ36" i="1"/>
  <c r="L60" i="1"/>
  <c r="L59" i="1"/>
  <c r="AZ347" i="1"/>
  <c r="BA347" i="1" s="1"/>
  <c r="BB347" i="1" s="1"/>
  <c r="BC347" i="1" s="1"/>
  <c r="AX347" i="1"/>
  <c r="G37" i="6"/>
  <c r="AI36" i="1"/>
  <c r="AE364" i="1"/>
  <c r="AE366" i="1" s="1"/>
  <c r="AE358" i="1" s="1"/>
  <c r="AE361" i="1" s="1"/>
  <c r="L37" i="6"/>
  <c r="AP36" i="1"/>
  <c r="AB140" i="1"/>
  <c r="AB161" i="1" s="1"/>
  <c r="AB36" i="1"/>
  <c r="AK121" i="1"/>
  <c r="K60" i="1"/>
  <c r="K59" i="1"/>
  <c r="V36" i="1"/>
  <c r="AR7" i="1"/>
  <c r="L54" i="3" l="1"/>
  <c r="BC370" i="1"/>
  <c r="BB80" i="1"/>
  <c r="L53" i="3"/>
  <c r="BC378" i="1"/>
  <c r="BF371" i="1"/>
  <c r="BF81" i="1" s="1"/>
  <c r="J19" i="3"/>
  <c r="G9" i="12"/>
  <c r="BR128" i="1"/>
  <c r="BS128" i="1" s="1"/>
  <c r="BT128" i="1" s="1"/>
  <c r="BU128" i="1" s="1"/>
  <c r="BV128" i="1" s="1"/>
  <c r="G75" i="1"/>
  <c r="AE363" i="1"/>
  <c r="AE367" i="1"/>
  <c r="AD363" i="1"/>
  <c r="AD367" i="1"/>
  <c r="J13" i="3"/>
  <c r="J11" i="3"/>
  <c r="J23" i="3"/>
  <c r="J15" i="3"/>
  <c r="J10" i="3"/>
  <c r="J70" i="3"/>
  <c r="J21" i="3"/>
  <c r="J28" i="3"/>
  <c r="J17" i="3"/>
  <c r="L8" i="3"/>
  <c r="AX96" i="1"/>
  <c r="AX159" i="1"/>
  <c r="AZ159" i="1"/>
  <c r="BH102" i="1"/>
  <c r="L45" i="3"/>
  <c r="L64" i="3"/>
  <c r="BD100" i="1"/>
  <c r="BC152" i="1"/>
  <c r="L39" i="3"/>
  <c r="BC155" i="1"/>
  <c r="BD115" i="1"/>
  <c r="BU91" i="1"/>
  <c r="BI100" i="1"/>
  <c r="BO88" i="1"/>
  <c r="BI116" i="1"/>
  <c r="BO93" i="1"/>
  <c r="AL87" i="1"/>
  <c r="AL92" i="1"/>
  <c r="AL93" i="1"/>
  <c r="AL96" i="1"/>
  <c r="AL89" i="1"/>
  <c r="AL88" i="1"/>
  <c r="AL94" i="1"/>
  <c r="AL95" i="1"/>
  <c r="BI115" i="1"/>
  <c r="BO92" i="1"/>
  <c r="BC156" i="1"/>
  <c r="BD116" i="1"/>
  <c r="L22" i="3"/>
  <c r="K29" i="3"/>
  <c r="K36" i="3" s="1"/>
  <c r="K44" i="3" s="1"/>
  <c r="BD117" i="1"/>
  <c r="BC157" i="1"/>
  <c r="H46" i="1"/>
  <c r="G29" i="3"/>
  <c r="G36" i="3" s="1"/>
  <c r="G44" i="3" s="1"/>
  <c r="L12" i="3"/>
  <c r="BI117" i="1"/>
  <c r="BO94" i="1"/>
  <c r="L42" i="3"/>
  <c r="AX94" i="1"/>
  <c r="AX157" i="1"/>
  <c r="AZ157" i="1"/>
  <c r="L41" i="3"/>
  <c r="CG90" i="1"/>
  <c r="AX95" i="1"/>
  <c r="AZ158" i="1"/>
  <c r="AX158" i="1"/>
  <c r="L60" i="3"/>
  <c r="L18" i="3"/>
  <c r="L48" i="3"/>
  <c r="BC159" i="1"/>
  <c r="BD119" i="1"/>
  <c r="L40" i="3"/>
  <c r="BI110" i="1"/>
  <c r="BO95" i="1"/>
  <c r="L43" i="3"/>
  <c r="Z36" i="1"/>
  <c r="J24" i="3"/>
  <c r="J25" i="3" s="1"/>
  <c r="G10" i="12" s="1"/>
  <c r="BI119" i="1"/>
  <c r="BO96" i="1"/>
  <c r="L37" i="3"/>
  <c r="AX92" i="1"/>
  <c r="AX155" i="1"/>
  <c r="AZ155" i="1"/>
  <c r="L38" i="3"/>
  <c r="L62" i="3"/>
  <c r="BD110" i="1"/>
  <c r="BC158" i="1"/>
  <c r="BG106" i="1"/>
  <c r="BG152" i="1" s="1"/>
  <c r="BA149" i="1"/>
  <c r="K63" i="3"/>
  <c r="K65" i="3" s="1"/>
  <c r="AO36" i="1"/>
  <c r="AO38" i="1"/>
  <c r="AO40" i="1" s="1"/>
  <c r="AO41" i="1" s="1"/>
  <c r="L14" i="3"/>
  <c r="L20" i="3"/>
  <c r="L16" i="3"/>
  <c r="L27" i="3"/>
  <c r="L58" i="3"/>
  <c r="L59" i="3" s="1"/>
  <c r="L5" i="3"/>
  <c r="L6" i="3" s="1"/>
  <c r="K41" i="1"/>
  <c r="Z57" i="1"/>
  <c r="Z59" i="1" s="1"/>
  <c r="Z43" i="1"/>
  <c r="Z45" i="1" s="1"/>
  <c r="K32" i="3"/>
  <c r="K8" i="3"/>
  <c r="K9" i="3"/>
  <c r="AR4" i="1"/>
  <c r="J37" i="6"/>
  <c r="K37" i="6"/>
  <c r="AO140" i="1"/>
  <c r="AO161" i="1" s="1"/>
  <c r="X140" i="1"/>
  <c r="X161" i="1" s="1"/>
  <c r="W140" i="1"/>
  <c r="W161" i="1" s="1"/>
  <c r="AF140" i="1"/>
  <c r="AK140" i="1"/>
  <c r="AK161" i="1" s="1"/>
  <c r="V140" i="1"/>
  <c r="V161" i="1" s="1"/>
  <c r="BJ31" i="1"/>
  <c r="BJ16" i="1" s="1"/>
  <c r="BJ39" i="5"/>
  <c r="BJ26" i="1"/>
  <c r="AN140" i="1"/>
  <c r="AN161" i="1" s="1"/>
  <c r="AX17" i="1"/>
  <c r="F140" i="1"/>
  <c r="F161" i="1" s="1"/>
  <c r="Y140" i="1"/>
  <c r="Y161" i="1" s="1"/>
  <c r="J140" i="1"/>
  <c r="J161" i="1" s="1"/>
  <c r="H140" i="1"/>
  <c r="P140" i="1"/>
  <c r="P161" i="1" s="1"/>
  <c r="R140" i="1"/>
  <c r="R161" i="1" s="1"/>
  <c r="Q140" i="1"/>
  <c r="Q161" i="1" s="1"/>
  <c r="T38" i="1"/>
  <c r="T43" i="1"/>
  <c r="T45" i="1" s="1"/>
  <c r="AF40" i="1"/>
  <c r="Y48" i="1"/>
  <c r="Y50" i="1" s="1"/>
  <c r="Y51" i="1" s="1"/>
  <c r="Y41" i="1"/>
  <c r="H40" i="1"/>
  <c r="J48" i="1"/>
  <c r="J50" i="1" s="1"/>
  <c r="J51" i="1" s="1"/>
  <c r="J41" i="1"/>
  <c r="AD48" i="1"/>
  <c r="AD50" i="1" s="1"/>
  <c r="AD51" i="1" s="1"/>
  <c r="AD41" i="1"/>
  <c r="AE48" i="1"/>
  <c r="AE50" i="1" s="1"/>
  <c r="AE51" i="1" s="1"/>
  <c r="AE41" i="1"/>
  <c r="N43" i="1"/>
  <c r="N45" i="1" s="1"/>
  <c r="N38" i="1"/>
  <c r="H25" i="3" s="1"/>
  <c r="E10" i="12" s="1"/>
  <c r="F48" i="1"/>
  <c r="F50" i="1" s="1"/>
  <c r="F51" i="1" s="1"/>
  <c r="F41" i="1"/>
  <c r="L48" i="1"/>
  <c r="L50" i="1" s="1"/>
  <c r="L51" i="1" s="1"/>
  <c r="L41" i="1"/>
  <c r="M48" i="1"/>
  <c r="M50" i="1" s="1"/>
  <c r="M51" i="1" s="1"/>
  <c r="M41" i="1"/>
  <c r="AD46" i="1"/>
  <c r="AD140" i="1"/>
  <c r="AD161" i="1" s="1"/>
  <c r="AE46" i="1"/>
  <c r="AE140" i="1"/>
  <c r="AE161" i="1" s="1"/>
  <c r="V48" i="1"/>
  <c r="V50" i="1" s="1"/>
  <c r="V51" i="1" s="1"/>
  <c r="V41" i="1"/>
  <c r="AC43" i="1"/>
  <c r="AC45" i="1" s="1"/>
  <c r="AC46" i="1" s="1"/>
  <c r="AC38" i="1"/>
  <c r="AC40" i="1" s="1"/>
  <c r="Q48" i="1"/>
  <c r="Q50" i="1" s="1"/>
  <c r="Q51" i="1" s="1"/>
  <c r="Q41" i="1"/>
  <c r="P48" i="1"/>
  <c r="P50" i="1" s="1"/>
  <c r="P51" i="1" s="1"/>
  <c r="P41" i="1"/>
  <c r="Z40" i="1"/>
  <c r="AN48" i="1"/>
  <c r="AN50" i="1" s="1"/>
  <c r="AN51" i="1" s="1"/>
  <c r="AN41" i="1"/>
  <c r="X48" i="1"/>
  <c r="X50" i="1" s="1"/>
  <c r="X51" i="1" s="1"/>
  <c r="X41" i="1"/>
  <c r="AK48" i="1"/>
  <c r="AK50" i="1" s="1"/>
  <c r="AK51" i="1" s="1"/>
  <c r="AK41" i="1"/>
  <c r="AH43" i="1"/>
  <c r="AH45" i="1" s="1"/>
  <c r="AH46" i="1" s="1"/>
  <c r="AH38" i="1"/>
  <c r="AH40" i="1" s="1"/>
  <c r="R48" i="1"/>
  <c r="R50" i="1" s="1"/>
  <c r="R51" i="1" s="1"/>
  <c r="R41" i="1"/>
  <c r="W48" i="1"/>
  <c r="W50" i="1" s="1"/>
  <c r="W51" i="1" s="1"/>
  <c r="W41" i="1"/>
  <c r="Z140" i="1"/>
  <c r="E64" i="1"/>
  <c r="E77" i="1"/>
  <c r="E78" i="1" s="1"/>
  <c r="T57" i="1"/>
  <c r="AH57" i="1"/>
  <c r="L63" i="1"/>
  <c r="K63" i="1"/>
  <c r="N57" i="1"/>
  <c r="N60" i="1" s="1"/>
  <c r="H60" i="1"/>
  <c r="H59" i="1"/>
  <c r="AC57" i="1"/>
  <c r="D65" i="1"/>
  <c r="D64" i="1"/>
  <c r="D77" i="1"/>
  <c r="D78" i="1" s="1"/>
  <c r="F60" i="1"/>
  <c r="F59" i="1"/>
  <c r="AC36" i="1"/>
  <c r="N36" i="1"/>
  <c r="T112" i="3"/>
  <c r="U111" i="3"/>
  <c r="AI121" i="1"/>
  <c r="AL12" i="1"/>
  <c r="AL34" i="1"/>
  <c r="AL121" i="1"/>
  <c r="I37" i="6"/>
  <c r="AH36" i="1"/>
  <c r="N37" i="6"/>
  <c r="AK59" i="1"/>
  <c r="W59" i="1"/>
  <c r="T24" i="1"/>
  <c r="T14" i="1"/>
  <c r="AR9" i="1"/>
  <c r="AR17" i="1"/>
  <c r="AL32" i="1"/>
  <c r="AL28" i="1"/>
  <c r="AL23" i="1"/>
  <c r="AL35" i="1" s="1"/>
  <c r="AL26" i="1"/>
  <c r="AL30" i="1"/>
  <c r="AL19" i="1"/>
  <c r="AL13" i="1"/>
  <c r="S97" i="3"/>
  <c r="R98" i="3"/>
  <c r="N2" i="3"/>
  <c r="K8" i="12" s="1"/>
  <c r="S60" i="1"/>
  <c r="S63" i="1" s="1"/>
  <c r="S59" i="1"/>
  <c r="AE59" i="1"/>
  <c r="AE60" i="1"/>
  <c r="BF347" i="1"/>
  <c r="BG347" i="1" s="1"/>
  <c r="BH347" i="1" s="1"/>
  <c r="BI347" i="1" s="1"/>
  <c r="BD347" i="1"/>
  <c r="P59" i="1"/>
  <c r="P60" i="1"/>
  <c r="P63" i="1" s="1"/>
  <c r="AF364" i="1"/>
  <c r="AF366" i="1" s="1"/>
  <c r="Y60" i="1"/>
  <c r="Y59" i="1"/>
  <c r="R60" i="1"/>
  <c r="R63" i="1" s="1"/>
  <c r="R59" i="1"/>
  <c r="AF361" i="1"/>
  <c r="AB363" i="1"/>
  <c r="AN60" i="1"/>
  <c r="AN63" i="1" s="1"/>
  <c r="AN59" i="1"/>
  <c r="AK132" i="1"/>
  <c r="X59" i="1"/>
  <c r="X60" i="1"/>
  <c r="M60" i="1"/>
  <c r="M59" i="1"/>
  <c r="AD59" i="1"/>
  <c r="AD60" i="1"/>
  <c r="AN121" i="1"/>
  <c r="Q59" i="1"/>
  <c r="Q60" i="1"/>
  <c r="Q63" i="1" s="1"/>
  <c r="AK104" i="1"/>
  <c r="S25" i="6"/>
  <c r="R25" i="6"/>
  <c r="N25" i="6"/>
  <c r="M25" i="6"/>
  <c r="L25" i="6"/>
  <c r="K25" i="6"/>
  <c r="J25" i="6"/>
  <c r="I25" i="6"/>
  <c r="H25" i="6"/>
  <c r="G25" i="6"/>
  <c r="F25" i="6"/>
  <c r="M54" i="3" l="1"/>
  <c r="M52" i="3"/>
  <c r="BF370" i="1"/>
  <c r="BC80" i="1"/>
  <c r="BD80" i="1" s="1"/>
  <c r="M53" i="3"/>
  <c r="BG371" i="1"/>
  <c r="BG81" i="1" s="1"/>
  <c r="BF378" i="1"/>
  <c r="K28" i="3"/>
  <c r="H9" i="12"/>
  <c r="BX128" i="1"/>
  <c r="BY128" i="1" s="1"/>
  <c r="BZ128" i="1" s="1"/>
  <c r="CA128" i="1" s="1"/>
  <c r="CB128" i="1" s="1"/>
  <c r="AO48" i="1"/>
  <c r="AO50" i="1" s="1"/>
  <c r="AO51" i="1" s="1"/>
  <c r="AF363" i="1"/>
  <c r="AF367" i="1"/>
  <c r="K26" i="3"/>
  <c r="N46" i="1"/>
  <c r="H29" i="3"/>
  <c r="H36" i="3" s="1"/>
  <c r="H44" i="3" s="1"/>
  <c r="BD94" i="1"/>
  <c r="BD157" i="1"/>
  <c r="BF157" i="1"/>
  <c r="BO116" i="1"/>
  <c r="BU93" i="1"/>
  <c r="Z46" i="1"/>
  <c r="J29" i="3"/>
  <c r="J36" i="3" s="1"/>
  <c r="J44" i="3" s="1"/>
  <c r="BO119" i="1"/>
  <c r="BU96" i="1"/>
  <c r="BO110" i="1"/>
  <c r="BU95" i="1"/>
  <c r="BD96" i="1"/>
  <c r="BD159" i="1"/>
  <c r="BF159" i="1"/>
  <c r="BI156" i="1"/>
  <c r="BJ116" i="1"/>
  <c r="BJ119" i="1"/>
  <c r="BI159" i="1"/>
  <c r="BJ110" i="1"/>
  <c r="BJ158" i="1" s="1"/>
  <c r="BI158" i="1"/>
  <c r="BF156" i="1"/>
  <c r="CM90" i="1"/>
  <c r="M38" i="3"/>
  <c r="BO100" i="1"/>
  <c r="BU88" i="1"/>
  <c r="BI102" i="1"/>
  <c r="BJ102" i="1" s="1"/>
  <c r="BL102" i="1" s="1"/>
  <c r="BJ100" i="1"/>
  <c r="BF152" i="1"/>
  <c r="AR87" i="1"/>
  <c r="AR93" i="1"/>
  <c r="AR95" i="1"/>
  <c r="AR89" i="1"/>
  <c r="AR88" i="1"/>
  <c r="AR92" i="1"/>
  <c r="AR94" i="1"/>
  <c r="AR96" i="1"/>
  <c r="T46" i="1"/>
  <c r="I29" i="3"/>
  <c r="I36" i="3" s="1"/>
  <c r="I44" i="3" s="1"/>
  <c r="M5" i="3"/>
  <c r="M6" i="3" s="1"/>
  <c r="BF158" i="1"/>
  <c r="BO117" i="1"/>
  <c r="BU94" i="1"/>
  <c r="BO115" i="1"/>
  <c r="BU92" i="1"/>
  <c r="BH106" i="1"/>
  <c r="BI106" i="1" s="1"/>
  <c r="BJ106" i="1" s="1"/>
  <c r="BI157" i="1"/>
  <c r="BJ117" i="1"/>
  <c r="BI155" i="1"/>
  <c r="BJ115" i="1"/>
  <c r="BD155" i="1"/>
  <c r="BF155" i="1"/>
  <c r="BD92" i="1"/>
  <c r="BD158" i="1"/>
  <c r="CA91" i="1"/>
  <c r="BB149" i="1"/>
  <c r="BD61" i="1"/>
  <c r="BD149" i="1" s="1"/>
  <c r="L9" i="3"/>
  <c r="L32" i="3"/>
  <c r="H161" i="1"/>
  <c r="AF161" i="1"/>
  <c r="K25" i="3"/>
  <c r="H10" i="12" s="1"/>
  <c r="K15" i="3"/>
  <c r="AX4" i="1"/>
  <c r="N5" i="3" s="1"/>
  <c r="M16" i="3"/>
  <c r="M20" i="3"/>
  <c r="M58" i="3"/>
  <c r="M59" i="3" s="1"/>
  <c r="M7" i="3"/>
  <c r="M8" i="3" s="1"/>
  <c r="M14" i="3"/>
  <c r="M12" i="3"/>
  <c r="M18" i="3"/>
  <c r="K13" i="3"/>
  <c r="K11" i="3"/>
  <c r="K10" i="3"/>
  <c r="K23" i="3"/>
  <c r="K17" i="3"/>
  <c r="K70" i="3"/>
  <c r="K19" i="3"/>
  <c r="K21" i="3"/>
  <c r="AC140" i="1"/>
  <c r="AC161" i="1" s="1"/>
  <c r="AR34" i="1"/>
  <c r="AX19" i="1"/>
  <c r="AH140" i="1"/>
  <c r="AH161" i="1" s="1"/>
  <c r="I26" i="3"/>
  <c r="I25" i="3"/>
  <c r="F10" i="12" s="1"/>
  <c r="J26" i="3"/>
  <c r="BJ32" i="1"/>
  <c r="G25" i="3"/>
  <c r="D10" i="12" s="1"/>
  <c r="G26" i="3"/>
  <c r="H26" i="3"/>
  <c r="N140" i="1"/>
  <c r="N40" i="1"/>
  <c r="AC48" i="1"/>
  <c r="AC50" i="1" s="1"/>
  <c r="AC51" i="1" s="1"/>
  <c r="AC41" i="1"/>
  <c r="AL43" i="1"/>
  <c r="AL45" i="1" s="1"/>
  <c r="AL46" i="1" s="1"/>
  <c r="AL38" i="1"/>
  <c r="AF48" i="1"/>
  <c r="AF41" i="1"/>
  <c r="AH48" i="1"/>
  <c r="AH50" i="1" s="1"/>
  <c r="AH51" i="1" s="1"/>
  <c r="AH41" i="1"/>
  <c r="Z161" i="1"/>
  <c r="Z48" i="1"/>
  <c r="Z41" i="1"/>
  <c r="H48" i="1"/>
  <c r="H41" i="1"/>
  <c r="T40" i="1"/>
  <c r="T140" i="1"/>
  <c r="AL57" i="1"/>
  <c r="H63" i="1"/>
  <c r="H65" i="1" s="1"/>
  <c r="F63" i="1"/>
  <c r="F77" i="1" s="1"/>
  <c r="F78" i="1" s="1"/>
  <c r="M63" i="1"/>
  <c r="N63" i="1"/>
  <c r="K77" i="1"/>
  <c r="K78" i="1" s="1"/>
  <c r="K79" i="1" s="1"/>
  <c r="K65" i="1"/>
  <c r="K66" i="1" s="1"/>
  <c r="K64" i="1"/>
  <c r="L77" i="1"/>
  <c r="L78" i="1" s="1"/>
  <c r="L64" i="1"/>
  <c r="L65" i="1"/>
  <c r="AK77" i="1"/>
  <c r="AK78" i="1" s="1"/>
  <c r="AK65" i="1"/>
  <c r="AK64" i="1"/>
  <c r="J59" i="1"/>
  <c r="J60" i="1"/>
  <c r="U112" i="3"/>
  <c r="V111" i="3"/>
  <c r="V112" i="3" s="1"/>
  <c r="AF60" i="1"/>
  <c r="Z60" i="1"/>
  <c r="AH60" i="1"/>
  <c r="AH63" i="1" s="1"/>
  <c r="F37" i="6"/>
  <c r="W60" i="1"/>
  <c r="AF59" i="1"/>
  <c r="N59" i="1"/>
  <c r="BL39" i="5"/>
  <c r="BM9" i="5"/>
  <c r="BL13" i="5"/>
  <c r="BL11" i="5"/>
  <c r="BL12" i="5"/>
  <c r="BL10" i="5"/>
  <c r="AL14" i="1"/>
  <c r="AK125" i="1"/>
  <c r="AK133" i="1" s="1"/>
  <c r="AL24" i="1"/>
  <c r="G12" i="6" s="1"/>
  <c r="AR23" i="1"/>
  <c r="AR35" i="1" s="1"/>
  <c r="AR28" i="1"/>
  <c r="AR19" i="1"/>
  <c r="AR13" i="1"/>
  <c r="AR30" i="1"/>
  <c r="AR26" i="1"/>
  <c r="AR32" i="1"/>
  <c r="AR12" i="1"/>
  <c r="T36" i="1"/>
  <c r="O2" i="3"/>
  <c r="L8" i="12" s="1"/>
  <c r="T97" i="3"/>
  <c r="S98" i="3"/>
  <c r="AB60" i="1"/>
  <c r="AB59" i="1"/>
  <c r="AE63" i="1"/>
  <c r="AO60" i="1"/>
  <c r="AO63" i="1" s="1"/>
  <c r="AO59" i="1"/>
  <c r="AL104" i="1"/>
  <c r="V59" i="1"/>
  <c r="V60" i="1"/>
  <c r="AL132" i="1"/>
  <c r="AJ59" i="1"/>
  <c r="AJ60" i="1"/>
  <c r="AJ63" i="1" s="1"/>
  <c r="AI60" i="1"/>
  <c r="AI63" i="1" s="1"/>
  <c r="AI59" i="1"/>
  <c r="AO121" i="1"/>
  <c r="Y63" i="1"/>
  <c r="AD63" i="1"/>
  <c r="X63" i="1"/>
  <c r="AC59" i="1"/>
  <c r="AC60" i="1"/>
  <c r="BL347" i="1"/>
  <c r="BM347" i="1" s="1"/>
  <c r="BN347" i="1" s="1"/>
  <c r="BO347" i="1" s="1"/>
  <c r="BJ347" i="1"/>
  <c r="T12" i="6"/>
  <c r="O12" i="6"/>
  <c r="N12" i="6"/>
  <c r="L12" i="6"/>
  <c r="K12" i="6"/>
  <c r="J12" i="6"/>
  <c r="I12" i="6"/>
  <c r="H12" i="6"/>
  <c r="F12" i="6"/>
  <c r="N47" i="3" l="1"/>
  <c r="N52" i="3"/>
  <c r="BG370" i="1"/>
  <c r="BF80" i="1"/>
  <c r="BG378" i="1"/>
  <c r="BH371" i="1"/>
  <c r="BH81" i="1" s="1"/>
  <c r="L19" i="3"/>
  <c r="I9" i="12"/>
  <c r="CD128" i="1"/>
  <c r="CE128" i="1" s="1"/>
  <c r="CF128" i="1" s="1"/>
  <c r="CG128" i="1" s="1"/>
  <c r="CH128" i="1" s="1"/>
  <c r="CJ128" i="1" s="1"/>
  <c r="CK128" i="1" s="1"/>
  <c r="CL128" i="1" s="1"/>
  <c r="CM128" i="1" s="1"/>
  <c r="CN128" i="1" s="1"/>
  <c r="BH152" i="1"/>
  <c r="N6" i="3"/>
  <c r="N7" i="3"/>
  <c r="N9" i="3" s="1"/>
  <c r="K9" i="12" s="1"/>
  <c r="BI152" i="1"/>
  <c r="BP100" i="1"/>
  <c r="BU110" i="1"/>
  <c r="CA95" i="1"/>
  <c r="BJ88" i="1"/>
  <c r="BP110" i="1"/>
  <c r="BP158" i="1" s="1"/>
  <c r="BO158" i="1"/>
  <c r="BJ155" i="1"/>
  <c r="BJ92" i="1"/>
  <c r="BL155" i="1"/>
  <c r="BJ89" i="1"/>
  <c r="BL106" i="1"/>
  <c r="BL152" i="1" s="1"/>
  <c r="BL158" i="1"/>
  <c r="BJ95" i="1"/>
  <c r="BU119" i="1"/>
  <c r="CA96" i="1"/>
  <c r="CG91" i="1"/>
  <c r="BJ156" i="1"/>
  <c r="BJ93" i="1"/>
  <c r="BL156" i="1"/>
  <c r="BO159" i="1"/>
  <c r="BP119" i="1"/>
  <c r="BU115" i="1"/>
  <c r="CA92" i="1"/>
  <c r="BO155" i="1"/>
  <c r="BP115" i="1"/>
  <c r="BJ152" i="1"/>
  <c r="BM102" i="1"/>
  <c r="BJ96" i="1"/>
  <c r="BJ159" i="1"/>
  <c r="BL159" i="1"/>
  <c r="BJ94" i="1"/>
  <c r="BJ157" i="1"/>
  <c r="BL157" i="1"/>
  <c r="BU117" i="1"/>
  <c r="CA94" i="1"/>
  <c r="CA93" i="1"/>
  <c r="BU116" i="1"/>
  <c r="BO157" i="1"/>
  <c r="BP117" i="1"/>
  <c r="BU100" i="1"/>
  <c r="CA88" i="1"/>
  <c r="BP116" i="1"/>
  <c r="BO156" i="1"/>
  <c r="BC149" i="1"/>
  <c r="L13" i="3"/>
  <c r="L17" i="3"/>
  <c r="L15" i="3"/>
  <c r="L28" i="3"/>
  <c r="L21" i="3"/>
  <c r="L23" i="3"/>
  <c r="L10" i="3"/>
  <c r="M9" i="3"/>
  <c r="L11" i="3"/>
  <c r="J69" i="3"/>
  <c r="K69" i="3"/>
  <c r="N20" i="3"/>
  <c r="N18" i="3"/>
  <c r="N16" i="3"/>
  <c r="N22" i="3"/>
  <c r="N14" i="3"/>
  <c r="N161" i="1"/>
  <c r="N58" i="3"/>
  <c r="N59" i="3" s="1"/>
  <c r="BD4" i="1"/>
  <c r="J30" i="3"/>
  <c r="J73" i="3"/>
  <c r="J67" i="3"/>
  <c r="BM35" i="5"/>
  <c r="BM25" i="5"/>
  <c r="BM29" i="5"/>
  <c r="BM32" i="5"/>
  <c r="BM21" i="5"/>
  <c r="K31" i="3"/>
  <c r="K73" i="3"/>
  <c r="K30" i="3"/>
  <c r="K67" i="3"/>
  <c r="L79" i="1"/>
  <c r="AL40" i="1"/>
  <c r="AR43" i="1"/>
  <c r="AR45" i="1" s="1"/>
  <c r="AR46" i="1" s="1"/>
  <c r="AR38" i="1"/>
  <c r="T161" i="1"/>
  <c r="T48" i="1"/>
  <c r="J31" i="3" s="1"/>
  <c r="T41" i="1"/>
  <c r="H50" i="1"/>
  <c r="AF50" i="1"/>
  <c r="K33" i="3" s="1"/>
  <c r="Z50" i="1"/>
  <c r="J33" i="3" s="1"/>
  <c r="N48" i="1"/>
  <c r="N41" i="1"/>
  <c r="AL140" i="1"/>
  <c r="F64" i="1"/>
  <c r="H64" i="1"/>
  <c r="AR57" i="1"/>
  <c r="F65" i="1"/>
  <c r="L66" i="1" s="1"/>
  <c r="H77" i="1"/>
  <c r="H78" i="1" s="1"/>
  <c r="G71" i="3" s="1"/>
  <c r="J63" i="1"/>
  <c r="AF63" i="1"/>
  <c r="AF77" i="1" s="1"/>
  <c r="AF78" i="1" s="1"/>
  <c r="S77" i="1"/>
  <c r="S78" i="1" s="1"/>
  <c r="S64" i="1"/>
  <c r="S65" i="1"/>
  <c r="N77" i="1"/>
  <c r="N78" i="1" s="1"/>
  <c r="N64" i="1"/>
  <c r="N65" i="1"/>
  <c r="N66" i="1" s="1"/>
  <c r="M77" i="1"/>
  <c r="M78" i="1" s="1"/>
  <c r="M64" i="1"/>
  <c r="M65" i="1"/>
  <c r="P77" i="1"/>
  <c r="P78" i="1" s="1"/>
  <c r="P65" i="1"/>
  <c r="P64" i="1"/>
  <c r="R77" i="1"/>
  <c r="R78" i="1" s="1"/>
  <c r="R79" i="1" s="1"/>
  <c r="R64" i="1"/>
  <c r="R65" i="1"/>
  <c r="R66" i="1" s="1"/>
  <c r="Q77" i="1"/>
  <c r="Q78" i="1" s="1"/>
  <c r="Q79" i="1" s="1"/>
  <c r="Q64" i="1"/>
  <c r="Q65" i="1"/>
  <c r="Q66" i="1" s="1"/>
  <c r="AN77" i="1"/>
  <c r="AN78" i="1" s="1"/>
  <c r="AN64" i="1"/>
  <c r="AN65" i="1"/>
  <c r="X77" i="1"/>
  <c r="X78" i="1" s="1"/>
  <c r="X65" i="1"/>
  <c r="X64" i="1"/>
  <c r="AH77" i="1"/>
  <c r="AH78" i="1" s="1"/>
  <c r="AH64" i="1"/>
  <c r="AH65" i="1"/>
  <c r="F43" i="6" s="1"/>
  <c r="AE77" i="1"/>
  <c r="AE78" i="1" s="1"/>
  <c r="AE64" i="1"/>
  <c r="AE65" i="1"/>
  <c r="I43" i="6"/>
  <c r="AD77" i="1"/>
  <c r="AD78" i="1" s="1"/>
  <c r="AD65" i="1"/>
  <c r="AD64" i="1"/>
  <c r="Y77" i="1"/>
  <c r="Y78" i="1" s="1"/>
  <c r="Y65" i="1"/>
  <c r="Y64" i="1"/>
  <c r="Z63" i="1"/>
  <c r="D88" i="2"/>
  <c r="AR83" i="1"/>
  <c r="AH59" i="1"/>
  <c r="D4" i="7" s="1"/>
  <c r="D6" i="7" s="1"/>
  <c r="D12" i="7" s="1"/>
  <c r="W63" i="1"/>
  <c r="BM13" i="5"/>
  <c r="BM12" i="5"/>
  <c r="BM10" i="5"/>
  <c r="BM11" i="5"/>
  <c r="BN9" i="5"/>
  <c r="BL40" i="5"/>
  <c r="R20" i="6"/>
  <c r="AR24" i="1"/>
  <c r="AL125" i="1"/>
  <c r="AL36" i="1"/>
  <c r="AR14" i="1"/>
  <c r="AL111" i="1"/>
  <c r="T98" i="3"/>
  <c r="U97" i="3"/>
  <c r="P2" i="3"/>
  <c r="M8" i="12" s="1"/>
  <c r="AB63" i="1"/>
  <c r="AC63" i="1"/>
  <c r="AN132" i="1"/>
  <c r="AP121" i="1"/>
  <c r="AL377" i="1"/>
  <c r="BP347" i="1"/>
  <c r="BR347" i="1"/>
  <c r="BS347" i="1" s="1"/>
  <c r="BT347" i="1" s="1"/>
  <c r="BU347" i="1" s="1"/>
  <c r="AN104" i="1"/>
  <c r="AK111" i="1"/>
  <c r="AK134" i="1" s="1"/>
  <c r="AP60" i="1"/>
  <c r="AP63" i="1" s="1"/>
  <c r="AP59" i="1"/>
  <c r="V63" i="1"/>
  <c r="AN125" i="1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J20" i="6"/>
  <c r="F20" i="6"/>
  <c r="L20" i="6"/>
  <c r="K20" i="6"/>
  <c r="G20" i="6"/>
  <c r="M20" i="6"/>
  <c r="H20" i="6"/>
  <c r="N20" i="6"/>
  <c r="I20" i="6"/>
  <c r="S9" i="6"/>
  <c r="R9" i="6"/>
  <c r="O9" i="6"/>
  <c r="N9" i="6"/>
  <c r="M9" i="6"/>
  <c r="L9" i="6"/>
  <c r="K9" i="6"/>
  <c r="J9" i="6"/>
  <c r="I9" i="6"/>
  <c r="H9" i="6"/>
  <c r="G9" i="6"/>
  <c r="F9" i="6"/>
  <c r="BH370" i="1" l="1"/>
  <c r="BG80" i="1"/>
  <c r="BH378" i="1"/>
  <c r="BI371" i="1"/>
  <c r="BI81" i="1" s="1"/>
  <c r="BJ81" i="1" s="1"/>
  <c r="M15" i="3"/>
  <c r="J9" i="12"/>
  <c r="N8" i="3"/>
  <c r="CA100" i="1"/>
  <c r="CG88" i="1"/>
  <c r="BU157" i="1"/>
  <c r="BV117" i="1"/>
  <c r="CA110" i="1"/>
  <c r="CG95" i="1"/>
  <c r="BV100" i="1"/>
  <c r="BN102" i="1"/>
  <c r="BO102" i="1" s="1"/>
  <c r="BV110" i="1"/>
  <c r="BV158" i="1" s="1"/>
  <c r="BU158" i="1"/>
  <c r="BP157" i="1"/>
  <c r="BP94" i="1"/>
  <c r="BR157" i="1"/>
  <c r="BR158" i="1"/>
  <c r="BP95" i="1"/>
  <c r="BP155" i="1"/>
  <c r="BP92" i="1"/>
  <c r="BR155" i="1"/>
  <c r="BU156" i="1"/>
  <c r="BV116" i="1"/>
  <c r="CM91" i="1"/>
  <c r="BM106" i="1"/>
  <c r="BM152" i="1" s="1"/>
  <c r="BP88" i="1"/>
  <c r="L63" i="3"/>
  <c r="L65" i="3" s="1"/>
  <c r="L70" i="3" s="1"/>
  <c r="CG93" i="1"/>
  <c r="CA116" i="1"/>
  <c r="CA115" i="1"/>
  <c r="CG92" i="1"/>
  <c r="BU155" i="1"/>
  <c r="BV115" i="1"/>
  <c r="CA119" i="1"/>
  <c r="CG96" i="1"/>
  <c r="BP93" i="1"/>
  <c r="BP156" i="1"/>
  <c r="BR156" i="1"/>
  <c r="CA117" i="1"/>
  <c r="CG94" i="1"/>
  <c r="BP96" i="1"/>
  <c r="BP159" i="1"/>
  <c r="BR159" i="1"/>
  <c r="BV119" i="1"/>
  <c r="BU159" i="1"/>
  <c r="BF149" i="1"/>
  <c r="M19" i="3"/>
  <c r="M21" i="3"/>
  <c r="M11" i="3"/>
  <c r="M13" i="3"/>
  <c r="M17" i="3"/>
  <c r="M10" i="3"/>
  <c r="N15" i="3"/>
  <c r="I69" i="3"/>
  <c r="K46" i="3"/>
  <c r="N10" i="3"/>
  <c r="G46" i="3"/>
  <c r="G69" i="3"/>
  <c r="N11" i="3"/>
  <c r="BJ4" i="1"/>
  <c r="P18" i="3" s="1"/>
  <c r="O14" i="3"/>
  <c r="O22" i="3"/>
  <c r="O18" i="3"/>
  <c r="O20" i="3"/>
  <c r="O5" i="3"/>
  <c r="O6" i="3" s="1"/>
  <c r="N19" i="3"/>
  <c r="N21" i="3"/>
  <c r="N23" i="3"/>
  <c r="N17" i="3"/>
  <c r="AN79" i="1"/>
  <c r="K34" i="3"/>
  <c r="K68" i="3"/>
  <c r="H72" i="3"/>
  <c r="H71" i="3"/>
  <c r="BM25" i="1"/>
  <c r="BM26" i="1" s="1"/>
  <c r="BM23" i="5"/>
  <c r="BS23" i="5"/>
  <c r="BM39" i="5"/>
  <c r="BM31" i="1"/>
  <c r="BM32" i="1" s="1"/>
  <c r="I31" i="3"/>
  <c r="I30" i="3"/>
  <c r="I73" i="3"/>
  <c r="I67" i="3"/>
  <c r="BM29" i="1"/>
  <c r="BM30" i="1" s="1"/>
  <c r="BM31" i="5"/>
  <c r="BS31" i="5"/>
  <c r="BN25" i="5"/>
  <c r="BN29" i="5"/>
  <c r="BN32" i="5"/>
  <c r="BN31" i="1" s="1"/>
  <c r="BN32" i="1" s="1"/>
  <c r="BN35" i="5"/>
  <c r="BN21" i="5"/>
  <c r="K71" i="3"/>
  <c r="BM27" i="1"/>
  <c r="BM28" i="1" s="1"/>
  <c r="BM27" i="5"/>
  <c r="BS27" i="5"/>
  <c r="H30" i="3"/>
  <c r="H67" i="3"/>
  <c r="H73" i="3"/>
  <c r="BM33" i="1"/>
  <c r="BM34" i="1" s="1"/>
  <c r="BM37" i="5"/>
  <c r="BS37" i="5"/>
  <c r="J34" i="3"/>
  <c r="J68" i="3"/>
  <c r="G73" i="3"/>
  <c r="G31" i="3"/>
  <c r="H31" i="3"/>
  <c r="N79" i="1"/>
  <c r="G30" i="3"/>
  <c r="G67" i="3"/>
  <c r="Y79" i="1"/>
  <c r="AF51" i="1"/>
  <c r="AL161" i="1"/>
  <c r="N50" i="1"/>
  <c r="H33" i="3" s="1"/>
  <c r="H51" i="1"/>
  <c r="G33" i="3"/>
  <c r="G68" i="3" s="1"/>
  <c r="AR40" i="1"/>
  <c r="Z51" i="1"/>
  <c r="T50" i="1"/>
  <c r="I33" i="3" s="1"/>
  <c r="AL41" i="1"/>
  <c r="AL48" i="1"/>
  <c r="AR140" i="1"/>
  <c r="AD79" i="1"/>
  <c r="AF65" i="1"/>
  <c r="AF64" i="1"/>
  <c r="S66" i="1"/>
  <c r="Y66" i="1"/>
  <c r="S79" i="1"/>
  <c r="X79" i="1"/>
  <c r="AE79" i="1"/>
  <c r="AK79" i="1"/>
  <c r="J77" i="1"/>
  <c r="J78" i="1" s="1"/>
  <c r="J65" i="1"/>
  <c r="J66" i="1" s="1"/>
  <c r="J64" i="1"/>
  <c r="X66" i="1"/>
  <c r="AI77" i="1"/>
  <c r="AI78" i="1" s="1"/>
  <c r="AI64" i="1"/>
  <c r="AI65" i="1"/>
  <c r="AB77" i="1"/>
  <c r="AB78" i="1" s="1"/>
  <c r="AH79" i="1" s="1"/>
  <c r="AB64" i="1"/>
  <c r="AB65" i="1"/>
  <c r="W77" i="1"/>
  <c r="W78" i="1" s="1"/>
  <c r="W79" i="1" s="1"/>
  <c r="W64" i="1"/>
  <c r="W65" i="1"/>
  <c r="W66" i="1" s="1"/>
  <c r="AE66" i="1"/>
  <c r="AN66" i="1"/>
  <c r="J43" i="6"/>
  <c r="V77" i="1"/>
  <c r="V78" i="1" s="1"/>
  <c r="V79" i="1" s="1"/>
  <c r="V64" i="1"/>
  <c r="V65" i="1"/>
  <c r="V66" i="1" s="1"/>
  <c r="AD66" i="1"/>
  <c r="AC64" i="1"/>
  <c r="AC65" i="1"/>
  <c r="AO77" i="1"/>
  <c r="AO78" i="1" s="1"/>
  <c r="AO64" i="1"/>
  <c r="AO65" i="1"/>
  <c r="AJ77" i="1"/>
  <c r="AJ78" i="1" s="1"/>
  <c r="AJ79" i="1" s="1"/>
  <c r="AJ65" i="1"/>
  <c r="AJ66" i="1" s="1"/>
  <c r="AJ64" i="1"/>
  <c r="Z77" i="1"/>
  <c r="Z78" i="1" s="1"/>
  <c r="K72" i="3" s="1"/>
  <c r="Z65" i="1"/>
  <c r="Z64" i="1"/>
  <c r="AK66" i="1"/>
  <c r="Q9" i="6"/>
  <c r="D89" i="2"/>
  <c r="AL133" i="1"/>
  <c r="AL134" i="1" s="1"/>
  <c r="Q51" i="10"/>
  <c r="BP9" i="5"/>
  <c r="BO9" i="5"/>
  <c r="BN10" i="5"/>
  <c r="BN12" i="5"/>
  <c r="BN13" i="5"/>
  <c r="BN11" i="5"/>
  <c r="L31" i="6"/>
  <c r="M31" i="6"/>
  <c r="P9" i="6"/>
  <c r="S52" i="10"/>
  <c r="P12" i="6"/>
  <c r="T36" i="10"/>
  <c r="M12" i="6"/>
  <c r="R12" i="6"/>
  <c r="AR36" i="1"/>
  <c r="G31" i="6"/>
  <c r="H52" i="6"/>
  <c r="H55" i="6" s="1"/>
  <c r="H46" i="6"/>
  <c r="H49" i="6" s="1"/>
  <c r="O25" i="6"/>
  <c r="S36" i="10"/>
  <c r="F31" i="6"/>
  <c r="T59" i="1"/>
  <c r="T60" i="1"/>
  <c r="T63" i="1" s="1"/>
  <c r="R37" i="6"/>
  <c r="Q2" i="3"/>
  <c r="N8" i="12" s="1"/>
  <c r="U98" i="3"/>
  <c r="V97" i="3"/>
  <c r="V98" i="3" s="1"/>
  <c r="AQ59" i="1"/>
  <c r="AQ60" i="1"/>
  <c r="AQ63" i="1" s="1"/>
  <c r="AO104" i="1"/>
  <c r="AQ121" i="1"/>
  <c r="AN111" i="1"/>
  <c r="AO125" i="1"/>
  <c r="AC77" i="1"/>
  <c r="AC78" i="1" s="1"/>
  <c r="AO132" i="1"/>
  <c r="AP125" i="1"/>
  <c r="BV347" i="1"/>
  <c r="BX347" i="1"/>
  <c r="BY347" i="1" s="1"/>
  <c r="BZ347" i="1" s="1"/>
  <c r="CA347" i="1" s="1"/>
  <c r="AN133" i="1"/>
  <c r="R52" i="10"/>
  <c r="H31" i="6"/>
  <c r="K31" i="6"/>
  <c r="R31" i="6"/>
  <c r="J31" i="6"/>
  <c r="I31" i="6"/>
  <c r="N31" i="6"/>
  <c r="Q52" i="10"/>
  <c r="P52" i="10"/>
  <c r="O52" i="10"/>
  <c r="N52" i="10"/>
  <c r="M52" i="10"/>
  <c r="AE36" i="10"/>
  <c r="AD36" i="10"/>
  <c r="AC36" i="10"/>
  <c r="R36" i="10"/>
  <c r="Q36" i="10"/>
  <c r="Q16" i="10"/>
  <c r="BH80" i="1" l="1"/>
  <c r="BI370" i="1"/>
  <c r="BI378" i="1"/>
  <c r="BL371" i="1"/>
  <c r="BL81" i="1" s="1"/>
  <c r="BJ371" i="1"/>
  <c r="P7" i="3"/>
  <c r="P22" i="3"/>
  <c r="AN134" i="1"/>
  <c r="CG115" i="1"/>
  <c r="CM92" i="1"/>
  <c r="CM115" i="1" s="1"/>
  <c r="BV96" i="1"/>
  <c r="BV159" i="1"/>
  <c r="BX159" i="1"/>
  <c r="CB115" i="1"/>
  <c r="CA155" i="1"/>
  <c r="BV88" i="1"/>
  <c r="CA156" i="1"/>
  <c r="CB116" i="1"/>
  <c r="CG110" i="1"/>
  <c r="CM95" i="1"/>
  <c r="CM110" i="1" s="1"/>
  <c r="CG119" i="1"/>
  <c r="CM96" i="1"/>
  <c r="CM119" i="1" s="1"/>
  <c r="CM93" i="1"/>
  <c r="CM116" i="1" s="1"/>
  <c r="CG116" i="1"/>
  <c r="BN106" i="1"/>
  <c r="BN152" i="1" s="1"/>
  <c r="CB110" i="1"/>
  <c r="CB158" i="1" s="1"/>
  <c r="CA158" i="1"/>
  <c r="CA159" i="1"/>
  <c r="CB119" i="1"/>
  <c r="BV95" i="1"/>
  <c r="BX158" i="1"/>
  <c r="BV94" i="1"/>
  <c r="BV157" i="1"/>
  <c r="BX157" i="1"/>
  <c r="CG117" i="1"/>
  <c r="CM94" i="1"/>
  <c r="CM117" i="1" s="1"/>
  <c r="BV155" i="1"/>
  <c r="BV92" i="1"/>
  <c r="BX155" i="1"/>
  <c r="CB117" i="1"/>
  <c r="CA157" i="1"/>
  <c r="BV93" i="1"/>
  <c r="BV156" i="1"/>
  <c r="BX156" i="1"/>
  <c r="BP102" i="1"/>
  <c r="CG100" i="1"/>
  <c r="CM88" i="1"/>
  <c r="CM100" i="1" s="1"/>
  <c r="CB100" i="1"/>
  <c r="BG149" i="1"/>
  <c r="I46" i="3"/>
  <c r="J46" i="3"/>
  <c r="P20" i="3"/>
  <c r="P27" i="3"/>
  <c r="L46" i="3"/>
  <c r="P14" i="3"/>
  <c r="G50" i="3"/>
  <c r="G51" i="3"/>
  <c r="G75" i="3"/>
  <c r="G76" i="3"/>
  <c r="G74" i="3"/>
  <c r="P5" i="3"/>
  <c r="P6" i="3" s="1"/>
  <c r="H46" i="3"/>
  <c r="H69" i="3"/>
  <c r="BP4" i="1"/>
  <c r="P16" i="3"/>
  <c r="BN29" i="1"/>
  <c r="BN30" i="1" s="1"/>
  <c r="BN31" i="5"/>
  <c r="BT31" i="5"/>
  <c r="BN27" i="1"/>
  <c r="BN28" i="1" s="1"/>
  <c r="BN27" i="5"/>
  <c r="BT27" i="5"/>
  <c r="BO25" i="5"/>
  <c r="BO29" i="5"/>
  <c r="BO32" i="5"/>
  <c r="BO35" i="5"/>
  <c r="BO21" i="5"/>
  <c r="H34" i="3"/>
  <c r="H68" i="3"/>
  <c r="J71" i="3"/>
  <c r="BN25" i="1"/>
  <c r="BN26" i="1" s="1"/>
  <c r="BN23" i="5"/>
  <c r="BT23" i="5"/>
  <c r="BN39" i="5"/>
  <c r="I34" i="3"/>
  <c r="I68" i="3"/>
  <c r="BN33" i="1"/>
  <c r="BN34" i="1" s="1"/>
  <c r="BN37" i="5"/>
  <c r="BT37" i="5"/>
  <c r="BM40" i="5"/>
  <c r="P79" i="1"/>
  <c r="J79" i="1"/>
  <c r="AF79" i="1"/>
  <c r="G34" i="3"/>
  <c r="T51" i="1"/>
  <c r="N51" i="1"/>
  <c r="AL50" i="1"/>
  <c r="L33" i="3" s="1"/>
  <c r="AR161" i="1"/>
  <c r="AR48" i="1"/>
  <c r="AR41" i="1"/>
  <c r="AC79" i="1"/>
  <c r="AB79" i="1"/>
  <c r="AV57" i="1"/>
  <c r="AV140" i="1"/>
  <c r="AV161" i="1" s="1"/>
  <c r="AU57" i="1"/>
  <c r="P66" i="1"/>
  <c r="H43" i="6"/>
  <c r="AC66" i="1"/>
  <c r="AO79" i="1"/>
  <c r="AO66" i="1"/>
  <c r="K43" i="6"/>
  <c r="AB66" i="1"/>
  <c r="AF66" i="1"/>
  <c r="AP77" i="1"/>
  <c r="AP78" i="1" s="1"/>
  <c r="AP79" i="1" s="1"/>
  <c r="AP65" i="1"/>
  <c r="AP66" i="1" s="1"/>
  <c r="AP64" i="1"/>
  <c r="AI66" i="1"/>
  <c r="G43" i="6"/>
  <c r="AH66" i="1"/>
  <c r="BP10" i="5"/>
  <c r="BP11" i="5"/>
  <c r="BO10" i="5"/>
  <c r="BO13" i="5"/>
  <c r="BP13" i="5" s="1"/>
  <c r="BO11" i="5"/>
  <c r="BO12" i="5"/>
  <c r="BP12" i="5" s="1"/>
  <c r="Q12" i="6"/>
  <c r="F52" i="6"/>
  <c r="F55" i="6" s="1"/>
  <c r="F46" i="6"/>
  <c r="F49" i="6" s="1"/>
  <c r="S20" i="6"/>
  <c r="S31" i="6"/>
  <c r="Q25" i="6"/>
  <c r="AO133" i="1"/>
  <c r="AI79" i="1"/>
  <c r="P25" i="6"/>
  <c r="S37" i="6"/>
  <c r="AL60" i="1"/>
  <c r="AL59" i="1"/>
  <c r="R2" i="3"/>
  <c r="O8" i="12" s="1"/>
  <c r="AO111" i="1"/>
  <c r="AT59" i="1"/>
  <c r="AT60" i="1"/>
  <c r="AP104" i="1"/>
  <c r="AP132" i="1"/>
  <c r="AP133" i="1" s="1"/>
  <c r="CD347" i="1"/>
  <c r="CE347" i="1" s="1"/>
  <c r="CF347" i="1" s="1"/>
  <c r="CG347" i="1" s="1"/>
  <c r="CB347" i="1"/>
  <c r="AR121" i="1"/>
  <c r="AJ132" i="1"/>
  <c r="AI132" i="1"/>
  <c r="BI80" i="1" l="1"/>
  <c r="BJ80" i="1" s="1"/>
  <c r="BL370" i="1"/>
  <c r="BJ370" i="1"/>
  <c r="BL378" i="1"/>
  <c r="BM371" i="1"/>
  <c r="BM81" i="1" s="1"/>
  <c r="AO134" i="1"/>
  <c r="CN100" i="1"/>
  <c r="CB157" i="1"/>
  <c r="CB94" i="1"/>
  <c r="CD157" i="1"/>
  <c r="CN110" i="1"/>
  <c r="CN95" i="1" s="1"/>
  <c r="CM158" i="1"/>
  <c r="CH100" i="1"/>
  <c r="CD158" i="1"/>
  <c r="CB95" i="1"/>
  <c r="CH110" i="1"/>
  <c r="CG158" i="1"/>
  <c r="CB155" i="1"/>
  <c r="CB92" i="1"/>
  <c r="CD155" i="1"/>
  <c r="BR102" i="1"/>
  <c r="BO106" i="1"/>
  <c r="BP106" i="1" s="1"/>
  <c r="CB156" i="1"/>
  <c r="CB93" i="1"/>
  <c r="CD156" i="1"/>
  <c r="CN117" i="1"/>
  <c r="CM157" i="1"/>
  <c r="CG156" i="1"/>
  <c r="CH116" i="1"/>
  <c r="CH117" i="1"/>
  <c r="CG157" i="1"/>
  <c r="CB96" i="1"/>
  <c r="CB159" i="1"/>
  <c r="CD159" i="1"/>
  <c r="CM156" i="1"/>
  <c r="CN116" i="1"/>
  <c r="CB88" i="1"/>
  <c r="CM159" i="1"/>
  <c r="CN119" i="1"/>
  <c r="CM155" i="1"/>
  <c r="CN115" i="1"/>
  <c r="CH119" i="1"/>
  <c r="CG159" i="1"/>
  <c r="CH115" i="1"/>
  <c r="CG155" i="1"/>
  <c r="BJ149" i="1"/>
  <c r="BH149" i="1"/>
  <c r="L69" i="3"/>
  <c r="P9" i="3"/>
  <c r="H76" i="3"/>
  <c r="H74" i="3"/>
  <c r="H75" i="3"/>
  <c r="H50" i="3"/>
  <c r="H51" i="3"/>
  <c r="Q27" i="3"/>
  <c r="BV4" i="1"/>
  <c r="R5" i="3" s="1"/>
  <c r="Q5" i="3"/>
  <c r="Q6" i="3" s="1"/>
  <c r="Q7" i="3"/>
  <c r="BN40" i="5"/>
  <c r="BO29" i="1"/>
  <c r="BO30" i="1" s="1"/>
  <c r="BO31" i="5"/>
  <c r="BU31" i="5"/>
  <c r="BO27" i="1"/>
  <c r="BO28" i="1" s="1"/>
  <c r="BO27" i="5"/>
  <c r="BU27" i="5"/>
  <c r="BO25" i="1"/>
  <c r="BO26" i="1" s="1"/>
  <c r="BO23" i="5"/>
  <c r="BU23" i="5"/>
  <c r="BO39" i="5"/>
  <c r="BP21" i="5"/>
  <c r="L34" i="3"/>
  <c r="L68" i="3"/>
  <c r="BP25" i="5"/>
  <c r="BO33" i="1"/>
  <c r="BO34" i="1" s="1"/>
  <c r="BO37" i="5"/>
  <c r="BU37" i="5"/>
  <c r="BP35" i="5"/>
  <c r="BP29" i="5"/>
  <c r="BO31" i="1"/>
  <c r="BO32" i="1" s="1"/>
  <c r="BP32" i="5"/>
  <c r="AU140" i="1"/>
  <c r="AU161" i="1" s="1"/>
  <c r="AR50" i="1"/>
  <c r="M33" i="3" s="1"/>
  <c r="AL51" i="1"/>
  <c r="AL63" i="1"/>
  <c r="L43" i="6"/>
  <c r="T77" i="1"/>
  <c r="T78" i="1" s="1"/>
  <c r="T65" i="1"/>
  <c r="T64" i="1"/>
  <c r="AQ77" i="1"/>
  <c r="AQ78" i="1" s="1"/>
  <c r="AQ79" i="1" s="1"/>
  <c r="AQ64" i="1"/>
  <c r="AQ65" i="1"/>
  <c r="AQ66" i="1" s="1"/>
  <c r="R51" i="10"/>
  <c r="AX113" i="1"/>
  <c r="AZ113" i="1" s="1"/>
  <c r="AX105" i="1"/>
  <c r="G52" i="6"/>
  <c r="G55" i="6" s="1"/>
  <c r="G46" i="6"/>
  <c r="G49" i="6" s="1"/>
  <c r="I52" i="6"/>
  <c r="I55" i="6" s="1"/>
  <c r="I46" i="6"/>
  <c r="I49" i="6" s="1"/>
  <c r="O20" i="6"/>
  <c r="O31" i="6"/>
  <c r="AR59" i="1"/>
  <c r="AR60" i="1"/>
  <c r="O37" i="6"/>
  <c r="T25" i="6"/>
  <c r="S2" i="3"/>
  <c r="P8" i="12" s="1"/>
  <c r="CH347" i="1"/>
  <c r="CJ347" i="1"/>
  <c r="CK347" i="1" s="1"/>
  <c r="CL347" i="1" s="1"/>
  <c r="CM347" i="1" s="1"/>
  <c r="CN347" i="1" s="1"/>
  <c r="Q47" i="10"/>
  <c r="AP111" i="1"/>
  <c r="AP134" i="1" s="1"/>
  <c r="AQ132" i="1"/>
  <c r="AR132" i="1"/>
  <c r="AQ104" i="1"/>
  <c r="AT121" i="1"/>
  <c r="AT63" i="1"/>
  <c r="BM370" i="1" l="1"/>
  <c r="BL80" i="1"/>
  <c r="AZ105" i="1"/>
  <c r="BA105" i="1" s="1"/>
  <c r="BB105" i="1" s="1"/>
  <c r="BC105" i="1" s="1"/>
  <c r="BD105" i="1" s="1"/>
  <c r="BM378" i="1"/>
  <c r="BN371" i="1"/>
  <c r="BN81" i="1" s="1"/>
  <c r="P17" i="3"/>
  <c r="M9" i="12"/>
  <c r="BA113" i="1"/>
  <c r="CH157" i="1"/>
  <c r="CH94" i="1"/>
  <c r="CJ157" i="1"/>
  <c r="CH88" i="1"/>
  <c r="CH159" i="1"/>
  <c r="CH96" i="1"/>
  <c r="CJ159" i="1"/>
  <c r="CH93" i="1"/>
  <c r="CH156" i="1"/>
  <c r="CJ156" i="1"/>
  <c r="BO152" i="1"/>
  <c r="CN155" i="1"/>
  <c r="CN92" i="1"/>
  <c r="CN93" i="1"/>
  <c r="CN156" i="1"/>
  <c r="BP89" i="1"/>
  <c r="BR106" i="1"/>
  <c r="BR152" i="1" s="1"/>
  <c r="BP152" i="1"/>
  <c r="CJ158" i="1"/>
  <c r="CN158" i="1"/>
  <c r="CH95" i="1"/>
  <c r="CH158" i="1"/>
  <c r="CN96" i="1"/>
  <c r="CN159" i="1"/>
  <c r="CN157" i="1"/>
  <c r="CN94" i="1"/>
  <c r="BS102" i="1"/>
  <c r="CH155" i="1"/>
  <c r="CH92" i="1"/>
  <c r="CJ155" i="1"/>
  <c r="CN88" i="1"/>
  <c r="BI149" i="1"/>
  <c r="P15" i="3"/>
  <c r="R20" i="3"/>
  <c r="P21" i="3"/>
  <c r="P19" i="3"/>
  <c r="P28" i="3"/>
  <c r="P23" i="3"/>
  <c r="R22" i="3"/>
  <c r="R14" i="3"/>
  <c r="R7" i="3"/>
  <c r="R8" i="3" s="1"/>
  <c r="R18" i="3"/>
  <c r="R27" i="3"/>
  <c r="R16" i="3"/>
  <c r="R6" i="3"/>
  <c r="Q9" i="3"/>
  <c r="Q8" i="3"/>
  <c r="CB4" i="1"/>
  <c r="BP33" i="1"/>
  <c r="BP37" i="5"/>
  <c r="BV37" i="5"/>
  <c r="BP36" i="5"/>
  <c r="BP25" i="1"/>
  <c r="BP22" i="5"/>
  <c r="BP23" i="5"/>
  <c r="BV23" i="5"/>
  <c r="BP39" i="5"/>
  <c r="BO40" i="5"/>
  <c r="BP31" i="1"/>
  <c r="BP33" i="5"/>
  <c r="I71" i="3"/>
  <c r="I72" i="3"/>
  <c r="J72" i="3"/>
  <c r="BP27" i="1"/>
  <c r="BP27" i="5"/>
  <c r="BV27" i="5"/>
  <c r="BP26" i="5"/>
  <c r="BP28" i="5" s="1"/>
  <c r="M34" i="3"/>
  <c r="BP29" i="1"/>
  <c r="BP31" i="5"/>
  <c r="BV31" i="5"/>
  <c r="BP30" i="5"/>
  <c r="Z79" i="1"/>
  <c r="T79" i="1"/>
  <c r="AR51" i="1"/>
  <c r="M43" i="6"/>
  <c r="AR63" i="1"/>
  <c r="AR163" i="1" s="1"/>
  <c r="T66" i="1"/>
  <c r="Z66" i="1"/>
  <c r="AL77" i="1"/>
  <c r="AL78" i="1" s="1"/>
  <c r="Y68" i="3" s="1"/>
  <c r="AL64" i="1"/>
  <c r="AL65" i="1"/>
  <c r="AL66" i="1" s="1"/>
  <c r="AT77" i="1"/>
  <c r="AT78" i="1" s="1"/>
  <c r="AT79" i="1" s="1"/>
  <c r="AT65" i="1"/>
  <c r="AT66" i="1" s="1"/>
  <c r="AT64" i="1"/>
  <c r="S51" i="10"/>
  <c r="P20" i="6"/>
  <c r="P31" i="6"/>
  <c r="P37" i="6"/>
  <c r="AR125" i="1"/>
  <c r="T2" i="3"/>
  <c r="Q8" i="12" s="1"/>
  <c r="AU121" i="1"/>
  <c r="AR104" i="1"/>
  <c r="R47" i="10"/>
  <c r="AR377" i="1"/>
  <c r="AT125" i="1"/>
  <c r="AT133" i="1" s="1"/>
  <c r="AH364" i="1"/>
  <c r="AH366" i="1" s="1"/>
  <c r="AH358" i="1" s="1"/>
  <c r="AH361" i="1" s="1"/>
  <c r="AH367" i="1" s="1"/>
  <c r="AI364" i="1"/>
  <c r="AQ125" i="1"/>
  <c r="AQ133" i="1" s="1"/>
  <c r="BF105" i="1" l="1"/>
  <c r="BG105" i="1" s="1"/>
  <c r="BH105" i="1" s="1"/>
  <c r="BI105" i="1" s="1"/>
  <c r="BJ105" i="1" s="1"/>
  <c r="BN370" i="1"/>
  <c r="BM80" i="1"/>
  <c r="BO371" i="1"/>
  <c r="BO81" i="1" s="1"/>
  <c r="BP81" i="1" s="1"/>
  <c r="BN378" i="1"/>
  <c r="Q28" i="3"/>
  <c r="N9" i="12"/>
  <c r="AI125" i="1"/>
  <c r="AI133" i="1" s="1"/>
  <c r="AI366" i="1"/>
  <c r="AI358" i="1" s="1"/>
  <c r="AI361" i="1" s="1"/>
  <c r="AI363" i="1" s="1"/>
  <c r="AH363" i="1"/>
  <c r="BS106" i="1"/>
  <c r="BS152" i="1" s="1"/>
  <c r="BT102" i="1"/>
  <c r="BB113" i="1"/>
  <c r="BC113" i="1" s="1"/>
  <c r="BL149" i="1"/>
  <c r="R9" i="3"/>
  <c r="S27" i="3"/>
  <c r="S5" i="3"/>
  <c r="S6" i="3" s="1"/>
  <c r="S22" i="3"/>
  <c r="CH4" i="1"/>
  <c r="S18" i="3"/>
  <c r="S14" i="3"/>
  <c r="S20" i="3"/>
  <c r="S16" i="3"/>
  <c r="Q10" i="3"/>
  <c r="Q11" i="3"/>
  <c r="S7" i="3"/>
  <c r="Q13" i="10"/>
  <c r="BP24" i="5"/>
  <c r="BV24" i="5"/>
  <c r="BP16" i="1"/>
  <c r="BP26" i="1"/>
  <c r="BV16" i="1"/>
  <c r="Q14" i="3"/>
  <c r="Q15" i="3" s="1"/>
  <c r="BP32" i="1"/>
  <c r="Q20" i="3"/>
  <c r="Q21" i="3" s="1"/>
  <c r="BP40" i="5"/>
  <c r="BP34" i="1"/>
  <c r="Q22" i="3"/>
  <c r="Q23" i="3" s="1"/>
  <c r="BP28" i="1"/>
  <c r="Q16" i="3"/>
  <c r="Q17" i="3" s="1"/>
  <c r="BP30" i="1"/>
  <c r="Q18" i="3"/>
  <c r="Q19" i="3" s="1"/>
  <c r="L72" i="3"/>
  <c r="L71" i="3"/>
  <c r="D92" i="2"/>
  <c r="G92" i="2" s="1"/>
  <c r="N43" i="6"/>
  <c r="S103" i="3"/>
  <c r="S106" i="3" s="1"/>
  <c r="AL79" i="1"/>
  <c r="R43" i="6"/>
  <c r="AR77" i="1"/>
  <c r="AR78" i="1" s="1"/>
  <c r="Z68" i="3" s="1"/>
  <c r="AR64" i="1"/>
  <c r="AR65" i="1"/>
  <c r="D90" i="2"/>
  <c r="AR133" i="1"/>
  <c r="T51" i="10"/>
  <c r="AC51" i="10" s="1"/>
  <c r="AX83" i="1"/>
  <c r="AL164" i="1"/>
  <c r="AL178" i="1"/>
  <c r="L52" i="3" s="1"/>
  <c r="AL163" i="1"/>
  <c r="R52" i="6"/>
  <c r="R55" i="6" s="1"/>
  <c r="R46" i="6"/>
  <c r="R49" i="6" s="1"/>
  <c r="BR12" i="5"/>
  <c r="BR10" i="5"/>
  <c r="BR11" i="5"/>
  <c r="BR13" i="5"/>
  <c r="BR34" i="5"/>
  <c r="J52" i="6"/>
  <c r="J55" i="6" s="1"/>
  <c r="J46" i="6"/>
  <c r="J49" i="6" s="1"/>
  <c r="U2" i="3"/>
  <c r="R8" i="12" s="1"/>
  <c r="AR111" i="1"/>
  <c r="AX101" i="1"/>
  <c r="AZ101" i="1" s="1"/>
  <c r="BA101" i="1" s="1"/>
  <c r="BB101" i="1" s="1"/>
  <c r="BC101" i="1" s="1"/>
  <c r="BD101" i="1" s="1"/>
  <c r="BF101" i="1" s="1"/>
  <c r="BG101" i="1" s="1"/>
  <c r="BH101" i="1" s="1"/>
  <c r="BI101" i="1" s="1"/>
  <c r="BJ101" i="1" s="1"/>
  <c r="BL101" i="1" s="1"/>
  <c r="BM101" i="1" s="1"/>
  <c r="BN101" i="1" s="1"/>
  <c r="BO101" i="1" s="1"/>
  <c r="BP101" i="1" s="1"/>
  <c r="BR101" i="1" s="1"/>
  <c r="BS101" i="1" s="1"/>
  <c r="BT101" i="1" s="1"/>
  <c r="BU101" i="1" s="1"/>
  <c r="BV101" i="1" s="1"/>
  <c r="BX101" i="1" s="1"/>
  <c r="BY101" i="1" s="1"/>
  <c r="BZ101" i="1" s="1"/>
  <c r="CA101" i="1" s="1"/>
  <c r="CB101" i="1" s="1"/>
  <c r="CD101" i="1" s="1"/>
  <c r="CE101" i="1" s="1"/>
  <c r="CF101" i="1" s="1"/>
  <c r="CG101" i="1" s="1"/>
  <c r="CH101" i="1" s="1"/>
  <c r="CJ101" i="1" s="1"/>
  <c r="CK101" i="1" s="1"/>
  <c r="CL101" i="1" s="1"/>
  <c r="CM101" i="1" s="1"/>
  <c r="CN101" i="1" s="1"/>
  <c r="AT104" i="1"/>
  <c r="AX120" i="1"/>
  <c r="AZ120" i="1" s="1"/>
  <c r="BA120" i="1" s="1"/>
  <c r="BB120" i="1" s="1"/>
  <c r="BC120" i="1" s="1"/>
  <c r="BD120" i="1" s="1"/>
  <c r="BF120" i="1" s="1"/>
  <c r="BG120" i="1" s="1"/>
  <c r="BH120" i="1" s="1"/>
  <c r="BI120" i="1" s="1"/>
  <c r="BJ120" i="1" s="1"/>
  <c r="BL120" i="1" s="1"/>
  <c r="BM120" i="1" s="1"/>
  <c r="BN120" i="1" s="1"/>
  <c r="BO120" i="1" s="1"/>
  <c r="BP120" i="1" s="1"/>
  <c r="BR120" i="1" s="1"/>
  <c r="BS120" i="1" s="1"/>
  <c r="BT120" i="1" s="1"/>
  <c r="BU120" i="1" s="1"/>
  <c r="BV120" i="1" s="1"/>
  <c r="BX120" i="1" s="1"/>
  <c r="BY120" i="1" s="1"/>
  <c r="BZ120" i="1" s="1"/>
  <c r="CA120" i="1" s="1"/>
  <c r="CB120" i="1" s="1"/>
  <c r="CD120" i="1" s="1"/>
  <c r="CE120" i="1" s="1"/>
  <c r="CF120" i="1" s="1"/>
  <c r="CG120" i="1" s="1"/>
  <c r="CH120" i="1" s="1"/>
  <c r="CJ120" i="1" s="1"/>
  <c r="CK120" i="1" s="1"/>
  <c r="CL120" i="1" s="1"/>
  <c r="CM120" i="1" s="1"/>
  <c r="CN120" i="1" s="1"/>
  <c r="AQ111" i="1"/>
  <c r="AQ134" i="1" s="1"/>
  <c r="S47" i="10"/>
  <c r="AV121" i="1"/>
  <c r="AR134" i="1" l="1"/>
  <c r="BL105" i="1"/>
  <c r="BM105" i="1" s="1"/>
  <c r="BN105" i="1" s="1"/>
  <c r="BO105" i="1" s="1"/>
  <c r="BP105" i="1" s="1"/>
  <c r="BO370" i="1"/>
  <c r="BN80" i="1"/>
  <c r="BR371" i="1"/>
  <c r="BR81" i="1" s="1"/>
  <c r="BO378" i="1"/>
  <c r="BP371" i="1"/>
  <c r="R11" i="3"/>
  <c r="O9" i="12"/>
  <c r="AI367" i="1"/>
  <c r="BU102" i="1"/>
  <c r="BT106" i="1"/>
  <c r="BT152" i="1" s="1"/>
  <c r="BD113" i="1"/>
  <c r="BM149" i="1"/>
  <c r="R17" i="3"/>
  <c r="R19" i="3"/>
  <c r="R21" i="3"/>
  <c r="R28" i="3"/>
  <c r="R23" i="3"/>
  <c r="R15" i="3"/>
  <c r="R10" i="3"/>
  <c r="T16" i="3"/>
  <c r="T14" i="3"/>
  <c r="T27" i="3"/>
  <c r="T5" i="3"/>
  <c r="T6" i="3" s="1"/>
  <c r="T7" i="3"/>
  <c r="T22" i="3"/>
  <c r="T20" i="3"/>
  <c r="S8" i="3"/>
  <c r="S9" i="3"/>
  <c r="CN4" i="1"/>
  <c r="U5" i="3" s="1"/>
  <c r="T18" i="3"/>
  <c r="AR66" i="1"/>
  <c r="M71" i="3"/>
  <c r="M72" i="3"/>
  <c r="D93" i="2"/>
  <c r="G93" i="2" s="1"/>
  <c r="Y70" i="3"/>
  <c r="T103" i="3"/>
  <c r="T104" i="3" s="1"/>
  <c r="AR79" i="1"/>
  <c r="AW124" i="1"/>
  <c r="AX124" i="1" s="1"/>
  <c r="AZ124" i="1" s="1"/>
  <c r="BA124" i="1" s="1"/>
  <c r="BB124" i="1" s="1"/>
  <c r="BC124" i="1" s="1"/>
  <c r="BD124" i="1" s="1"/>
  <c r="BF124" i="1" s="1"/>
  <c r="BG124" i="1" s="1"/>
  <c r="BH124" i="1" s="1"/>
  <c r="BI124" i="1" s="1"/>
  <c r="BJ124" i="1" s="1"/>
  <c r="BL124" i="1" s="1"/>
  <c r="BM124" i="1" s="1"/>
  <c r="BN124" i="1" s="1"/>
  <c r="BO124" i="1" s="1"/>
  <c r="BP124" i="1" s="1"/>
  <c r="BR124" i="1" s="1"/>
  <c r="BS124" i="1" s="1"/>
  <c r="BT124" i="1" s="1"/>
  <c r="BU124" i="1" s="1"/>
  <c r="BV124" i="1" s="1"/>
  <c r="BX124" i="1" s="1"/>
  <c r="BY124" i="1" s="1"/>
  <c r="BZ124" i="1" s="1"/>
  <c r="CA124" i="1" s="1"/>
  <c r="CB124" i="1" s="1"/>
  <c r="CD124" i="1" s="1"/>
  <c r="CE124" i="1" s="1"/>
  <c r="CF124" i="1" s="1"/>
  <c r="CG124" i="1" s="1"/>
  <c r="CH124" i="1" s="1"/>
  <c r="CJ124" i="1" s="1"/>
  <c r="CK124" i="1" s="1"/>
  <c r="CL124" i="1" s="1"/>
  <c r="CM124" i="1" s="1"/>
  <c r="CN124" i="1" s="1"/>
  <c r="U51" i="10"/>
  <c r="BS34" i="5"/>
  <c r="BS13" i="5"/>
  <c r="BS11" i="5"/>
  <c r="BS12" i="5"/>
  <c r="BS10" i="5"/>
  <c r="Z163" i="1"/>
  <c r="Z178" i="1"/>
  <c r="J52" i="3" s="1"/>
  <c r="Z164" i="1"/>
  <c r="J47" i="3" s="1"/>
  <c r="J49" i="3" s="1"/>
  <c r="AF164" i="1"/>
  <c r="K47" i="3" s="1"/>
  <c r="K49" i="3" s="1"/>
  <c r="AF178" i="1"/>
  <c r="K52" i="3" s="1"/>
  <c r="AX116" i="1"/>
  <c r="T47" i="10"/>
  <c r="AC47" i="10" s="1"/>
  <c r="BR105" i="1" l="1"/>
  <c r="BS105" i="1" s="1"/>
  <c r="BT105" i="1" s="1"/>
  <c r="BU105" i="1" s="1"/>
  <c r="BV105" i="1" s="1"/>
  <c r="BX105" i="1" s="1"/>
  <c r="BY105" i="1" s="1"/>
  <c r="BZ105" i="1" s="1"/>
  <c r="CA105" i="1" s="1"/>
  <c r="CB105" i="1" s="1"/>
  <c r="BP370" i="1"/>
  <c r="BR370" i="1"/>
  <c r="BO80" i="1"/>
  <c r="BP80" i="1" s="1"/>
  <c r="BS371" i="1"/>
  <c r="BS81" i="1" s="1"/>
  <c r="BR378" i="1"/>
  <c r="S15" i="3"/>
  <c r="P9" i="12"/>
  <c r="BF113" i="1"/>
  <c r="BU106" i="1"/>
  <c r="BV106" i="1" s="1"/>
  <c r="AX156" i="1"/>
  <c r="AZ156" i="1"/>
  <c r="BD156" i="1"/>
  <c r="BV102" i="1"/>
  <c r="BP149" i="1"/>
  <c r="BN149" i="1"/>
  <c r="U6" i="3"/>
  <c r="AX93" i="1"/>
  <c r="T9" i="3"/>
  <c r="T8" i="3"/>
  <c r="U27" i="3"/>
  <c r="S21" i="3"/>
  <c r="U22" i="3"/>
  <c r="S17" i="3"/>
  <c r="K51" i="3"/>
  <c r="K55" i="3"/>
  <c r="K75" i="3"/>
  <c r="K50" i="3"/>
  <c r="K76" i="3"/>
  <c r="K74" i="3"/>
  <c r="U7" i="3"/>
  <c r="U14" i="3"/>
  <c r="U18" i="3"/>
  <c r="S11" i="3"/>
  <c r="S10" i="3"/>
  <c r="S28" i="3"/>
  <c r="S23" i="3"/>
  <c r="S19" i="3"/>
  <c r="J55" i="3"/>
  <c r="J50" i="3"/>
  <c r="J51" i="3"/>
  <c r="J76" i="3"/>
  <c r="J75" i="3"/>
  <c r="J74" i="3"/>
  <c r="U20" i="3"/>
  <c r="Z70" i="3"/>
  <c r="S43" i="6"/>
  <c r="T106" i="3"/>
  <c r="T108" i="3" s="1"/>
  <c r="V51" i="10"/>
  <c r="BT34" i="5"/>
  <c r="BT13" i="5"/>
  <c r="BT12" i="5"/>
  <c r="BT11" i="5"/>
  <c r="BT10" i="5"/>
  <c r="K52" i="6"/>
  <c r="K55" i="6" s="1"/>
  <c r="K46" i="6"/>
  <c r="K49" i="6" s="1"/>
  <c r="AX123" i="1"/>
  <c r="AZ123" i="1" s="1"/>
  <c r="BA123" i="1" s="1"/>
  <c r="BB123" i="1" s="1"/>
  <c r="BC123" i="1" s="1"/>
  <c r="BD123" i="1" s="1"/>
  <c r="BF123" i="1" s="1"/>
  <c r="BG123" i="1" s="1"/>
  <c r="BH123" i="1" s="1"/>
  <c r="BI123" i="1" s="1"/>
  <c r="BJ123" i="1" s="1"/>
  <c r="BL123" i="1" s="1"/>
  <c r="BM123" i="1" s="1"/>
  <c r="BN123" i="1" s="1"/>
  <c r="BO123" i="1" s="1"/>
  <c r="BP123" i="1" s="1"/>
  <c r="BR123" i="1" s="1"/>
  <c r="BS123" i="1" s="1"/>
  <c r="BT123" i="1" s="1"/>
  <c r="BU123" i="1" s="1"/>
  <c r="BV123" i="1" s="1"/>
  <c r="BX123" i="1" s="1"/>
  <c r="BY123" i="1" s="1"/>
  <c r="BZ123" i="1" s="1"/>
  <c r="CA123" i="1" s="1"/>
  <c r="CB123" i="1" s="1"/>
  <c r="CD123" i="1" s="1"/>
  <c r="CE123" i="1" s="1"/>
  <c r="CF123" i="1" s="1"/>
  <c r="CG123" i="1" s="1"/>
  <c r="CH123" i="1" s="1"/>
  <c r="CJ123" i="1" s="1"/>
  <c r="CK123" i="1" s="1"/>
  <c r="CL123" i="1" s="1"/>
  <c r="CM123" i="1" s="1"/>
  <c r="CN123" i="1" s="1"/>
  <c r="AT111" i="1"/>
  <c r="AT134" i="1" s="1"/>
  <c r="AI104" i="1"/>
  <c r="AI111" i="1" s="1"/>
  <c r="AI134" i="1" s="1"/>
  <c r="CD105" i="1" l="1"/>
  <c r="CE105" i="1" s="1"/>
  <c r="CF105" i="1" s="1"/>
  <c r="CG105" i="1" s="1"/>
  <c r="CH105" i="1" s="1"/>
  <c r="BS370" i="1"/>
  <c r="BR80" i="1"/>
  <c r="BS378" i="1"/>
  <c r="BT371" i="1"/>
  <c r="BT81" i="1" s="1"/>
  <c r="T21" i="3"/>
  <c r="Q9" i="12"/>
  <c r="U47" i="10"/>
  <c r="BU152" i="1"/>
  <c r="BV89" i="1"/>
  <c r="BX106" i="1"/>
  <c r="BX152" i="1" s="1"/>
  <c r="BV152" i="1"/>
  <c r="BX102" i="1"/>
  <c r="BG113" i="1"/>
  <c r="BO149" i="1"/>
  <c r="T17" i="3"/>
  <c r="T11" i="3"/>
  <c r="T28" i="3"/>
  <c r="T23" i="3"/>
  <c r="T10" i="3"/>
  <c r="T15" i="3"/>
  <c r="T19" i="3"/>
  <c r="U8" i="3"/>
  <c r="U9" i="3"/>
  <c r="BC83" i="1"/>
  <c r="W51" i="10"/>
  <c r="BV26" i="5"/>
  <c r="BV28" i="5" s="1"/>
  <c r="BV36" i="5"/>
  <c r="BV30" i="5"/>
  <c r="BV10" i="5"/>
  <c r="BV11" i="5"/>
  <c r="BU34" i="5"/>
  <c r="BU11" i="5"/>
  <c r="BU13" i="5"/>
  <c r="BV13" i="5" s="1"/>
  <c r="BU12" i="5"/>
  <c r="BV12" i="5" s="1"/>
  <c r="BU10" i="5"/>
  <c r="V47" i="10"/>
  <c r="AW378" i="1"/>
  <c r="CJ105" i="1" l="1"/>
  <c r="CK105" i="1" s="1"/>
  <c r="CL105" i="1" s="1"/>
  <c r="CM105" i="1" s="1"/>
  <c r="CN105" i="1" s="1"/>
  <c r="BT370" i="1"/>
  <c r="BS80" i="1"/>
  <c r="BU371" i="1"/>
  <c r="BU81" i="1" s="1"/>
  <c r="BV81" i="1" s="1"/>
  <c r="BT378" i="1"/>
  <c r="U19" i="3"/>
  <c r="R9" i="12"/>
  <c r="AX377" i="1"/>
  <c r="BY102" i="1"/>
  <c r="BY106" i="1"/>
  <c r="BY152" i="1" s="1"/>
  <c r="BH113" i="1"/>
  <c r="BR149" i="1"/>
  <c r="U15" i="3"/>
  <c r="U21" i="3"/>
  <c r="U11" i="3"/>
  <c r="U10" i="3"/>
  <c r="U28" i="3"/>
  <c r="U23" i="3"/>
  <c r="BD83" i="1"/>
  <c r="BF83" i="1"/>
  <c r="X51" i="10"/>
  <c r="AD51" i="10" s="1"/>
  <c r="BV34" i="5"/>
  <c r="BV33" i="5"/>
  <c r="R11" i="10"/>
  <c r="W47" i="10"/>
  <c r="S11" i="10"/>
  <c r="AJ364" i="1"/>
  <c r="BU370" i="1" l="1"/>
  <c r="BT80" i="1"/>
  <c r="BV371" i="1"/>
  <c r="BX371" i="1"/>
  <c r="BX81" i="1" s="1"/>
  <c r="BU378" i="1"/>
  <c r="AJ125" i="1"/>
  <c r="AJ133" i="1" s="1"/>
  <c r="AJ366" i="1"/>
  <c r="AJ358" i="1" s="1"/>
  <c r="AJ361" i="1" s="1"/>
  <c r="AJ367" i="1" s="1"/>
  <c r="BZ106" i="1"/>
  <c r="BZ152" i="1" s="1"/>
  <c r="BZ102" i="1"/>
  <c r="BI113" i="1"/>
  <c r="BS149" i="1"/>
  <c r="BG83" i="1"/>
  <c r="Y51" i="10"/>
  <c r="T11" i="10"/>
  <c r="AC11" i="10" s="1"/>
  <c r="X47" i="10"/>
  <c r="BU80" i="1" l="1"/>
  <c r="BV80" i="1" s="1"/>
  <c r="BV370" i="1"/>
  <c r="BX370" i="1"/>
  <c r="BY371" i="1"/>
  <c r="BY81" i="1" s="1"/>
  <c r="BX378" i="1"/>
  <c r="AJ363" i="1"/>
  <c r="BH83" i="1"/>
  <c r="BJ113" i="1"/>
  <c r="CA102" i="1"/>
  <c r="CA106" i="1"/>
  <c r="CB106" i="1" s="1"/>
  <c r="BV149" i="1"/>
  <c r="BT149" i="1"/>
  <c r="Z51" i="10"/>
  <c r="BX12" i="5"/>
  <c r="BX10" i="5"/>
  <c r="BX11" i="5"/>
  <c r="BX13" i="5"/>
  <c r="BX34" i="5"/>
  <c r="AX80" i="1"/>
  <c r="BD93" i="1"/>
  <c r="Y47" i="10"/>
  <c r="AD47" i="10" s="1"/>
  <c r="BY370" i="1" l="1"/>
  <c r="BX80" i="1"/>
  <c r="BZ371" i="1"/>
  <c r="BZ81" i="1" s="1"/>
  <c r="BY378" i="1"/>
  <c r="AZ179" i="1"/>
  <c r="AZ384" i="1" s="1"/>
  <c r="AZ388" i="1" s="1"/>
  <c r="AX370" i="1"/>
  <c r="CB102" i="1"/>
  <c r="BL113" i="1"/>
  <c r="CA152" i="1"/>
  <c r="BI83" i="1"/>
  <c r="CB89" i="1"/>
  <c r="CD106" i="1"/>
  <c r="CD152" i="1" s="1"/>
  <c r="CB152" i="1"/>
  <c r="BU149" i="1"/>
  <c r="AA51" i="10"/>
  <c r="BY34" i="5"/>
  <c r="BY12" i="5"/>
  <c r="BY13" i="5"/>
  <c r="BY11" i="5"/>
  <c r="BY10" i="5"/>
  <c r="U11" i="10"/>
  <c r="Z47" i="10"/>
  <c r="BD377" i="1"/>
  <c r="V11" i="10"/>
  <c r="AJ104" i="1"/>
  <c r="AJ111" i="1" s="1"/>
  <c r="AJ134" i="1" s="1"/>
  <c r="Q47" i="3" l="1"/>
  <c r="R53" i="3"/>
  <c r="P53" i="3"/>
  <c r="Q53" i="3"/>
  <c r="P47" i="3"/>
  <c r="U47" i="3"/>
  <c r="N53" i="3"/>
  <c r="M47" i="3"/>
  <c r="L47" i="3"/>
  <c r="L49" i="3" s="1"/>
  <c r="O47" i="3"/>
  <c r="S47" i="3"/>
  <c r="R47" i="3"/>
  <c r="T47" i="3"/>
  <c r="BZ370" i="1"/>
  <c r="BY80" i="1"/>
  <c r="CA371" i="1"/>
  <c r="CA81" i="1" s="1"/>
  <c r="CB81" i="1" s="1"/>
  <c r="BZ378" i="1"/>
  <c r="BD371" i="1"/>
  <c r="O53" i="3" s="1"/>
  <c r="BD370" i="1"/>
  <c r="BL83" i="1"/>
  <c r="CE106" i="1"/>
  <c r="BA179" i="1"/>
  <c r="BA384" i="1" s="1"/>
  <c r="BA388" i="1" s="1"/>
  <c r="BM113" i="1"/>
  <c r="BJ83" i="1"/>
  <c r="CD102" i="1"/>
  <c r="BX149" i="1"/>
  <c r="AB51" i="10"/>
  <c r="AE51" i="10" s="1"/>
  <c r="BZ34" i="5"/>
  <c r="BZ13" i="5"/>
  <c r="BZ11" i="5"/>
  <c r="BZ10" i="5"/>
  <c r="BZ12" i="5"/>
  <c r="W11" i="10"/>
  <c r="AA47" i="10"/>
  <c r="L96" i="3" l="1"/>
  <c r="L74" i="3"/>
  <c r="L75" i="3"/>
  <c r="L50" i="3"/>
  <c r="L55" i="3"/>
  <c r="L76" i="3"/>
  <c r="L51" i="3"/>
  <c r="CA370" i="1"/>
  <c r="BZ80" i="1"/>
  <c r="CB371" i="1"/>
  <c r="S53" i="3" s="1"/>
  <c r="CD371" i="1"/>
  <c r="CD81" i="1" s="1"/>
  <c r="CA378" i="1"/>
  <c r="CF106" i="1"/>
  <c r="CF152" i="1" s="1"/>
  <c r="CE102" i="1"/>
  <c r="BN113" i="1"/>
  <c r="BB179" i="1"/>
  <c r="BB384" i="1" s="1"/>
  <c r="BB388" i="1" s="1"/>
  <c r="BM83" i="1"/>
  <c r="CE152" i="1"/>
  <c r="BY149" i="1"/>
  <c r="L79" i="3"/>
  <c r="CB26" i="5"/>
  <c r="CB28" i="5" s="1"/>
  <c r="CB30" i="5"/>
  <c r="CB11" i="5"/>
  <c r="CB36" i="5"/>
  <c r="CB10" i="5"/>
  <c r="CA13" i="5"/>
  <c r="CB13" i="5" s="1"/>
  <c r="CA11" i="5"/>
  <c r="CA12" i="5"/>
  <c r="CB12" i="5" s="1"/>
  <c r="CA10" i="5"/>
  <c r="CB33" i="5"/>
  <c r="CB34" i="5"/>
  <c r="CA34" i="5"/>
  <c r="AB47" i="10"/>
  <c r="AE47" i="10" s="1"/>
  <c r="AL364" i="1"/>
  <c r="X11" i="10"/>
  <c r="AD11" i="10" s="1"/>
  <c r="AK364" i="1"/>
  <c r="AK366" i="1" s="1"/>
  <c r="AK358" i="1" s="1"/>
  <c r="AK361" i="1" s="1"/>
  <c r="AK367" i="1" s="1"/>
  <c r="CA80" i="1" l="1"/>
  <c r="CB80" i="1" s="1"/>
  <c r="CB370" i="1"/>
  <c r="CD370" i="1"/>
  <c r="CD378" i="1"/>
  <c r="CE371" i="1"/>
  <c r="CE81" i="1" s="1"/>
  <c r="L93" i="3"/>
  <c r="L94" i="3" s="1"/>
  <c r="AL366" i="1"/>
  <c r="BC179" i="1"/>
  <c r="BO113" i="1"/>
  <c r="CF102" i="1"/>
  <c r="BN83" i="1"/>
  <c r="CG106" i="1"/>
  <c r="CH106" i="1" s="1"/>
  <c r="CB149" i="1"/>
  <c r="BZ149" i="1"/>
  <c r="L82" i="3"/>
  <c r="L83" i="3" s="1"/>
  <c r="O58" i="3"/>
  <c r="O59" i="3" s="1"/>
  <c r="AN364" i="1"/>
  <c r="AN366" i="1" s="1"/>
  <c r="AN358" i="1" s="1"/>
  <c r="AK363" i="1"/>
  <c r="AL361" i="1"/>
  <c r="CE370" i="1" l="1"/>
  <c r="CD80" i="1"/>
  <c r="CF371" i="1"/>
  <c r="CF81" i="1" s="1"/>
  <c r="CE378" i="1"/>
  <c r="BD179" i="1"/>
  <c r="BC384" i="1"/>
  <c r="AL363" i="1"/>
  <c r="AL367" i="1"/>
  <c r="CG152" i="1"/>
  <c r="CH89" i="1"/>
  <c r="CJ106" i="1"/>
  <c r="CJ152" i="1" s="1"/>
  <c r="CH152" i="1"/>
  <c r="BP113" i="1"/>
  <c r="BO83" i="1"/>
  <c r="BP83" i="1" s="1"/>
  <c r="BF179" i="1"/>
  <c r="BF384" i="1" s="1"/>
  <c r="BF388" i="1" s="1"/>
  <c r="CG102" i="1"/>
  <c r="CA149" i="1"/>
  <c r="L86" i="3"/>
  <c r="L80" i="3"/>
  <c r="AN361" i="1"/>
  <c r="Y11" i="10"/>
  <c r="Z11" i="10"/>
  <c r="CF370" i="1" l="1"/>
  <c r="CE80" i="1"/>
  <c r="BD384" i="1"/>
  <c r="BD388" i="1" s="1"/>
  <c r="BC388" i="1"/>
  <c r="CF378" i="1"/>
  <c r="CG371" i="1"/>
  <c r="CG81" i="1" s="1"/>
  <c r="CH81" i="1" s="1"/>
  <c r="AN363" i="1"/>
  <c r="AN367" i="1"/>
  <c r="BR113" i="1"/>
  <c r="BG179" i="1"/>
  <c r="BG384" i="1" s="1"/>
  <c r="BG388" i="1" s="1"/>
  <c r="CK106" i="1"/>
  <c r="CK152" i="1" s="1"/>
  <c r="CH102" i="1"/>
  <c r="BR83" i="1"/>
  <c r="CD149" i="1"/>
  <c r="CD34" i="5"/>
  <c r="CD12" i="5"/>
  <c r="CD13" i="5"/>
  <c r="CD10" i="5"/>
  <c r="CD11" i="5"/>
  <c r="AO364" i="1"/>
  <c r="AO366" i="1" s="1"/>
  <c r="AO358" i="1" s="1"/>
  <c r="CF80" i="1" l="1"/>
  <c r="CG370" i="1"/>
  <c r="CG378" i="1"/>
  <c r="CH371" i="1"/>
  <c r="T53" i="3" s="1"/>
  <c r="CJ371" i="1"/>
  <c r="CJ81" i="1" s="1"/>
  <c r="BH179" i="1"/>
  <c r="BH384" i="1" s="1"/>
  <c r="BH388" i="1" s="1"/>
  <c r="BS83" i="1"/>
  <c r="CJ102" i="1"/>
  <c r="CL106" i="1"/>
  <c r="CL152" i="1" s="1"/>
  <c r="BS113" i="1"/>
  <c r="CE149" i="1"/>
  <c r="CE34" i="5"/>
  <c r="CE12" i="5"/>
  <c r="CE10" i="5"/>
  <c r="CE13" i="5"/>
  <c r="CE11" i="5"/>
  <c r="AA11" i="10"/>
  <c r="AO361" i="1"/>
  <c r="AO367" i="1" s="1"/>
  <c r="AB11" i="10"/>
  <c r="AE11" i="10" s="1"/>
  <c r="CG80" i="1" l="1"/>
  <c r="CH80" i="1" s="1"/>
  <c r="CJ370" i="1"/>
  <c r="CH370" i="1"/>
  <c r="CK371" i="1"/>
  <c r="CK81" i="1" s="1"/>
  <c r="CJ378" i="1"/>
  <c r="CK102" i="1"/>
  <c r="BT83" i="1"/>
  <c r="BT113" i="1"/>
  <c r="CM106" i="1"/>
  <c r="CN106" i="1" s="1"/>
  <c r="BI179" i="1"/>
  <c r="BI384" i="1" s="1"/>
  <c r="CH149" i="1"/>
  <c r="CF149" i="1"/>
  <c r="CG34" i="5"/>
  <c r="CF12" i="5"/>
  <c r="CF13" i="5"/>
  <c r="CF10" i="5"/>
  <c r="CF11" i="5"/>
  <c r="CF34" i="5"/>
  <c r="P58" i="3"/>
  <c r="AO363" i="1"/>
  <c r="CM152" i="1" l="1"/>
  <c r="CK370" i="1"/>
  <c r="CJ80" i="1"/>
  <c r="BJ384" i="1"/>
  <c r="BJ388" i="1" s="1"/>
  <c r="BI388" i="1"/>
  <c r="CL371" i="1"/>
  <c r="CL81" i="1" s="1"/>
  <c r="CK378" i="1"/>
  <c r="BU113" i="1"/>
  <c r="BU83" i="1"/>
  <c r="BV83" i="1" s="1"/>
  <c r="BL179" i="1"/>
  <c r="BL384" i="1" s="1"/>
  <c r="BL388" i="1" s="1"/>
  <c r="BJ179" i="1"/>
  <c r="CN89" i="1"/>
  <c r="CN152" i="1"/>
  <c r="CL102" i="1"/>
  <c r="CG149" i="1"/>
  <c r="P59" i="3"/>
  <c r="CH34" i="5"/>
  <c r="CG13" i="5"/>
  <c r="CH13" i="5" s="1"/>
  <c r="CG12" i="5"/>
  <c r="CH12" i="5" s="1"/>
  <c r="CG11" i="5"/>
  <c r="CG10" i="5"/>
  <c r="CH33" i="5"/>
  <c r="CL370" i="1" l="1"/>
  <c r="CK80" i="1"/>
  <c r="CM371" i="1"/>
  <c r="CM81" i="1" s="1"/>
  <c r="CN81" i="1" s="1"/>
  <c r="CL378" i="1"/>
  <c r="BM179" i="1"/>
  <c r="BM384" i="1" s="1"/>
  <c r="BM388" i="1" s="1"/>
  <c r="CM102" i="1"/>
  <c r="CN102" i="1" s="1"/>
  <c r="BX83" i="1"/>
  <c r="BV113" i="1"/>
  <c r="CJ149" i="1"/>
  <c r="CH36" i="5"/>
  <c r="CH26" i="5"/>
  <c r="CH28" i="5" s="1"/>
  <c r="CH30" i="5"/>
  <c r="CH11" i="5"/>
  <c r="CH10" i="5"/>
  <c r="CL80" i="1" l="1"/>
  <c r="CM370" i="1"/>
  <c r="CM378" i="1"/>
  <c r="CN371" i="1"/>
  <c r="U53" i="3" s="1"/>
  <c r="BX113" i="1"/>
  <c r="BY83" i="1"/>
  <c r="BN179" i="1"/>
  <c r="BN384" i="1" s="1"/>
  <c r="BN388" i="1" s="1"/>
  <c r="CK149" i="1"/>
  <c r="Q58" i="3"/>
  <c r="CN370" i="1" l="1"/>
  <c r="CM80" i="1"/>
  <c r="CN80" i="1" s="1"/>
  <c r="BZ83" i="1"/>
  <c r="BO179" i="1"/>
  <c r="BY113" i="1"/>
  <c r="CM149" i="1"/>
  <c r="CL149" i="1"/>
  <c r="CN149" i="1"/>
  <c r="Q59" i="3"/>
  <c r="CJ11" i="5"/>
  <c r="CJ12" i="5"/>
  <c r="CJ13" i="5"/>
  <c r="CJ10" i="5"/>
  <c r="CJ34" i="5"/>
  <c r="CK34" i="5"/>
  <c r="BP179" i="1" l="1"/>
  <c r="BO384" i="1"/>
  <c r="BZ113" i="1"/>
  <c r="BR179" i="1"/>
  <c r="BR384" i="1" s="1"/>
  <c r="BR388" i="1" s="1"/>
  <c r="CA83" i="1"/>
  <c r="CB83" i="1"/>
  <c r="CK13" i="5"/>
  <c r="CK11" i="5"/>
  <c r="CK12" i="5"/>
  <c r="CK10" i="5"/>
  <c r="BP384" i="1" l="1"/>
  <c r="BP388" i="1" s="1"/>
  <c r="BO388" i="1"/>
  <c r="CD83" i="1"/>
  <c r="BS179" i="1"/>
  <c r="BS384" i="1" s="1"/>
  <c r="BS388" i="1" s="1"/>
  <c r="CA113" i="1"/>
  <c r="CL12" i="5"/>
  <c r="CL10" i="5"/>
  <c r="CL11" i="5"/>
  <c r="CL13" i="5"/>
  <c r="CL34" i="5"/>
  <c r="BT179" i="1" l="1"/>
  <c r="BT384" i="1" s="1"/>
  <c r="BT388" i="1" s="1"/>
  <c r="CB113" i="1"/>
  <c r="CE83" i="1"/>
  <c r="CN33" i="5"/>
  <c r="CN34" i="5"/>
  <c r="CN36" i="5"/>
  <c r="CN10" i="5"/>
  <c r="CN26" i="5"/>
  <c r="CN28" i="5" s="1"/>
  <c r="CN11" i="5"/>
  <c r="CN30" i="5"/>
  <c r="CM34" i="5"/>
  <c r="CM12" i="5"/>
  <c r="CN12" i="5" s="1"/>
  <c r="CM11" i="5"/>
  <c r="CM10" i="5"/>
  <c r="CM13" i="5"/>
  <c r="CN13" i="5" s="1"/>
  <c r="R58" i="3"/>
  <c r="CD113" i="1" l="1"/>
  <c r="BU179" i="1"/>
  <c r="BU384" i="1" s="1"/>
  <c r="CF83" i="1"/>
  <c r="R59" i="3"/>
  <c r="BV384" i="1" l="1"/>
  <c r="BV388" i="1" s="1"/>
  <c r="BU388" i="1"/>
  <c r="CG83" i="1"/>
  <c r="BX179" i="1"/>
  <c r="BX384" i="1" s="1"/>
  <c r="BX388" i="1" s="1"/>
  <c r="BV179" i="1"/>
  <c r="CE113" i="1"/>
  <c r="CF113" i="1" l="1"/>
  <c r="BY179" i="1"/>
  <c r="BY384" i="1" s="1"/>
  <c r="BY388" i="1" s="1"/>
  <c r="CJ83" i="1"/>
  <c r="CH83" i="1"/>
  <c r="CK83" i="1" l="1"/>
  <c r="BZ179" i="1"/>
  <c r="BZ384" i="1" s="1"/>
  <c r="BZ388" i="1" s="1"/>
  <c r="CG113" i="1"/>
  <c r="S58" i="3"/>
  <c r="CA179" i="1" l="1"/>
  <c r="CH113" i="1"/>
  <c r="CL83" i="1"/>
  <c r="S59" i="3"/>
  <c r="CB179" i="1" l="1"/>
  <c r="CA384" i="1"/>
  <c r="CJ113" i="1"/>
  <c r="CM83" i="1"/>
  <c r="CN83" i="1" s="1"/>
  <c r="CD179" i="1"/>
  <c r="CD384" i="1" s="1"/>
  <c r="CD388" i="1" s="1"/>
  <c r="CB384" i="1" l="1"/>
  <c r="CB388" i="1" s="1"/>
  <c r="CA388" i="1"/>
  <c r="CE179" i="1"/>
  <c r="CE384" i="1" s="1"/>
  <c r="CE388" i="1" s="1"/>
  <c r="CK113" i="1"/>
  <c r="CL113" i="1" l="1"/>
  <c r="CF179" i="1"/>
  <c r="CF384" i="1" s="1"/>
  <c r="CF388" i="1" s="1"/>
  <c r="T58" i="3"/>
  <c r="CG179" i="1" l="1"/>
  <c r="CG384" i="1" s="1"/>
  <c r="CM113" i="1"/>
  <c r="T59" i="3"/>
  <c r="CH384" i="1" l="1"/>
  <c r="CH388" i="1" s="1"/>
  <c r="CG388" i="1"/>
  <c r="CN113" i="1"/>
  <c r="CJ179" i="1"/>
  <c r="CJ384" i="1" s="1"/>
  <c r="CJ388" i="1" s="1"/>
  <c r="CH179" i="1"/>
  <c r="U41" i="3" l="1"/>
  <c r="O64" i="3"/>
  <c r="N40" i="3"/>
  <c r="L29" i="3"/>
  <c r="M42" i="3"/>
  <c r="M29" i="3"/>
  <c r="M37" i="3"/>
  <c r="M40" i="3"/>
  <c r="N64" i="3"/>
  <c r="N39" i="3"/>
  <c r="R39" i="3"/>
  <c r="M43" i="3"/>
  <c r="R42" i="3"/>
  <c r="T41" i="3"/>
  <c r="M61" i="3"/>
  <c r="O42" i="3"/>
  <c r="Q64" i="3"/>
  <c r="M60" i="3"/>
  <c r="U39" i="3"/>
  <c r="R48" i="3"/>
  <c r="R61" i="3"/>
  <c r="M45" i="3"/>
  <c r="Q40" i="3"/>
  <c r="T48" i="3"/>
  <c r="T39" i="3"/>
  <c r="R40" i="3"/>
  <c r="N61" i="3"/>
  <c r="P40" i="3"/>
  <c r="S42" i="3"/>
  <c r="O61" i="3"/>
  <c r="P48" i="3"/>
  <c r="O48" i="3"/>
  <c r="Q42" i="3"/>
  <c r="P41" i="3"/>
  <c r="T64" i="3"/>
  <c r="S61" i="3"/>
  <c r="T40" i="3"/>
  <c r="U40" i="3"/>
  <c r="O41" i="3"/>
  <c r="U61" i="3"/>
  <c r="S40" i="3"/>
  <c r="P39" i="3"/>
  <c r="M64" i="3"/>
  <c r="T42" i="3"/>
  <c r="Q48" i="3"/>
  <c r="M41" i="3"/>
  <c r="L24" i="3"/>
  <c r="N42" i="3"/>
  <c r="N48" i="3"/>
  <c r="R41" i="3"/>
  <c r="R64" i="3"/>
  <c r="M62" i="3"/>
  <c r="U42" i="3"/>
  <c r="S41" i="3"/>
  <c r="M39" i="3"/>
  <c r="M48" i="3"/>
  <c r="P64" i="3"/>
  <c r="O39" i="3"/>
  <c r="S64" i="3"/>
  <c r="P42" i="3"/>
  <c r="Q61" i="3"/>
  <c r="O40" i="3"/>
  <c r="M24" i="3"/>
  <c r="Q39" i="3"/>
  <c r="P61" i="3"/>
  <c r="S48" i="3"/>
  <c r="U64" i="3"/>
  <c r="U48" i="3"/>
  <c r="N41" i="3"/>
  <c r="S39" i="3"/>
  <c r="T61" i="3"/>
  <c r="Q41" i="3"/>
  <c r="CK179" i="1"/>
  <c r="CK384" i="1" s="1"/>
  <c r="CK388" i="1" s="1"/>
  <c r="M27" i="3"/>
  <c r="M28" i="3" s="1"/>
  <c r="N27" i="3"/>
  <c r="N28" i="3" s="1"/>
  <c r="O27" i="3"/>
  <c r="M22" i="3"/>
  <c r="O16" i="3"/>
  <c r="O7" i="3"/>
  <c r="U16" i="3"/>
  <c r="U17" i="3" s="1"/>
  <c r="M49" i="3" l="1"/>
  <c r="M63" i="3"/>
  <c r="M65" i="3" s="1"/>
  <c r="L26" i="3"/>
  <c r="L25" i="3"/>
  <c r="I10" i="12" s="1"/>
  <c r="L36" i="3"/>
  <c r="L44" i="3" s="1"/>
  <c r="L31" i="3"/>
  <c r="L73" i="3"/>
  <c r="L67" i="3"/>
  <c r="L30" i="3"/>
  <c r="L89" i="3"/>
  <c r="L90" i="3" s="1"/>
  <c r="L85" i="3"/>
  <c r="CL179" i="1"/>
  <c r="CL384" i="1" s="1"/>
  <c r="CL388" i="1" s="1"/>
  <c r="M26" i="3"/>
  <c r="M25" i="3"/>
  <c r="J10" i="12" s="1"/>
  <c r="M46" i="3"/>
  <c r="M36" i="3"/>
  <c r="M44" i="3" s="1"/>
  <c r="M31" i="3"/>
  <c r="M30" i="3"/>
  <c r="M23" i="3"/>
  <c r="M32" i="3"/>
  <c r="O8" i="3"/>
  <c r="O9" i="3"/>
  <c r="P8" i="3"/>
  <c r="U58" i="3"/>
  <c r="O17" i="3" l="1"/>
  <c r="L9" i="12"/>
  <c r="M73" i="3"/>
  <c r="CM179" i="1"/>
  <c r="CM384" i="1" s="1"/>
  <c r="M51" i="3"/>
  <c r="M75" i="3"/>
  <c r="M50" i="3"/>
  <c r="M55" i="3"/>
  <c r="O10" i="3"/>
  <c r="O11" i="3"/>
  <c r="O21" i="3"/>
  <c r="O19" i="3"/>
  <c r="O15" i="3"/>
  <c r="O23" i="3"/>
  <c r="P11" i="3"/>
  <c r="P10" i="3"/>
  <c r="O28" i="3"/>
  <c r="M69" i="3"/>
  <c r="M74" i="3"/>
  <c r="M70" i="3"/>
  <c r="M67" i="3"/>
  <c r="M68" i="3"/>
  <c r="M76" i="3"/>
  <c r="U59" i="3"/>
  <c r="CN384" i="1" l="1"/>
  <c r="CN388" i="1" s="1"/>
  <c r="CM388" i="1"/>
  <c r="CN179" i="1"/>
  <c r="AT364" i="1" l="1"/>
  <c r="AT366" i="1" s="1"/>
  <c r="AT358" i="1" s="1"/>
  <c r="AT361" i="1" s="1"/>
  <c r="AT367" i="1" s="1"/>
  <c r="AU364" i="1"/>
  <c r="AU366" i="1" s="1"/>
  <c r="AU358" i="1" s="1"/>
  <c r="AT363" i="1" l="1"/>
  <c r="AU361" i="1"/>
  <c r="AU363" i="1" l="1"/>
  <c r="AU367" i="1"/>
  <c r="AV364" i="1"/>
  <c r="AV366" i="1" s="1"/>
  <c r="AV358" i="1" s="1"/>
  <c r="AW358" i="1" s="1"/>
  <c r="AV361" i="1" l="1"/>
  <c r="AV363" i="1" s="1"/>
  <c r="AW363" i="1" s="1"/>
  <c r="AW364" i="1"/>
  <c r="AU59" i="1"/>
  <c r="AV367" i="1" l="1"/>
  <c r="AW183" i="1"/>
  <c r="AW122" i="1"/>
  <c r="AZ182" i="1"/>
  <c r="AZ188" i="1" s="1"/>
  <c r="AX122" i="1"/>
  <c r="AZ122" i="1" s="1"/>
  <c r="AZ361" i="1"/>
  <c r="AZ367" i="1" s="1"/>
  <c r="AW186" i="1" l="1"/>
  <c r="AX183" i="1"/>
  <c r="AX186" i="1" s="1"/>
  <c r="N60" i="3"/>
  <c r="AV59" i="1"/>
  <c r="BA364" i="1"/>
  <c r="BA183" i="1" s="1"/>
  <c r="BA361" i="1"/>
  <c r="AU60" i="1"/>
  <c r="AX188" i="1" l="1"/>
  <c r="N54" i="3"/>
  <c r="BA367" i="1"/>
  <c r="AW188" i="1"/>
  <c r="AW385" i="1"/>
  <c r="AX385" i="1" s="1"/>
  <c r="BA186" i="1"/>
  <c r="BA385" i="1" s="1"/>
  <c r="BA122" i="1"/>
  <c r="BA182" i="1"/>
  <c r="BB364" i="1"/>
  <c r="BB183" i="1" s="1"/>
  <c r="BB186" i="1" s="1"/>
  <c r="BB385" i="1" s="1"/>
  <c r="BB361" i="1"/>
  <c r="BB367" i="1" s="1"/>
  <c r="AU63" i="1"/>
  <c r="BB122" i="1" l="1"/>
  <c r="BA188" i="1"/>
  <c r="BB182" i="1"/>
  <c r="BB188" i="1" s="1"/>
  <c r="AU77" i="1"/>
  <c r="AU78" i="1" s="1"/>
  <c r="AU79" i="1" s="1"/>
  <c r="AU65" i="1"/>
  <c r="AU66" i="1" s="1"/>
  <c r="AU64" i="1"/>
  <c r="AV60" i="1"/>
  <c r="AU132" i="1"/>
  <c r="AU125" i="1"/>
  <c r="BC361" i="1"/>
  <c r="BD364" i="1"/>
  <c r="BC364" i="1"/>
  <c r="BC183" i="1" s="1"/>
  <c r="BC186" i="1" s="1"/>
  <c r="BC385" i="1" s="1"/>
  <c r="BD385" i="1" s="1"/>
  <c r="BC122" i="1" l="1"/>
  <c r="BD122" i="1" s="1"/>
  <c r="BC367" i="1"/>
  <c r="BD183" i="1"/>
  <c r="BD186" i="1" s="1"/>
  <c r="O54" i="3" s="1"/>
  <c r="BC182" i="1"/>
  <c r="BD182" i="1" s="1"/>
  <c r="O43" i="6"/>
  <c r="BD181" i="1"/>
  <c r="R13" i="10"/>
  <c r="R15" i="10"/>
  <c r="R48" i="10"/>
  <c r="R50" i="10" s="1"/>
  <c r="O46" i="6"/>
  <c r="O49" i="6" s="1"/>
  <c r="O52" i="6"/>
  <c r="O55" i="6" s="1"/>
  <c r="BD361" i="1"/>
  <c r="BD367" i="1" s="1"/>
  <c r="AV125" i="1"/>
  <c r="AU133" i="1"/>
  <c r="AV132" i="1"/>
  <c r="BF364" i="1"/>
  <c r="BF183" i="1" s="1"/>
  <c r="BF361" i="1"/>
  <c r="BF367" i="1" s="1"/>
  <c r="AV63" i="1"/>
  <c r="BD188" i="1" l="1"/>
  <c r="BF122" i="1"/>
  <c r="O60" i="3"/>
  <c r="BF186" i="1"/>
  <c r="BC188" i="1"/>
  <c r="BG182" i="1"/>
  <c r="AV77" i="1"/>
  <c r="AV78" i="1" s="1"/>
  <c r="AV79" i="1" s="1"/>
  <c r="AV65" i="1"/>
  <c r="AV66" i="1" s="1"/>
  <c r="AV64" i="1"/>
  <c r="AU104" i="1"/>
  <c r="R16" i="10"/>
  <c r="AV133" i="1"/>
  <c r="BG364" i="1"/>
  <c r="BG183" i="1" s="1"/>
  <c r="BG186" i="1" s="1"/>
  <c r="BG361" i="1"/>
  <c r="BG188" i="1" l="1"/>
  <c r="BG385" i="1"/>
  <c r="BF188" i="1"/>
  <c r="BF385" i="1"/>
  <c r="BG122" i="1"/>
  <c r="BG367" i="1"/>
  <c r="BH182" i="1"/>
  <c r="P43" i="6"/>
  <c r="S13" i="10"/>
  <c r="AU111" i="1"/>
  <c r="AU134" i="1" s="1"/>
  <c r="BH364" i="1"/>
  <c r="BH183" i="1" s="1"/>
  <c r="BH186" i="1" s="1"/>
  <c r="BH361" i="1"/>
  <c r="BH367" i="1" s="1"/>
  <c r="BH188" i="1" l="1"/>
  <c r="BH385" i="1"/>
  <c r="BH122" i="1"/>
  <c r="BI182" i="1"/>
  <c r="BJ182" i="1" s="1"/>
  <c r="BJ364" i="1"/>
  <c r="BI364" i="1"/>
  <c r="BI183" i="1" s="1"/>
  <c r="BI186" i="1" s="1"/>
  <c r="BI361" i="1"/>
  <c r="AV104" i="1"/>
  <c r="S16" i="10"/>
  <c r="BI188" i="1" l="1"/>
  <c r="BI385" i="1"/>
  <c r="BJ385" i="1" s="1"/>
  <c r="BJ183" i="1"/>
  <c r="BJ186" i="1" s="1"/>
  <c r="BI367" i="1"/>
  <c r="BI122" i="1"/>
  <c r="BJ122" i="1" s="1"/>
  <c r="BL182" i="1"/>
  <c r="BJ361" i="1"/>
  <c r="BJ367" i="1" s="1"/>
  <c r="BL364" i="1"/>
  <c r="BL183" i="1" s="1"/>
  <c r="BL361" i="1"/>
  <c r="BJ188" i="1" l="1"/>
  <c r="P54" i="3"/>
  <c r="BL367" i="1"/>
  <c r="BL186" i="1"/>
  <c r="BL122" i="1"/>
  <c r="P60" i="3"/>
  <c r="BM182" i="1"/>
  <c r="BD95" i="1"/>
  <c r="AV111" i="1"/>
  <c r="AV134" i="1" s="1"/>
  <c r="BM364" i="1"/>
  <c r="BM183" i="1" s="1"/>
  <c r="BM186" i="1" s="1"/>
  <c r="BM361" i="1"/>
  <c r="BM188" i="1" l="1"/>
  <c r="BM385" i="1"/>
  <c r="BL188" i="1"/>
  <c r="BL385" i="1"/>
  <c r="BM122" i="1"/>
  <c r="BM367" i="1"/>
  <c r="BN182" i="1"/>
  <c r="BN364" i="1"/>
  <c r="BN183" i="1" s="1"/>
  <c r="BN186" i="1" s="1"/>
  <c r="BN361" i="1"/>
  <c r="BN188" i="1" l="1"/>
  <c r="BN385" i="1"/>
  <c r="BN367" i="1"/>
  <c r="BN122" i="1"/>
  <c r="BO182" i="1"/>
  <c r="BP182" i="1" s="1"/>
  <c r="BO364" i="1"/>
  <c r="BO183" i="1" s="1"/>
  <c r="BO186" i="1" s="1"/>
  <c r="BO361" i="1"/>
  <c r="BO367" i="1" s="1"/>
  <c r="BP364" i="1"/>
  <c r="BO188" i="1" l="1"/>
  <c r="BO385" i="1"/>
  <c r="BP385" i="1" s="1"/>
  <c r="BO122" i="1"/>
  <c r="BP122" i="1" s="1"/>
  <c r="BP183" i="1"/>
  <c r="BP186" i="1" s="1"/>
  <c r="BR182" i="1"/>
  <c r="BP361" i="1"/>
  <c r="BP367" i="1" s="1"/>
  <c r="BR361" i="1"/>
  <c r="BR367" i="1" s="1"/>
  <c r="BR364" i="1"/>
  <c r="BR183" i="1" s="1"/>
  <c r="BP188" i="1" l="1"/>
  <c r="Q54" i="3"/>
  <c r="BR186" i="1"/>
  <c r="BR122" i="1"/>
  <c r="Q60" i="3"/>
  <c r="BS182" i="1"/>
  <c r="BS364" i="1"/>
  <c r="BS183" i="1" s="1"/>
  <c r="BS186" i="1" s="1"/>
  <c r="BS361" i="1"/>
  <c r="BS367" i="1" s="1"/>
  <c r="BS188" i="1" l="1"/>
  <c r="BS385" i="1"/>
  <c r="BR188" i="1"/>
  <c r="BR385" i="1"/>
  <c r="BS122" i="1"/>
  <c r="BT182" i="1"/>
  <c r="BT364" i="1"/>
  <c r="BT183" i="1" s="1"/>
  <c r="BT186" i="1" s="1"/>
  <c r="BT361" i="1"/>
  <c r="BT367" i="1" s="1"/>
  <c r="BT188" i="1" l="1"/>
  <c r="BT385" i="1"/>
  <c r="BT122" i="1"/>
  <c r="BU182" i="1"/>
  <c r="BV182" i="1" s="1"/>
  <c r="BU364" i="1"/>
  <c r="BU183" i="1" s="1"/>
  <c r="BU186" i="1" s="1"/>
  <c r="BU361" i="1"/>
  <c r="BU367" i="1" s="1"/>
  <c r="BV364" i="1"/>
  <c r="BU188" i="1" l="1"/>
  <c r="BU385" i="1"/>
  <c r="BV385" i="1" s="1"/>
  <c r="BV183" i="1"/>
  <c r="BV186" i="1" s="1"/>
  <c r="BU122" i="1"/>
  <c r="BV122" i="1" s="1"/>
  <c r="BX182" i="1"/>
  <c r="BV361" i="1"/>
  <c r="BV367" i="1" s="1"/>
  <c r="BX364" i="1"/>
  <c r="BX183" i="1" s="1"/>
  <c r="BX361" i="1"/>
  <c r="BX367" i="1" s="1"/>
  <c r="BV188" i="1" l="1"/>
  <c r="R54" i="3"/>
  <c r="BX186" i="1"/>
  <c r="BX122" i="1"/>
  <c r="R60" i="3"/>
  <c r="BY182" i="1"/>
  <c r="BY361" i="1"/>
  <c r="BY364" i="1"/>
  <c r="BY183" i="1" s="1"/>
  <c r="BY186" i="1" s="1"/>
  <c r="BY188" i="1" l="1"/>
  <c r="BY385" i="1"/>
  <c r="BX188" i="1"/>
  <c r="BX385" i="1"/>
  <c r="BY122" i="1"/>
  <c r="BY367" i="1"/>
  <c r="BZ182" i="1"/>
  <c r="BZ364" i="1"/>
  <c r="BZ183" i="1" s="1"/>
  <c r="BZ186" i="1" s="1"/>
  <c r="BZ361" i="1"/>
  <c r="BZ188" i="1" l="1"/>
  <c r="BZ385" i="1"/>
  <c r="BZ367" i="1"/>
  <c r="BZ122" i="1"/>
  <c r="CA182" i="1"/>
  <c r="CB182" i="1" s="1"/>
  <c r="CA364" i="1"/>
  <c r="CA183" i="1" s="1"/>
  <c r="CA186" i="1" s="1"/>
  <c r="CA361" i="1"/>
  <c r="CA367" i="1" s="1"/>
  <c r="CB364" i="1"/>
  <c r="CA188" i="1" l="1"/>
  <c r="CA385" i="1"/>
  <c r="CB385" i="1" s="1"/>
  <c r="CA122" i="1"/>
  <c r="CB122" i="1" s="1"/>
  <c r="CB183" i="1"/>
  <c r="CB186" i="1" s="1"/>
  <c r="CB361" i="1"/>
  <c r="CB367" i="1" s="1"/>
  <c r="CD364" i="1"/>
  <c r="CD183" i="1" s="1"/>
  <c r="CD361" i="1"/>
  <c r="CD367" i="1" s="1"/>
  <c r="CB188" i="1" l="1"/>
  <c r="S54" i="3"/>
  <c r="CD186" i="1"/>
  <c r="CD122" i="1"/>
  <c r="S60" i="3"/>
  <c r="CE182" i="1"/>
  <c r="CE364" i="1"/>
  <c r="CE183" i="1" s="1"/>
  <c r="CE186" i="1" s="1"/>
  <c r="CE361" i="1"/>
  <c r="CE367" i="1" s="1"/>
  <c r="CE188" i="1" l="1"/>
  <c r="CE385" i="1"/>
  <c r="CD188" i="1"/>
  <c r="CD385" i="1"/>
  <c r="CE122" i="1"/>
  <c r="CF182" i="1"/>
  <c r="CF361" i="1"/>
  <c r="CF367" i="1" s="1"/>
  <c r="CF364" i="1"/>
  <c r="CF183" i="1" s="1"/>
  <c r="CF186" i="1" s="1"/>
  <c r="CF188" i="1" l="1"/>
  <c r="CF385" i="1"/>
  <c r="CF122" i="1"/>
  <c r="CG182" i="1"/>
  <c r="CH182" i="1" s="1"/>
  <c r="CG364" i="1"/>
  <c r="CG183" i="1" s="1"/>
  <c r="CG186" i="1" s="1"/>
  <c r="CG361" i="1"/>
  <c r="CH364" i="1"/>
  <c r="CG188" i="1" l="1"/>
  <c r="CG385" i="1"/>
  <c r="CH385" i="1" s="1"/>
  <c r="CG122" i="1"/>
  <c r="CH122" i="1" s="1"/>
  <c r="CH183" i="1"/>
  <c r="CH186" i="1" s="1"/>
  <c r="CG367" i="1"/>
  <c r="CJ182" i="1"/>
  <c r="CH361" i="1"/>
  <c r="CH367" i="1" s="1"/>
  <c r="CJ364" i="1"/>
  <c r="CJ183" i="1" s="1"/>
  <c r="CJ361" i="1"/>
  <c r="CH188" i="1" l="1"/>
  <c r="T54" i="3"/>
  <c r="CJ367" i="1"/>
  <c r="CJ186" i="1"/>
  <c r="CJ122" i="1"/>
  <c r="T60" i="3"/>
  <c r="CK182" i="1"/>
  <c r="CK364" i="1"/>
  <c r="CK183" i="1" s="1"/>
  <c r="CK186" i="1" s="1"/>
  <c r="CK361" i="1"/>
  <c r="CK367" i="1" l="1"/>
  <c r="CK188" i="1"/>
  <c r="CK385" i="1"/>
  <c r="CJ188" i="1"/>
  <c r="CJ385" i="1"/>
  <c r="CK122" i="1"/>
  <c r="CL182" i="1"/>
  <c r="CL364" i="1"/>
  <c r="CL183" i="1" s="1"/>
  <c r="CL186" i="1" s="1"/>
  <c r="CL361" i="1"/>
  <c r="CL188" i="1" l="1"/>
  <c r="CL385" i="1"/>
  <c r="CL122" i="1"/>
  <c r="CL367" i="1"/>
  <c r="CM182" i="1"/>
  <c r="CN182" i="1" s="1"/>
  <c r="CM361" i="1"/>
  <c r="CN364" i="1"/>
  <c r="CM364" i="1"/>
  <c r="CM183" i="1" s="1"/>
  <c r="CM186" i="1" s="1"/>
  <c r="CM188" i="1" l="1"/>
  <c r="CM385" i="1"/>
  <c r="CN385" i="1" s="1"/>
  <c r="CN183" i="1"/>
  <c r="CN186" i="1" s="1"/>
  <c r="CM122" i="1"/>
  <c r="CN122" i="1" s="1"/>
  <c r="U60" i="3" s="1"/>
  <c r="CM367" i="1"/>
  <c r="CN361" i="1"/>
  <c r="CN367" i="1" s="1"/>
  <c r="CN188" i="1" l="1"/>
  <c r="U54" i="3"/>
  <c r="T9" i="6"/>
  <c r="U9" i="6" l="1"/>
  <c r="T37" i="6"/>
  <c r="T20" i="6"/>
  <c r="T31" i="6"/>
  <c r="V9" i="6" l="1"/>
  <c r="W6" i="3" l="1"/>
  <c r="W8" i="3" l="1"/>
  <c r="Q15" i="10" l="1"/>
  <c r="N52" i="6"/>
  <c r="N55" i="6" s="1"/>
  <c r="Q48" i="10"/>
  <c r="N46" i="6"/>
  <c r="N49" i="6" s="1"/>
  <c r="S48" i="10" l="1"/>
  <c r="S50" i="10" s="1"/>
  <c r="P46" i="6"/>
  <c r="P49" i="6" s="1"/>
  <c r="P52" i="6"/>
  <c r="P55" i="6" s="1"/>
  <c r="S15" i="10"/>
  <c r="Q50" i="10"/>
  <c r="Z8" i="6" l="1"/>
  <c r="F13" i="6"/>
  <c r="F14" i="6" s="1"/>
  <c r="G13" i="6"/>
  <c r="G14" i="6" s="1"/>
  <c r="H13" i="6"/>
  <c r="H14" i="6" s="1"/>
  <c r="I13" i="6"/>
  <c r="I14" i="6" s="1"/>
  <c r="J13" i="6"/>
  <c r="J14" i="6" s="1"/>
  <c r="K13" i="6"/>
  <c r="K14" i="6" s="1"/>
  <c r="L13" i="6"/>
  <c r="L14" i="6" s="1"/>
  <c r="M13" i="6"/>
  <c r="M14" i="6" s="1"/>
  <c r="N13" i="6"/>
  <c r="N14" i="6" s="1"/>
  <c r="O13" i="6"/>
  <c r="O14" i="6" s="1"/>
  <c r="P13" i="6"/>
  <c r="P14" i="6" s="1"/>
  <c r="Q13" i="6"/>
  <c r="Q14" i="6" s="1"/>
  <c r="R13" i="6"/>
  <c r="R14" i="6" s="1"/>
  <c r="S13" i="6"/>
  <c r="S14" i="6" s="1"/>
  <c r="T13" i="6"/>
  <c r="T14" i="6" s="1"/>
  <c r="U13" i="6"/>
  <c r="V13" i="6"/>
  <c r="BB34" i="5" l="1"/>
  <c r="BA34" i="5"/>
  <c r="BI34" i="5"/>
  <c r="BO34" i="5"/>
  <c r="AZ34" i="5"/>
  <c r="BH34" i="5"/>
  <c r="BN34" i="5"/>
  <c r="BG34" i="5"/>
  <c r="BM34" i="5"/>
  <c r="AW34" i="5"/>
  <c r="BL34" i="5"/>
  <c r="BF34" i="5"/>
  <c r="BC34" i="5"/>
  <c r="BF40" i="5" l="1"/>
  <c r="BH40" i="5"/>
  <c r="Z52" i="10" s="1"/>
  <c r="AW40" i="5"/>
  <c r="T52" i="10" s="1"/>
  <c r="AC52" i="10" s="1"/>
  <c r="BJ33" i="5"/>
  <c r="BP34" i="5"/>
  <c r="BJ34" i="5"/>
  <c r="BI40" i="5"/>
  <c r="AA52" i="10" s="1"/>
  <c r="BG40" i="5"/>
  <c r="Y52" i="10" s="1"/>
  <c r="BJ40" i="5" l="1"/>
  <c r="AB52" i="10" s="1"/>
  <c r="AE52" i="10" s="1"/>
  <c r="U104" i="3" l="1"/>
  <c r="U106" i="3"/>
  <c r="U108" i="3" s="1"/>
  <c r="AP278" i="5" l="1"/>
  <c r="AR278" i="5"/>
  <c r="AV278" i="5"/>
  <c r="AP279" i="5"/>
  <c r="AR279" i="5"/>
  <c r="AV279" i="5"/>
  <c r="AP280" i="5"/>
  <c r="AQ280" i="5"/>
  <c r="AP281" i="5"/>
  <c r="AQ281" i="5"/>
  <c r="AP284" i="5"/>
  <c r="AR284" i="5"/>
  <c r="AP289" i="5"/>
  <c r="AR289" i="5"/>
  <c r="AR281" i="5" l="1"/>
  <c r="AR280" i="5"/>
  <c r="G25" i="5" l="1"/>
  <c r="H26" i="5"/>
  <c r="N28" i="5" s="1"/>
  <c r="N27" i="5"/>
  <c r="H39" i="5"/>
  <c r="H40" i="5" s="1"/>
  <c r="G39" i="5" l="1"/>
  <c r="G40" i="5" s="1"/>
  <c r="G27" i="1"/>
  <c r="G26" i="5"/>
  <c r="M28" i="5" s="1"/>
  <c r="M27" i="5"/>
  <c r="H42" i="5"/>
  <c r="H48" i="5" s="1"/>
  <c r="H49" i="5" s="1"/>
  <c r="G42" i="5" l="1"/>
  <c r="G44" i="5" s="1"/>
  <c r="H43" i="5"/>
  <c r="H44" i="5"/>
  <c r="G28" i="1"/>
  <c r="G35" i="1"/>
  <c r="G43" i="5" l="1"/>
  <c r="G48" i="5"/>
  <c r="G49" i="5" s="1"/>
  <c r="G43" i="1"/>
  <c r="G45" i="1" s="1"/>
  <c r="G46" i="1" s="1"/>
  <c r="G38" i="1"/>
  <c r="G40" i="1" s="1"/>
  <c r="G57" i="1"/>
  <c r="G36" i="1"/>
  <c r="G140" i="1" l="1"/>
  <c r="G161" i="1" s="1"/>
  <c r="G48" i="1"/>
  <c r="G50" i="1" s="1"/>
  <c r="G51" i="1" s="1"/>
  <c r="G41" i="1"/>
  <c r="G59" i="1"/>
  <c r="G60" i="1"/>
  <c r="G63" i="1" l="1"/>
  <c r="G64" i="1" s="1"/>
  <c r="G65" i="1" l="1"/>
  <c r="M66" i="1" s="1"/>
  <c r="G77" i="1"/>
  <c r="G78" i="1" s="1"/>
  <c r="M79" i="1" s="1"/>
  <c r="M46" i="6"/>
  <c r="M49" i="6" s="1"/>
  <c r="L52" i="6"/>
  <c r="L55" i="6" s="1"/>
  <c r="L46" i="6"/>
  <c r="L49" i="6" s="1"/>
  <c r="AP364" i="1"/>
  <c r="AP366" i="1" s="1"/>
  <c r="AP358" i="1" s="1"/>
  <c r="M52" i="6"/>
  <c r="M55" i="6" s="1"/>
  <c r="D91" i="2"/>
  <c r="S52" i="6"/>
  <c r="S55" i="6" s="1"/>
  <c r="S46" i="6"/>
  <c r="S49" i="6" s="1"/>
  <c r="AP361" i="1" l="1"/>
  <c r="AP367" i="1" s="1"/>
  <c r="M96" i="3" l="1"/>
  <c r="AP363" i="1"/>
  <c r="T164" i="1"/>
  <c r="I47" i="3" s="1"/>
  <c r="I49" i="3" s="1"/>
  <c r="T163" i="1"/>
  <c r="I50" i="3" l="1"/>
  <c r="I75" i="3"/>
  <c r="I51" i="3"/>
  <c r="I76" i="3"/>
  <c r="I74" i="3"/>
  <c r="AQ364" i="1" l="1"/>
  <c r="AQ366" i="1" s="1"/>
  <c r="AQ358" i="1" s="1"/>
  <c r="AQ361" i="1" s="1"/>
  <c r="AR364" i="1"/>
  <c r="AR366" i="1" s="1"/>
  <c r="AQ363" i="1" l="1"/>
  <c r="AQ367" i="1"/>
  <c r="M89" i="3"/>
  <c r="M90" i="3" s="1"/>
  <c r="M93" i="3"/>
  <c r="M94" i="3" s="1"/>
  <c r="M79" i="3"/>
  <c r="M82" i="3"/>
  <c r="M83" i="3" s="1"/>
  <c r="AR361" i="1"/>
  <c r="AR363" i="1" l="1"/>
  <c r="AR367" i="1"/>
  <c r="M85" i="3"/>
  <c r="M86" i="3"/>
  <c r="M80" i="3"/>
  <c r="BJ131" i="5" l="1"/>
  <c r="BO132" i="5"/>
  <c r="BO79" i="5" s="1"/>
  <c r="AG8" i="13" s="1"/>
  <c r="AZ132" i="5"/>
  <c r="AZ147" i="5" s="1"/>
  <c r="BA132" i="5"/>
  <c r="BA147" i="5" s="1"/>
  <c r="BB132" i="5"/>
  <c r="BB133" i="5" s="1"/>
  <c r="BC132" i="5"/>
  <c r="BF132" i="5"/>
  <c r="BF79" i="5" s="1"/>
  <c r="BG132" i="5"/>
  <c r="BG79" i="5" s="1"/>
  <c r="BH132" i="5"/>
  <c r="BH79" i="5" s="1"/>
  <c r="BI132" i="5"/>
  <c r="BI79" i="5" s="1"/>
  <c r="AA8" i="13" s="1"/>
  <c r="BL132" i="5"/>
  <c r="BL79" i="5" s="1"/>
  <c r="BM132" i="5"/>
  <c r="BM79" i="5" s="1"/>
  <c r="BN132" i="5"/>
  <c r="BN79" i="5" s="1"/>
  <c r="BI151" i="5"/>
  <c r="AG10" i="13" l="1"/>
  <c r="AG31" i="13" s="1"/>
  <c r="AZ133" i="5"/>
  <c r="BA133" i="5"/>
  <c r="BA151" i="5"/>
  <c r="AZ151" i="5"/>
  <c r="AZ149" i="5"/>
  <c r="BA149" i="5"/>
  <c r="BI148" i="5"/>
  <c r="BI147" i="5"/>
  <c r="BC79" i="5"/>
  <c r="BC154" i="5"/>
  <c r="BC109" i="5" s="1"/>
  <c r="U9" i="13" s="1"/>
  <c r="BB79" i="5"/>
  <c r="BB87" i="5" s="1"/>
  <c r="BB154" i="5"/>
  <c r="BB109" i="5" s="1"/>
  <c r="T9" i="13" s="1"/>
  <c r="BA79" i="5"/>
  <c r="BG87" i="5" s="1"/>
  <c r="BA154" i="5"/>
  <c r="BA109" i="5" s="1"/>
  <c r="S9" i="13" s="1"/>
  <c r="AZ79" i="5"/>
  <c r="BF87" i="5" s="1"/>
  <c r="AZ154" i="5"/>
  <c r="AZ109" i="5" s="1"/>
  <c r="R9" i="13" s="1"/>
  <c r="BL150" i="5"/>
  <c r="BA144" i="5"/>
  <c r="BA225" i="5" s="1"/>
  <c r="BA213" i="5" s="1"/>
  <c r="BA82" i="5" s="1"/>
  <c r="BA90" i="5" s="1"/>
  <c r="AZ150" i="5"/>
  <c r="AZ144" i="5"/>
  <c r="AZ225" i="5" s="1"/>
  <c r="AZ213" i="5" s="1"/>
  <c r="AZ82" i="5" s="1"/>
  <c r="BC155" i="5"/>
  <c r="BC103" i="5" s="1"/>
  <c r="BI150" i="5"/>
  <c r="BB144" i="5"/>
  <c r="BB225" i="5" s="1"/>
  <c r="BB213" i="5" s="1"/>
  <c r="BB82" i="5" s="1"/>
  <c r="BB90" i="5" s="1"/>
  <c r="BN87" i="5"/>
  <c r="BM87" i="5"/>
  <c r="BL87" i="5"/>
  <c r="BB151" i="5"/>
  <c r="BL148" i="5"/>
  <c r="AZ136" i="5"/>
  <c r="BO87" i="5"/>
  <c r="BC133" i="5"/>
  <c r="AZ135" i="5"/>
  <c r="BC148" i="5"/>
  <c r="BB148" i="5"/>
  <c r="BC150" i="5"/>
  <c r="BA148" i="5"/>
  <c r="BC149" i="5"/>
  <c r="BC134" i="5"/>
  <c r="BI149" i="5"/>
  <c r="BL151" i="5"/>
  <c r="BL147" i="5"/>
  <c r="BB149" i="5"/>
  <c r="BB136" i="5"/>
  <c r="BB147" i="5"/>
  <c r="BB150" i="5"/>
  <c r="BB134" i="5"/>
  <c r="BB135" i="5"/>
  <c r="BA150" i="5"/>
  <c r="AZ134" i="5"/>
  <c r="BL149" i="5"/>
  <c r="BF144" i="5"/>
  <c r="BF225" i="5" s="1"/>
  <c r="BM150" i="5"/>
  <c r="BN148" i="5"/>
  <c r="BN151" i="5"/>
  <c r="BH149" i="5"/>
  <c r="BH150" i="5"/>
  <c r="BI136" i="5"/>
  <c r="BH148" i="5"/>
  <c r="BG149" i="5"/>
  <c r="BG135" i="5"/>
  <c r="BG150" i="5"/>
  <c r="BM148" i="5"/>
  <c r="BG151" i="5"/>
  <c r="BH136" i="5"/>
  <c r="BF150" i="5"/>
  <c r="BF134" i="5"/>
  <c r="BF149" i="5"/>
  <c r="BF147" i="5"/>
  <c r="BF151" i="5"/>
  <c r="BF148" i="5"/>
  <c r="BJ143" i="5"/>
  <c r="BH144" i="5"/>
  <c r="BH225" i="5" s="1"/>
  <c r="BG136" i="5"/>
  <c r="BG144" i="5"/>
  <c r="BG225" i="5" s="1"/>
  <c r="BF136" i="5"/>
  <c r="BG134" i="5"/>
  <c r="BH147" i="5"/>
  <c r="BG148" i="5"/>
  <c r="BG147" i="5"/>
  <c r="BI135" i="5"/>
  <c r="BH151" i="5"/>
  <c r="BH135" i="5"/>
  <c r="BC151" i="5"/>
  <c r="BA134" i="5"/>
  <c r="BI144" i="5"/>
  <c r="BI225" i="5" s="1"/>
  <c r="BF135" i="5"/>
  <c r="BC147" i="5"/>
  <c r="BC144" i="5"/>
  <c r="BC225" i="5" s="1"/>
  <c r="BC213" i="5" s="1"/>
  <c r="BC82" i="5" s="1"/>
  <c r="BC136" i="5"/>
  <c r="BC135" i="5"/>
  <c r="AZ148" i="5"/>
  <c r="BA136" i="5"/>
  <c r="BA135" i="5"/>
  <c r="BF133" i="5"/>
  <c r="BH133" i="5"/>
  <c r="BH134" i="5"/>
  <c r="BN144" i="5"/>
  <c r="BN225" i="5" s="1"/>
  <c r="BM136" i="5"/>
  <c r="BM151" i="5"/>
  <c r="BM144" i="5"/>
  <c r="BM225" i="5" s="1"/>
  <c r="BL136" i="5"/>
  <c r="BN149" i="5"/>
  <c r="BM149" i="5"/>
  <c r="BN147" i="5"/>
  <c r="BN134" i="5"/>
  <c r="BN150" i="5"/>
  <c r="BM147" i="5"/>
  <c r="BN133" i="5"/>
  <c r="BU132" i="5"/>
  <c r="BU79" i="5" s="1"/>
  <c r="AM8" i="13" s="1"/>
  <c r="AM10" i="13" s="1"/>
  <c r="AM31" i="13" s="1"/>
  <c r="BO148" i="5"/>
  <c r="BO136" i="5"/>
  <c r="BO147" i="5"/>
  <c r="BO151" i="5"/>
  <c r="BO135" i="5"/>
  <c r="BO144" i="5"/>
  <c r="BO225" i="5" s="1"/>
  <c r="BO150" i="5"/>
  <c r="BO134" i="5"/>
  <c r="BO149" i="5"/>
  <c r="BO133" i="5"/>
  <c r="BM133" i="5"/>
  <c r="BL133" i="5"/>
  <c r="BN135" i="5"/>
  <c r="BM134" i="5"/>
  <c r="BI133" i="5"/>
  <c r="BM135" i="5"/>
  <c r="BL134" i="5"/>
  <c r="BL144" i="5"/>
  <c r="BL225" i="5" s="1"/>
  <c r="BL135" i="5"/>
  <c r="BI134" i="5"/>
  <c r="BG133" i="5"/>
  <c r="BN136" i="5"/>
  <c r="BP131" i="5"/>
  <c r="CA132" i="5"/>
  <c r="BJ132" i="5"/>
  <c r="BT132" i="5"/>
  <c r="BT79" i="5" s="1"/>
  <c r="BS132" i="5"/>
  <c r="BS79" i="5" s="1"/>
  <c r="BI87" i="5" l="1"/>
  <c r="U8" i="13"/>
  <c r="U11" i="13" s="1"/>
  <c r="S12" i="13"/>
  <c r="S11" i="13"/>
  <c r="T12" i="13"/>
  <c r="T11" i="13"/>
  <c r="R12" i="13"/>
  <c r="R11" i="13"/>
  <c r="BC87" i="5"/>
  <c r="BH87" i="5"/>
  <c r="BI152" i="5"/>
  <c r="BA87" i="5"/>
  <c r="AZ152" i="5"/>
  <c r="BG213" i="5"/>
  <c r="BG82" i="5" s="1"/>
  <c r="BG90" i="5" s="1"/>
  <c r="BF213" i="5"/>
  <c r="BF82" i="5" s="1"/>
  <c r="BF90" i="5" s="1"/>
  <c r="AZ214" i="5"/>
  <c r="AZ230" i="5" s="1"/>
  <c r="BA214" i="5"/>
  <c r="BA232" i="5" s="1"/>
  <c r="BH213" i="5"/>
  <c r="BH82" i="5" s="1"/>
  <c r="BH90" i="5" s="1"/>
  <c r="BD154" i="5"/>
  <c r="BD109" i="5" s="1"/>
  <c r="V9" i="13" s="1"/>
  <c r="BF154" i="5"/>
  <c r="BF109" i="5" s="1"/>
  <c r="X9" i="13" s="1"/>
  <c r="AZ161" i="5"/>
  <c r="AZ162" i="5" s="1"/>
  <c r="AZ155" i="5"/>
  <c r="AZ103" i="5" s="1"/>
  <c r="BG154" i="5"/>
  <c r="BG109" i="5" s="1"/>
  <c r="Y9" i="13" s="1"/>
  <c r="BA161" i="5"/>
  <c r="BA162" i="5" s="1"/>
  <c r="BA155" i="5"/>
  <c r="BA103" i="5" s="1"/>
  <c r="BH154" i="5"/>
  <c r="BH109" i="5" s="1"/>
  <c r="Z9" i="13" s="1"/>
  <c r="BB161" i="5"/>
  <c r="BB162" i="5" s="1"/>
  <c r="BB155" i="5"/>
  <c r="BB103" i="5" s="1"/>
  <c r="BB214" i="5"/>
  <c r="AZ87" i="5"/>
  <c r="BI154" i="5"/>
  <c r="BI109" i="5" s="1"/>
  <c r="AA9" i="13" s="1"/>
  <c r="BC161" i="5"/>
  <c r="BC162" i="5" s="1"/>
  <c r="BC90" i="5"/>
  <c r="BU87" i="5"/>
  <c r="AZ90" i="5"/>
  <c r="BD213" i="5"/>
  <c r="BD136" i="5"/>
  <c r="BT87" i="5"/>
  <c r="BJ151" i="5"/>
  <c r="BJ79" i="5"/>
  <c r="AB8" i="13" s="1"/>
  <c r="AB10" i="13" s="1"/>
  <c r="BS87" i="5"/>
  <c r="CA151" i="5"/>
  <c r="CA79" i="5"/>
  <c r="AS8" i="13" s="1"/>
  <c r="AS10" i="13" s="1"/>
  <c r="BD135" i="5"/>
  <c r="BA152" i="5"/>
  <c r="BG214" i="5"/>
  <c r="BI213" i="5"/>
  <c r="BC214" i="5"/>
  <c r="BC261" i="5" s="1"/>
  <c r="BC111" i="5" s="1"/>
  <c r="BL152" i="5"/>
  <c r="BC152" i="5"/>
  <c r="BB152" i="5"/>
  <c r="BH152" i="5"/>
  <c r="BF152" i="5"/>
  <c r="BJ135" i="5"/>
  <c r="BG152" i="5"/>
  <c r="BP143" i="5"/>
  <c r="BP136" i="5"/>
  <c r="BJ136" i="5"/>
  <c r="BU151" i="5"/>
  <c r="BU150" i="5"/>
  <c r="BU147" i="5"/>
  <c r="BU149" i="5"/>
  <c r="BU148" i="5"/>
  <c r="BU134" i="5"/>
  <c r="BM152" i="5"/>
  <c r="BU144" i="5"/>
  <c r="BU225" i="5" s="1"/>
  <c r="BN152" i="5"/>
  <c r="BU133" i="5"/>
  <c r="BO152" i="5"/>
  <c r="BP135" i="5"/>
  <c r="BP132" i="5"/>
  <c r="BP79" i="5" s="1"/>
  <c r="AH8" i="13" s="1"/>
  <c r="BT148" i="5"/>
  <c r="BT135" i="5"/>
  <c r="BU135" i="5"/>
  <c r="BT144" i="5"/>
  <c r="BT225" i="5" s="1"/>
  <c r="BT133" i="5"/>
  <c r="BT149" i="5"/>
  <c r="BT136" i="5"/>
  <c r="BU136" i="5"/>
  <c r="BT147" i="5"/>
  <c r="BT134" i="5"/>
  <c r="BT150" i="5"/>
  <c r="BS144" i="5"/>
  <c r="BS225" i="5" s="1"/>
  <c r="BS133" i="5"/>
  <c r="BS149" i="5"/>
  <c r="BS147" i="5"/>
  <c r="BS134" i="5"/>
  <c r="BS150" i="5"/>
  <c r="BS148" i="5"/>
  <c r="BR132" i="5"/>
  <c r="BV131" i="5"/>
  <c r="BY132" i="5"/>
  <c r="BJ148" i="5"/>
  <c r="BJ144" i="5"/>
  <c r="BJ133" i="5"/>
  <c r="BJ149" i="5"/>
  <c r="BJ147" i="5"/>
  <c r="BJ134" i="5"/>
  <c r="BJ150" i="5"/>
  <c r="BS151" i="5"/>
  <c r="BZ132" i="5"/>
  <c r="CA144" i="5"/>
  <c r="CA225" i="5" s="1"/>
  <c r="CA133" i="5"/>
  <c r="CA149" i="5"/>
  <c r="CA147" i="5"/>
  <c r="CA134" i="5"/>
  <c r="CA150" i="5"/>
  <c r="CA148" i="5"/>
  <c r="BT151" i="5"/>
  <c r="CG132" i="5"/>
  <c r="AH10" i="13" l="1"/>
  <c r="AH31" i="13" s="1"/>
  <c r="AB31" i="13"/>
  <c r="AB20" i="13"/>
  <c r="U10" i="13"/>
  <c r="AA10" i="13"/>
  <c r="U12" i="13"/>
  <c r="U33" i="13" s="1"/>
  <c r="Y12" i="13"/>
  <c r="Y11" i="13"/>
  <c r="T21" i="13"/>
  <c r="T32" i="13"/>
  <c r="T33" i="13"/>
  <c r="T22" i="13"/>
  <c r="Z11" i="13"/>
  <c r="Z12" i="13"/>
  <c r="S32" i="13"/>
  <c r="S21" i="13"/>
  <c r="S22" i="13"/>
  <c r="S33" i="13"/>
  <c r="R32" i="13"/>
  <c r="R21" i="13"/>
  <c r="X11" i="13"/>
  <c r="X12" i="13"/>
  <c r="R22" i="13"/>
  <c r="R33" i="13"/>
  <c r="V12" i="13"/>
  <c r="V11" i="13"/>
  <c r="U21" i="13"/>
  <c r="U32" i="13"/>
  <c r="AA11" i="13"/>
  <c r="AA12" i="13"/>
  <c r="BC114" i="5"/>
  <c r="U67" i="13"/>
  <c r="BF214" i="5"/>
  <c r="BF215" i="5" s="1"/>
  <c r="BL213" i="5"/>
  <c r="BL82" i="5" s="1"/>
  <c r="BM213" i="5"/>
  <c r="BM82" i="5" s="1"/>
  <c r="BM90" i="5" s="1"/>
  <c r="BA233" i="5"/>
  <c r="BA230" i="5"/>
  <c r="AZ216" i="5"/>
  <c r="AZ226" i="5"/>
  <c r="AZ231" i="5"/>
  <c r="AZ232" i="5"/>
  <c r="AZ217" i="5"/>
  <c r="AZ215" i="5"/>
  <c r="BA217" i="5"/>
  <c r="AZ229" i="5"/>
  <c r="AZ218" i="5"/>
  <c r="BA218" i="5"/>
  <c r="AZ233" i="5"/>
  <c r="BH214" i="5"/>
  <c r="BH81" i="5" s="1"/>
  <c r="BN213" i="5"/>
  <c r="BN82" i="5" s="1"/>
  <c r="BN90" i="5" s="1"/>
  <c r="BA226" i="5"/>
  <c r="BA216" i="5"/>
  <c r="BA229" i="5"/>
  <c r="BA215" i="5"/>
  <c r="BA231" i="5"/>
  <c r="BA234" i="5" s="1"/>
  <c r="BC268" i="5"/>
  <c r="BC269" i="5" s="1"/>
  <c r="BA81" i="5"/>
  <c r="BA261" i="5"/>
  <c r="BA111" i="5" s="1"/>
  <c r="BB217" i="5"/>
  <c r="BB261" i="5"/>
  <c r="BB111" i="5" s="1"/>
  <c r="AZ81" i="5"/>
  <c r="AZ261" i="5"/>
  <c r="AZ111" i="5" s="1"/>
  <c r="BB230" i="5"/>
  <c r="BB226" i="5"/>
  <c r="BB232" i="5"/>
  <c r="BB215" i="5"/>
  <c r="BB229" i="5"/>
  <c r="BB233" i="5"/>
  <c r="BB216" i="5"/>
  <c r="BB81" i="5"/>
  <c r="BB89" i="5" s="1"/>
  <c r="BM154" i="5"/>
  <c r="BM109" i="5" s="1"/>
  <c r="AE9" i="13" s="1"/>
  <c r="BG155" i="5"/>
  <c r="BG103" i="5" s="1"/>
  <c r="BG161" i="5"/>
  <c r="BG162" i="5" s="1"/>
  <c r="BB231" i="5"/>
  <c r="BH155" i="5"/>
  <c r="BH103" i="5" s="1"/>
  <c r="BN154" i="5"/>
  <c r="BN109" i="5" s="1"/>
  <c r="AF9" i="13" s="1"/>
  <c r="BH161" i="5"/>
  <c r="BH162" i="5" s="1"/>
  <c r="BL154" i="5"/>
  <c r="BL109" i="5" s="1"/>
  <c r="AD9" i="13" s="1"/>
  <c r="BJ154" i="5"/>
  <c r="BJ109" i="5" s="1"/>
  <c r="AB9" i="13" s="1"/>
  <c r="BF155" i="5"/>
  <c r="BF103" i="5" s="1"/>
  <c r="BF161" i="5"/>
  <c r="BF162" i="5" s="1"/>
  <c r="BB218" i="5"/>
  <c r="BO154" i="5"/>
  <c r="BO109" i="5" s="1"/>
  <c r="AG9" i="13" s="1"/>
  <c r="BI155" i="5"/>
  <c r="BI103" i="5" s="1"/>
  <c r="BI161" i="5"/>
  <c r="BI162" i="5" s="1"/>
  <c r="BD157" i="5"/>
  <c r="BD155" i="5"/>
  <c r="BD103" i="5" s="1"/>
  <c r="BD161" i="5"/>
  <c r="BD162" i="5" s="1"/>
  <c r="BZ151" i="5"/>
  <c r="BZ79" i="5"/>
  <c r="BG233" i="5"/>
  <c r="BG81" i="5"/>
  <c r="BJ87" i="5"/>
  <c r="BJ213" i="5"/>
  <c r="BJ82" i="5" s="1"/>
  <c r="BI82" i="5"/>
  <c r="BY151" i="5"/>
  <c r="BY79" i="5"/>
  <c r="BP87" i="5"/>
  <c r="CA87" i="5"/>
  <c r="BD225" i="5"/>
  <c r="BD82" i="5"/>
  <c r="BD214" i="5"/>
  <c r="BC233" i="5"/>
  <c r="BC81" i="5"/>
  <c r="U66" i="13" s="1"/>
  <c r="U68" i="13" s="1"/>
  <c r="CG151" i="5"/>
  <c r="CG79" i="5"/>
  <c r="AY8" i="13" s="1"/>
  <c r="BR151" i="5"/>
  <c r="BR79" i="5"/>
  <c r="BF233" i="5"/>
  <c r="BF81" i="5"/>
  <c r="BL90" i="5"/>
  <c r="BM214" i="5"/>
  <c r="BF217" i="5"/>
  <c r="BF216" i="5"/>
  <c r="BF226" i="5"/>
  <c r="BF230" i="5"/>
  <c r="BF232" i="5"/>
  <c r="BF229" i="5"/>
  <c r="BC226" i="5"/>
  <c r="BC216" i="5"/>
  <c r="BC218" i="5"/>
  <c r="BC215" i="5"/>
  <c r="BC217" i="5"/>
  <c r="BC230" i="5"/>
  <c r="BC232" i="5"/>
  <c r="BC229" i="5"/>
  <c r="BC262" i="5"/>
  <c r="BC105" i="5" s="1"/>
  <c r="BC231" i="5"/>
  <c r="BO213" i="5"/>
  <c r="BI214" i="5"/>
  <c r="BI261" i="5" s="1"/>
  <c r="BI111" i="5" s="1"/>
  <c r="BG216" i="5"/>
  <c r="BG226" i="5"/>
  <c r="BG218" i="5"/>
  <c r="BG215" i="5"/>
  <c r="BG217" i="5"/>
  <c r="BG230" i="5"/>
  <c r="BG231" i="5"/>
  <c r="BG229" i="5"/>
  <c r="BG232" i="5"/>
  <c r="BL214" i="5"/>
  <c r="BL81" i="5" s="1"/>
  <c r="CA135" i="5"/>
  <c r="CA136" i="5"/>
  <c r="BU152" i="5"/>
  <c r="BV143" i="5"/>
  <c r="BP151" i="5"/>
  <c r="BP150" i="5"/>
  <c r="BP134" i="5"/>
  <c r="BP144" i="5"/>
  <c r="BP147" i="5"/>
  <c r="BP148" i="5"/>
  <c r="BP149" i="5"/>
  <c r="BP133" i="5"/>
  <c r="CF132" i="5"/>
  <c r="BV132" i="5"/>
  <c r="BT152" i="5"/>
  <c r="BY147" i="5"/>
  <c r="BY134" i="5"/>
  <c r="BY150" i="5"/>
  <c r="BY148" i="5"/>
  <c r="BY144" i="5"/>
  <c r="BY225" i="5" s="1"/>
  <c r="BY133" i="5"/>
  <c r="BY149" i="5"/>
  <c r="CA152" i="5"/>
  <c r="BR144" i="5"/>
  <c r="BR225" i="5" s="1"/>
  <c r="BR213" i="5" s="1"/>
  <c r="BR82" i="5" s="1"/>
  <c r="BR133" i="5"/>
  <c r="BR149" i="5"/>
  <c r="BR136" i="5"/>
  <c r="BR147" i="5"/>
  <c r="BR134" i="5"/>
  <c r="BR150" i="5"/>
  <c r="BR148" i="5"/>
  <c r="BR135" i="5"/>
  <c r="BS152" i="5"/>
  <c r="BZ133" i="5"/>
  <c r="BZ149" i="5"/>
  <c r="BZ136" i="5"/>
  <c r="BZ147" i="5"/>
  <c r="BZ134" i="5"/>
  <c r="BZ150" i="5"/>
  <c r="BZ148" i="5"/>
  <c r="BZ135" i="5"/>
  <c r="BZ144" i="5"/>
  <c r="BZ225" i="5" s="1"/>
  <c r="BX132" i="5"/>
  <c r="CB131" i="5"/>
  <c r="BS135" i="5"/>
  <c r="CM132" i="5"/>
  <c r="BJ152" i="5"/>
  <c r="CG147" i="5"/>
  <c r="CG134" i="5"/>
  <c r="CG150" i="5"/>
  <c r="CG148" i="5"/>
  <c r="CG144" i="5"/>
  <c r="CG225" i="5" s="1"/>
  <c r="CG133" i="5"/>
  <c r="CG149" i="5"/>
  <c r="CE132" i="5"/>
  <c r="BS136" i="5"/>
  <c r="U22" i="13" l="1"/>
  <c r="AA31" i="13"/>
  <c r="AA20" i="13"/>
  <c r="U31" i="13"/>
  <c r="U20" i="13"/>
  <c r="U78" i="13"/>
  <c r="U89" i="13"/>
  <c r="BB114" i="5"/>
  <c r="T67" i="13"/>
  <c r="BA114" i="5"/>
  <c r="S67" i="13"/>
  <c r="AZ114" i="5"/>
  <c r="R67" i="13"/>
  <c r="Z22" i="13"/>
  <c r="Z33" i="13"/>
  <c r="Z21" i="13"/>
  <c r="Z32" i="13"/>
  <c r="AE12" i="13"/>
  <c r="AE33" i="13" s="1"/>
  <c r="AE11" i="13"/>
  <c r="AE32" i="13" s="1"/>
  <c r="Y21" i="13"/>
  <c r="Y32" i="13"/>
  <c r="AF12" i="13"/>
  <c r="AF33" i="13" s="1"/>
  <c r="AF11" i="13"/>
  <c r="AF32" i="13" s="1"/>
  <c r="Y22" i="13"/>
  <c r="Y33" i="13"/>
  <c r="X33" i="13"/>
  <c r="X22" i="13"/>
  <c r="AD12" i="13"/>
  <c r="AD33" i="13" s="1"/>
  <c r="AD11" i="13"/>
  <c r="AD32" i="13" s="1"/>
  <c r="X21" i="13"/>
  <c r="X32" i="13"/>
  <c r="AA22" i="13"/>
  <c r="AA33" i="13"/>
  <c r="AG12" i="13"/>
  <c r="AG33" i="13" s="1"/>
  <c r="AG11" i="13"/>
  <c r="AG32" i="13" s="1"/>
  <c r="AA21" i="13"/>
  <c r="AA32" i="13"/>
  <c r="V32" i="13"/>
  <c r="V21" i="13"/>
  <c r="AB12" i="13"/>
  <c r="AB11" i="13"/>
  <c r="V33" i="13"/>
  <c r="V22" i="13"/>
  <c r="BI114" i="5"/>
  <c r="BI115" i="5" s="1"/>
  <c r="AA67" i="13"/>
  <c r="U70" i="13"/>
  <c r="U69" i="13"/>
  <c r="BS213" i="5"/>
  <c r="BS82" i="5" s="1"/>
  <c r="BF218" i="5"/>
  <c r="BF231" i="5"/>
  <c r="BF234" i="5" s="1"/>
  <c r="BH89" i="5"/>
  <c r="BH231" i="5"/>
  <c r="BH229" i="5"/>
  <c r="BH230" i="5"/>
  <c r="BH232" i="5"/>
  <c r="BH226" i="5"/>
  <c r="BH84" i="5"/>
  <c r="BH96" i="5" s="1"/>
  <c r="BC42" i="5"/>
  <c r="BC48" i="5" s="1"/>
  <c r="BC49" i="5" s="1"/>
  <c r="BC121" i="5"/>
  <c r="BC122" i="5" s="1"/>
  <c r="BH215" i="5"/>
  <c r="BN214" i="5"/>
  <c r="BN81" i="5" s="1"/>
  <c r="BN89" i="5" s="1"/>
  <c r="BH217" i="5"/>
  <c r="BT213" i="5"/>
  <c r="BT82" i="5" s="1"/>
  <c r="BH216" i="5"/>
  <c r="BB84" i="5"/>
  <c r="BH92" i="5" s="1"/>
  <c r="BH233" i="5"/>
  <c r="BH234" i="5" s="1"/>
  <c r="BH218" i="5"/>
  <c r="AZ234" i="5"/>
  <c r="BD217" i="5"/>
  <c r="BB234" i="5"/>
  <c r="BC115" i="5"/>
  <c r="BI268" i="5"/>
  <c r="BI269" i="5" s="1"/>
  <c r="BH261" i="5"/>
  <c r="BH111" i="5" s="1"/>
  <c r="BB268" i="5"/>
  <c r="BB269" i="5" s="1"/>
  <c r="AZ89" i="5"/>
  <c r="AZ84" i="5"/>
  <c r="AZ97" i="5" s="1"/>
  <c r="BG261" i="5"/>
  <c r="BG111" i="5" s="1"/>
  <c r="BA268" i="5"/>
  <c r="BA269" i="5" s="1"/>
  <c r="BA262" i="5"/>
  <c r="BA105" i="5" s="1"/>
  <c r="BA89" i="5"/>
  <c r="BA84" i="5"/>
  <c r="BB262" i="5"/>
  <c r="BB105" i="5" s="1"/>
  <c r="BD261" i="5"/>
  <c r="BD111" i="5" s="1"/>
  <c r="V67" i="13" s="1"/>
  <c r="BF261" i="5"/>
  <c r="BF111" i="5" s="1"/>
  <c r="AZ268" i="5"/>
  <c r="AZ269" i="5" s="1"/>
  <c r="AZ117" i="5"/>
  <c r="AZ262" i="5"/>
  <c r="AZ105" i="5" s="1"/>
  <c r="BJ214" i="5"/>
  <c r="BJ81" i="5" s="1"/>
  <c r="BD218" i="5"/>
  <c r="BJ225" i="5"/>
  <c r="BU154" i="5"/>
  <c r="BU109" i="5" s="1"/>
  <c r="AM9" i="13" s="1"/>
  <c r="BO155" i="5"/>
  <c r="BO103" i="5" s="1"/>
  <c r="BO161" i="5"/>
  <c r="BO162" i="5" s="1"/>
  <c r="BM155" i="5"/>
  <c r="BM103" i="5" s="1"/>
  <c r="BS154" i="5"/>
  <c r="BS109" i="5" s="1"/>
  <c r="AK9" i="13" s="1"/>
  <c r="AK11" i="13" s="1"/>
  <c r="AK32" i="13" s="1"/>
  <c r="BM161" i="5"/>
  <c r="BM162" i="5" s="1"/>
  <c r="BN155" i="5"/>
  <c r="BN103" i="5" s="1"/>
  <c r="BT154" i="5"/>
  <c r="BT109" i="5" s="1"/>
  <c r="AL9" i="13" s="1"/>
  <c r="BN161" i="5"/>
  <c r="BN162" i="5" s="1"/>
  <c r="BJ157" i="5"/>
  <c r="BJ155" i="5"/>
  <c r="BJ103" i="5" s="1"/>
  <c r="BJ161" i="5"/>
  <c r="BJ162" i="5" s="1"/>
  <c r="BL155" i="5"/>
  <c r="BL103" i="5" s="1"/>
  <c r="BR154" i="5"/>
  <c r="BR109" i="5" s="1"/>
  <c r="AJ9" i="13" s="1"/>
  <c r="BP154" i="5"/>
  <c r="BP109" i="5" s="1"/>
  <c r="AH9" i="13" s="1"/>
  <c r="BL161" i="5"/>
  <c r="BL162" i="5" s="1"/>
  <c r="BP213" i="5"/>
  <c r="BP82" i="5" s="1"/>
  <c r="BO82" i="5"/>
  <c r="BT90" i="5"/>
  <c r="BY87" i="5"/>
  <c r="BY136" i="5"/>
  <c r="BX79" i="5"/>
  <c r="BV151" i="5"/>
  <c r="BV79" i="5"/>
  <c r="AN8" i="13" s="1"/>
  <c r="AN10" i="13" s="1"/>
  <c r="AN31" i="13" s="1"/>
  <c r="BL89" i="5"/>
  <c r="BL84" i="5"/>
  <c r="BR87" i="5"/>
  <c r="BD232" i="5"/>
  <c r="BD226" i="5"/>
  <c r="BD229" i="5"/>
  <c r="BD216" i="5"/>
  <c r="BD215" i="5"/>
  <c r="BD230" i="5"/>
  <c r="BD81" i="5"/>
  <c r="V66" i="13" s="1"/>
  <c r="V68" i="13" s="1"/>
  <c r="BD231" i="5"/>
  <c r="BH97" i="5"/>
  <c r="BG89" i="5"/>
  <c r="BG84" i="5"/>
  <c r="BS90" i="5"/>
  <c r="CE151" i="5"/>
  <c r="CE79" i="5"/>
  <c r="CF151" i="5"/>
  <c r="CF79" i="5"/>
  <c r="BF89" i="5"/>
  <c r="BF84" i="5"/>
  <c r="BD233" i="5"/>
  <c r="CG87" i="5"/>
  <c r="BD90" i="5"/>
  <c r="CM151" i="5"/>
  <c r="CM79" i="5"/>
  <c r="BB92" i="5"/>
  <c r="BB96" i="5"/>
  <c r="BB98" i="5"/>
  <c r="BI90" i="5"/>
  <c r="BZ87" i="5"/>
  <c r="BR90" i="5"/>
  <c r="BI233" i="5"/>
  <c r="BI81" i="5"/>
  <c r="AA66" i="13" s="1"/>
  <c r="AA68" i="13" s="1"/>
  <c r="BM233" i="5"/>
  <c r="BM81" i="5"/>
  <c r="BB97" i="5"/>
  <c r="BC89" i="5"/>
  <c r="BC84" i="5"/>
  <c r="BC97" i="5" s="1"/>
  <c r="BJ90" i="5"/>
  <c r="BR214" i="5"/>
  <c r="BR81" i="5" s="1"/>
  <c r="BR89" i="5" s="1"/>
  <c r="BL215" i="5"/>
  <c r="BL226" i="5"/>
  <c r="BL216" i="5"/>
  <c r="BL217" i="5"/>
  <c r="BL218" i="5"/>
  <c r="BL229" i="5"/>
  <c r="BL232" i="5"/>
  <c r="BL230" i="5"/>
  <c r="BL231" i="5"/>
  <c r="BN216" i="5"/>
  <c r="BN230" i="5"/>
  <c r="BN229" i="5"/>
  <c r="BZ213" i="5"/>
  <c r="BZ82" i="5" s="1"/>
  <c r="BT214" i="5"/>
  <c r="BC234" i="5"/>
  <c r="BG234" i="5"/>
  <c r="BM217" i="5"/>
  <c r="BM218" i="5"/>
  <c r="BM226" i="5"/>
  <c r="BM216" i="5"/>
  <c r="BM215" i="5"/>
  <c r="BM232" i="5"/>
  <c r="BM230" i="5"/>
  <c r="BM229" i="5"/>
  <c r="BM231" i="5"/>
  <c r="BY213" i="5"/>
  <c r="BY82" i="5" s="1"/>
  <c r="BS214" i="5"/>
  <c r="BS81" i="5" s="1"/>
  <c r="BL233" i="5"/>
  <c r="BI218" i="5"/>
  <c r="BI215" i="5"/>
  <c r="BI216" i="5"/>
  <c r="BI217" i="5"/>
  <c r="BI226" i="5"/>
  <c r="BI231" i="5"/>
  <c r="BI229" i="5"/>
  <c r="BI262" i="5"/>
  <c r="BI105" i="5" s="1"/>
  <c r="BI230" i="5"/>
  <c r="BI232" i="5"/>
  <c r="BU213" i="5"/>
  <c r="BU82" i="5" s="1"/>
  <c r="BO214" i="5"/>
  <c r="BO261" i="5" s="1"/>
  <c r="BO111" i="5" s="1"/>
  <c r="BN233" i="5"/>
  <c r="BV135" i="5"/>
  <c r="CG135" i="5"/>
  <c r="CB143" i="5"/>
  <c r="BP152" i="5"/>
  <c r="BX151" i="5"/>
  <c r="CG136" i="5"/>
  <c r="BV134" i="5"/>
  <c r="BV150" i="5"/>
  <c r="BV148" i="5"/>
  <c r="BV144" i="5"/>
  <c r="BV133" i="5"/>
  <c r="BV149" i="5"/>
  <c r="BV147" i="5"/>
  <c r="CB132" i="5"/>
  <c r="CL132" i="5"/>
  <c r="CG152" i="5"/>
  <c r="BY152" i="5"/>
  <c r="BR152" i="5"/>
  <c r="BY135" i="5"/>
  <c r="CF134" i="5"/>
  <c r="CF150" i="5"/>
  <c r="CF148" i="5"/>
  <c r="CF135" i="5"/>
  <c r="CF144" i="5"/>
  <c r="CF225" i="5" s="1"/>
  <c r="CF133" i="5"/>
  <c r="CF149" i="5"/>
  <c r="CF136" i="5"/>
  <c r="CF147" i="5"/>
  <c r="CK132" i="5"/>
  <c r="CE148" i="5"/>
  <c r="CE144" i="5"/>
  <c r="CE225" i="5" s="1"/>
  <c r="CE133" i="5"/>
  <c r="CE149" i="5"/>
  <c r="CE147" i="5"/>
  <c r="CE134" i="5"/>
  <c r="CE150" i="5"/>
  <c r="CM148" i="5"/>
  <c r="CM144" i="5"/>
  <c r="CM225" i="5" s="1"/>
  <c r="CM133" i="5"/>
  <c r="CM149" i="5"/>
  <c r="CM147" i="5"/>
  <c r="CM134" i="5"/>
  <c r="CM150" i="5"/>
  <c r="BZ152" i="5"/>
  <c r="BV136" i="5"/>
  <c r="CD132" i="5"/>
  <c r="CH131" i="5"/>
  <c r="BX147" i="5"/>
  <c r="BX134" i="5"/>
  <c r="BX150" i="5"/>
  <c r="BX148" i="5"/>
  <c r="BX135" i="5"/>
  <c r="BX144" i="5"/>
  <c r="BX225" i="5" s="1"/>
  <c r="BX213" i="5" s="1"/>
  <c r="BX82" i="5" s="1"/>
  <c r="BX133" i="5"/>
  <c r="BX149" i="5"/>
  <c r="BX136" i="5"/>
  <c r="BJ218" i="5" l="1"/>
  <c r="BJ84" i="5"/>
  <c r="BJ98" i="5" s="1"/>
  <c r="AB66" i="13"/>
  <c r="AA78" i="13"/>
  <c r="AA89" i="13"/>
  <c r="V78" i="13"/>
  <c r="V89" i="13"/>
  <c r="BP214" i="5"/>
  <c r="S69" i="13"/>
  <c r="S70" i="13"/>
  <c r="BG114" i="5"/>
  <c r="BG115" i="5" s="1"/>
  <c r="Y67" i="13"/>
  <c r="BH114" i="5"/>
  <c r="BH115" i="5" s="1"/>
  <c r="Z67" i="13"/>
  <c r="T69" i="13"/>
  <c r="T70" i="13"/>
  <c r="R69" i="13"/>
  <c r="R70" i="13"/>
  <c r="BF114" i="5"/>
  <c r="BF115" i="5" s="1"/>
  <c r="X67" i="13"/>
  <c r="X69" i="13" s="1"/>
  <c r="AL12" i="13"/>
  <c r="AL33" i="13" s="1"/>
  <c r="AL11" i="13"/>
  <c r="AL32" i="13" s="1"/>
  <c r="AK12" i="13"/>
  <c r="AK33" i="13" s="1"/>
  <c r="AJ11" i="13"/>
  <c r="AJ32" i="13" s="1"/>
  <c r="AJ12" i="13"/>
  <c r="AJ33" i="13" s="1"/>
  <c r="AM12" i="13"/>
  <c r="AM33" i="13" s="1"/>
  <c r="AM11" i="13"/>
  <c r="AM32" i="13" s="1"/>
  <c r="AH12" i="13"/>
  <c r="AH33" i="13" s="1"/>
  <c r="AH11" i="13"/>
  <c r="AH32" i="13" s="1"/>
  <c r="AB21" i="13"/>
  <c r="AB32" i="13"/>
  <c r="AB22" i="13"/>
  <c r="AB33" i="13"/>
  <c r="V70" i="13"/>
  <c r="V69" i="13"/>
  <c r="U79" i="13"/>
  <c r="U90" i="13"/>
  <c r="U80" i="13"/>
  <c r="U91" i="13"/>
  <c r="AA70" i="13"/>
  <c r="AA69" i="13"/>
  <c r="BO114" i="5"/>
  <c r="BO115" i="5" s="1"/>
  <c r="AG67" i="13"/>
  <c r="BA117" i="5"/>
  <c r="BI117" i="5"/>
  <c r="BB117" i="5"/>
  <c r="BC44" i="5"/>
  <c r="BB99" i="5"/>
  <c r="BB95" i="5"/>
  <c r="BH99" i="5"/>
  <c r="BC43" i="5"/>
  <c r="BH98" i="5"/>
  <c r="BH100" i="5" s="1"/>
  <c r="BH95" i="5"/>
  <c r="CB135" i="5"/>
  <c r="BN215" i="5"/>
  <c r="BN226" i="5"/>
  <c r="BN217" i="5"/>
  <c r="BN84" i="5"/>
  <c r="BN218" i="5"/>
  <c r="BN232" i="5"/>
  <c r="BJ217" i="5"/>
  <c r="BN231" i="5"/>
  <c r="BD262" i="5"/>
  <c r="BD105" i="5" s="1"/>
  <c r="BD264" i="5"/>
  <c r="BJ89" i="5"/>
  <c r="BI121" i="5"/>
  <c r="BI122" i="5" s="1"/>
  <c r="BI42" i="5"/>
  <c r="BI17" i="5" s="1"/>
  <c r="BJ229" i="5"/>
  <c r="BJ231" i="5"/>
  <c r="BJ232" i="5"/>
  <c r="BJ230" i="5"/>
  <c r="BJ216" i="5"/>
  <c r="BJ215" i="5"/>
  <c r="BJ226" i="5"/>
  <c r="BJ233" i="5"/>
  <c r="BP225" i="5"/>
  <c r="BO268" i="5"/>
  <c r="BO269" i="5" s="1"/>
  <c r="BA97" i="5"/>
  <c r="BA96" i="5"/>
  <c r="BA98" i="5"/>
  <c r="BA95" i="5"/>
  <c r="BA92" i="5"/>
  <c r="BA99" i="5"/>
  <c r="BB121" i="5"/>
  <c r="BB122" i="5" s="1"/>
  <c r="BB115" i="5"/>
  <c r="BB106" i="5" s="1"/>
  <c r="BB107" i="5" s="1"/>
  <c r="BB42" i="5"/>
  <c r="AZ121" i="5"/>
  <c r="AZ122" i="5" s="1"/>
  <c r="BD114" i="5"/>
  <c r="AZ115" i="5"/>
  <c r="AZ42" i="5"/>
  <c r="AZ44" i="5" s="1"/>
  <c r="BA115" i="5"/>
  <c r="BA42" i="5"/>
  <c r="BA121" i="5"/>
  <c r="BA122" i="5" s="1"/>
  <c r="BN261" i="5"/>
  <c r="BN111" i="5" s="1"/>
  <c r="BH268" i="5"/>
  <c r="BH269" i="5" s="1"/>
  <c r="BH262" i="5"/>
  <c r="BH105" i="5" s="1"/>
  <c r="BL261" i="5"/>
  <c r="BL111" i="5" s="1"/>
  <c r="BJ261" i="5"/>
  <c r="BJ111" i="5" s="1"/>
  <c r="AB67" i="13" s="1"/>
  <c r="BF268" i="5"/>
  <c r="BF269" i="5" s="1"/>
  <c r="BF262" i="5"/>
  <c r="BF105" i="5" s="1"/>
  <c r="BM261" i="5"/>
  <c r="BM111" i="5" s="1"/>
  <c r="BG268" i="5"/>
  <c r="BG269" i="5" s="1"/>
  <c r="BG262" i="5"/>
  <c r="BG105" i="5" s="1"/>
  <c r="BD268" i="5"/>
  <c r="BD269" i="5" s="1"/>
  <c r="AZ95" i="5"/>
  <c r="AZ99" i="5"/>
  <c r="AZ98" i="5"/>
  <c r="AZ92" i="5"/>
  <c r="AZ96" i="5"/>
  <c r="BR233" i="5"/>
  <c r="BP155" i="5"/>
  <c r="BP103" i="5" s="1"/>
  <c r="BP157" i="5"/>
  <c r="BP161" i="5"/>
  <c r="BP162" i="5" s="1"/>
  <c r="BR155" i="5"/>
  <c r="BR103" i="5" s="1"/>
  <c r="BX154" i="5"/>
  <c r="BX109" i="5" s="1"/>
  <c r="AP9" i="13" s="1"/>
  <c r="AP11" i="13" s="1"/>
  <c r="AP12" i="13" s="1"/>
  <c r="BV154" i="5"/>
  <c r="BV109" i="5" s="1"/>
  <c r="AN9" i="13" s="1"/>
  <c r="BR161" i="5"/>
  <c r="BR162" i="5" s="1"/>
  <c r="BS155" i="5"/>
  <c r="BS103" i="5" s="1"/>
  <c r="BY154" i="5"/>
  <c r="BY109" i="5" s="1"/>
  <c r="AQ9" i="13" s="1"/>
  <c r="AQ11" i="13" s="1"/>
  <c r="AQ12" i="13" s="1"/>
  <c r="BS161" i="5"/>
  <c r="BS162" i="5" s="1"/>
  <c r="CA154" i="5"/>
  <c r="CA109" i="5" s="1"/>
  <c r="AS9" i="13" s="1"/>
  <c r="AS11" i="13" s="1"/>
  <c r="AS12" i="13" s="1"/>
  <c r="BU155" i="5"/>
  <c r="BU103" i="5" s="1"/>
  <c r="BU161" i="5"/>
  <c r="BU162" i="5" s="1"/>
  <c r="BT155" i="5"/>
  <c r="BT103" i="5" s="1"/>
  <c r="BZ154" i="5"/>
  <c r="BZ109" i="5" s="1"/>
  <c r="AR9" i="13" s="1"/>
  <c r="AR11" i="13" s="1"/>
  <c r="AR12" i="13" s="1"/>
  <c r="BT161" i="5"/>
  <c r="BT162" i="5" s="1"/>
  <c r="BO233" i="5"/>
  <c r="BO81" i="5"/>
  <c r="AG66" i="13" s="1"/>
  <c r="AG68" i="13" s="1"/>
  <c r="AG89" i="13" s="1"/>
  <c r="BF97" i="5"/>
  <c r="BF92" i="5"/>
  <c r="BF96" i="5"/>
  <c r="BF99" i="5"/>
  <c r="BF95" i="5"/>
  <c r="BF98" i="5"/>
  <c r="BG92" i="5"/>
  <c r="BG99" i="5"/>
  <c r="BG96" i="5"/>
  <c r="BG95" i="5"/>
  <c r="BG98" i="5"/>
  <c r="BJ99" i="5"/>
  <c r="BJ96" i="5"/>
  <c r="BJ95" i="5"/>
  <c r="BX90" i="5"/>
  <c r="CE136" i="5"/>
  <c r="CD79" i="5"/>
  <c r="BU90" i="5"/>
  <c r="BG97" i="5"/>
  <c r="BL99" i="5"/>
  <c r="BL92" i="5"/>
  <c r="BL96" i="5"/>
  <c r="BL95" i="5"/>
  <c r="BL98" i="5"/>
  <c r="BS89" i="5"/>
  <c r="BS84" i="5"/>
  <c r="BS97" i="5" s="1"/>
  <c r="CF87" i="5"/>
  <c r="BD234" i="5"/>
  <c r="BL97" i="5"/>
  <c r="BJ97" i="5"/>
  <c r="BP233" i="5"/>
  <c r="BP81" i="5"/>
  <c r="AH66" i="13" s="1"/>
  <c r="BY90" i="5"/>
  <c r="BZ90" i="5"/>
  <c r="BT233" i="5"/>
  <c r="BT81" i="5"/>
  <c r="BM89" i="5"/>
  <c r="BM84" i="5"/>
  <c r="BB100" i="5"/>
  <c r="BN92" i="5"/>
  <c r="BN96" i="5"/>
  <c r="BN99" i="5"/>
  <c r="BN95" i="5"/>
  <c r="BN98" i="5"/>
  <c r="CE87" i="5"/>
  <c r="BV87" i="5"/>
  <c r="CB151" i="5"/>
  <c r="CB79" i="5"/>
  <c r="AT8" i="13" s="1"/>
  <c r="AT10" i="13" s="1"/>
  <c r="CM87" i="5"/>
  <c r="BN97" i="5"/>
  <c r="BO90" i="5"/>
  <c r="CB136" i="5"/>
  <c r="CK151" i="5"/>
  <c r="CK79" i="5"/>
  <c r="CM136" i="5"/>
  <c r="CL79" i="5"/>
  <c r="BC92" i="5"/>
  <c r="BC99" i="5"/>
  <c r="BC96" i="5"/>
  <c r="BC95" i="5"/>
  <c r="BC98" i="5"/>
  <c r="BI89" i="5"/>
  <c r="BI84" i="5"/>
  <c r="BD89" i="5"/>
  <c r="BD84" i="5"/>
  <c r="BJ92" i="5" s="1"/>
  <c r="BR84" i="5"/>
  <c r="BX87" i="5"/>
  <c r="BP90" i="5"/>
  <c r="BX214" i="5"/>
  <c r="BX81" i="5" s="1"/>
  <c r="BX84" i="5" s="1"/>
  <c r="BX95" i="5" s="1"/>
  <c r="BS226" i="5"/>
  <c r="BS218" i="5"/>
  <c r="BS217" i="5"/>
  <c r="BS215" i="5"/>
  <c r="BS216" i="5"/>
  <c r="BS230" i="5"/>
  <c r="BS231" i="5"/>
  <c r="BS232" i="5"/>
  <c r="BS229" i="5"/>
  <c r="CE213" i="5"/>
  <c r="CE82" i="5" s="1"/>
  <c r="BY214" i="5"/>
  <c r="BT216" i="5"/>
  <c r="BT215" i="5"/>
  <c r="BT226" i="5"/>
  <c r="BT218" i="5"/>
  <c r="BT217" i="5"/>
  <c r="BT230" i="5"/>
  <c r="BT231" i="5"/>
  <c r="BT229" i="5"/>
  <c r="BT232" i="5"/>
  <c r="BO218" i="5"/>
  <c r="BO226" i="5"/>
  <c r="BO215" i="5"/>
  <c r="BO216" i="5"/>
  <c r="BO217" i="5"/>
  <c r="BP217" i="5" s="1"/>
  <c r="BO230" i="5"/>
  <c r="BO231" i="5"/>
  <c r="BO229" i="5"/>
  <c r="BO232" i="5"/>
  <c r="BO262" i="5"/>
  <c r="BO105" i="5" s="1"/>
  <c r="CF213" i="5"/>
  <c r="CF82" i="5" s="1"/>
  <c r="BZ214" i="5"/>
  <c r="CA213" i="5"/>
  <c r="CA82" i="5" s="1"/>
  <c r="BU214" i="5"/>
  <c r="BU261" i="5" s="1"/>
  <c r="BU111" i="5" s="1"/>
  <c r="BV213" i="5"/>
  <c r="BV82" i="5" s="1"/>
  <c r="BI234" i="5"/>
  <c r="BM234" i="5"/>
  <c r="BL234" i="5"/>
  <c r="BR226" i="5"/>
  <c r="BR215" i="5"/>
  <c r="BR216" i="5"/>
  <c r="BR217" i="5"/>
  <c r="BR218" i="5"/>
  <c r="BR232" i="5"/>
  <c r="BR229" i="5"/>
  <c r="BR230" i="5"/>
  <c r="BR231" i="5"/>
  <c r="BP215" i="5"/>
  <c r="BP216" i="5"/>
  <c r="BP226" i="5"/>
  <c r="BP231" i="5"/>
  <c r="BP230" i="5"/>
  <c r="BP229" i="5"/>
  <c r="BP232" i="5"/>
  <c r="BS233" i="5"/>
  <c r="CH143" i="5"/>
  <c r="CM135" i="5"/>
  <c r="BV152" i="5"/>
  <c r="CD151" i="5"/>
  <c r="CE135" i="5"/>
  <c r="CM152" i="5"/>
  <c r="CH132" i="5"/>
  <c r="CD148" i="5"/>
  <c r="CD135" i="5"/>
  <c r="CD144" i="5"/>
  <c r="CD225" i="5" s="1"/>
  <c r="CD213" i="5" s="1"/>
  <c r="CD82" i="5" s="1"/>
  <c r="CD133" i="5"/>
  <c r="CD149" i="5"/>
  <c r="CD136" i="5"/>
  <c r="CD147" i="5"/>
  <c r="CD134" i="5"/>
  <c r="CD150" i="5"/>
  <c r="CL135" i="5"/>
  <c r="CL144" i="5"/>
  <c r="CL225" i="5" s="1"/>
  <c r="CL133" i="5"/>
  <c r="CL149" i="5"/>
  <c r="CL136" i="5"/>
  <c r="CL147" i="5"/>
  <c r="CL134" i="5"/>
  <c r="CL150" i="5"/>
  <c r="CL148" i="5"/>
  <c r="BX152" i="5"/>
  <c r="CL151" i="5"/>
  <c r="CK144" i="5"/>
  <c r="CK225" i="5" s="1"/>
  <c r="CK133" i="5"/>
  <c r="CK149" i="5"/>
  <c r="CK147" i="5"/>
  <c r="CK134" i="5"/>
  <c r="CK150" i="5"/>
  <c r="CK148" i="5"/>
  <c r="CB144" i="5"/>
  <c r="CB133" i="5"/>
  <c r="CB149" i="5"/>
  <c r="CB147" i="5"/>
  <c r="CB134" i="5"/>
  <c r="CB150" i="5"/>
  <c r="CB148" i="5"/>
  <c r="CJ132" i="5"/>
  <c r="CN131" i="5"/>
  <c r="CE152" i="5"/>
  <c r="CF152" i="5"/>
  <c r="AG69" i="13" l="1"/>
  <c r="AG90" i="13" s="1"/>
  <c r="AH68" i="13"/>
  <c r="AH89" i="13" s="1"/>
  <c r="AB68" i="13"/>
  <c r="BJ114" i="5"/>
  <c r="BJ115" i="5" s="1"/>
  <c r="BN114" i="5"/>
  <c r="BN115" i="5" s="1"/>
  <c r="AF67" i="13"/>
  <c r="T91" i="13"/>
  <c r="T80" i="13"/>
  <c r="Z70" i="13"/>
  <c r="Z69" i="13"/>
  <c r="Y69" i="13"/>
  <c r="Y70" i="13"/>
  <c r="BM114" i="5"/>
  <c r="BM115" i="5" s="1"/>
  <c r="AE67" i="13"/>
  <c r="T79" i="13"/>
  <c r="T90" i="13"/>
  <c r="S80" i="13"/>
  <c r="S91" i="13"/>
  <c r="S90" i="13"/>
  <c r="S79" i="13"/>
  <c r="X79" i="13"/>
  <c r="X90" i="13"/>
  <c r="BL114" i="5"/>
  <c r="BL115" i="5" s="1"/>
  <c r="AD67" i="13"/>
  <c r="R91" i="13"/>
  <c r="R80" i="13"/>
  <c r="R79" i="13"/>
  <c r="R90" i="13"/>
  <c r="X70" i="13"/>
  <c r="AG70" i="13"/>
  <c r="AG91" i="13" s="1"/>
  <c r="AN12" i="13"/>
  <c r="AN33" i="13" s="1"/>
  <c r="AN11" i="13"/>
  <c r="AN32" i="13" s="1"/>
  <c r="AA80" i="13"/>
  <c r="AA91" i="13"/>
  <c r="AB69" i="13"/>
  <c r="AB70" i="13"/>
  <c r="V79" i="13"/>
  <c r="V90" i="13"/>
  <c r="BU114" i="5"/>
  <c r="BU115" i="5" s="1"/>
  <c r="AM67" i="13"/>
  <c r="AA79" i="13"/>
  <c r="AA90" i="13"/>
  <c r="V80" i="13"/>
  <c r="V91" i="13"/>
  <c r="BG117" i="5"/>
  <c r="BH117" i="5"/>
  <c r="BD112" i="5"/>
  <c r="BD113" i="5" s="1"/>
  <c r="BF117" i="5"/>
  <c r="BO117" i="5"/>
  <c r="BJ264" i="5"/>
  <c r="BP218" i="5"/>
  <c r="BN234" i="5"/>
  <c r="BI44" i="5"/>
  <c r="BI48" i="5"/>
  <c r="BI49" i="5" s="1"/>
  <c r="BI43" i="5"/>
  <c r="BJ234" i="5"/>
  <c r="BO42" i="5"/>
  <c r="BO44" i="5" s="1"/>
  <c r="BO121" i="5"/>
  <c r="BO122" i="5" s="1"/>
  <c r="CH136" i="5"/>
  <c r="BA100" i="5"/>
  <c r="AZ106" i="5"/>
  <c r="AZ107" i="5" s="1"/>
  <c r="BU268" i="5"/>
  <c r="BU269" i="5" s="1"/>
  <c r="BH121" i="5"/>
  <c r="BH122" i="5" s="1"/>
  <c r="BH106" i="5"/>
  <c r="BH107" i="5" s="1"/>
  <c r="BH42" i="5"/>
  <c r="BD42" i="5"/>
  <c r="BD121" i="5"/>
  <c r="BD122" i="5" s="1"/>
  <c r="BD115" i="5"/>
  <c r="BS261" i="5"/>
  <c r="BS111" i="5" s="1"/>
  <c r="BM268" i="5"/>
  <c r="BM269" i="5" s="1"/>
  <c r="BM262" i="5"/>
  <c r="BM105" i="5" s="1"/>
  <c r="BT261" i="5"/>
  <c r="BT111" i="5" s="1"/>
  <c r="BN268" i="5"/>
  <c r="BN269" i="5" s="1"/>
  <c r="BN262" i="5"/>
  <c r="BN105" i="5" s="1"/>
  <c r="AZ100" i="5"/>
  <c r="BF121" i="5"/>
  <c r="BF122" i="5" s="1"/>
  <c r="BF106" i="5"/>
  <c r="BF107" i="5" s="1"/>
  <c r="BF42" i="5"/>
  <c r="BB44" i="5"/>
  <c r="BB48" i="5"/>
  <c r="BB49" i="5" s="1"/>
  <c r="BB43" i="5"/>
  <c r="BG106" i="5"/>
  <c r="BG107" i="5" s="1"/>
  <c r="BG42" i="5"/>
  <c r="BG44" i="5" s="1"/>
  <c r="BG121" i="5"/>
  <c r="BG122" i="5" s="1"/>
  <c r="BA44" i="5"/>
  <c r="BA48" i="5"/>
  <c r="BA49" i="5" s="1"/>
  <c r="BA43" i="5"/>
  <c r="BJ268" i="5"/>
  <c r="BJ269" i="5" s="1"/>
  <c r="BJ262" i="5"/>
  <c r="BJ105" i="5" s="1"/>
  <c r="BA106" i="5"/>
  <c r="BA107" i="5" s="1"/>
  <c r="BR261" i="5"/>
  <c r="BR111" i="5" s="1"/>
  <c r="BP261" i="5"/>
  <c r="BP111" i="5" s="1"/>
  <c r="AH67" i="13" s="1"/>
  <c r="BL268" i="5"/>
  <c r="BL269" i="5" s="1"/>
  <c r="BL262" i="5"/>
  <c r="BL105" i="5" s="1"/>
  <c r="AZ48" i="5"/>
  <c r="AZ49" i="5" s="1"/>
  <c r="AZ43" i="5"/>
  <c r="BX233" i="5"/>
  <c r="BY155" i="5"/>
  <c r="BY103" i="5" s="1"/>
  <c r="CE154" i="5"/>
  <c r="CE109" i="5" s="1"/>
  <c r="AW9" i="13" s="1"/>
  <c r="AW11" i="13" s="1"/>
  <c r="AW12" i="13" s="1"/>
  <c r="BY161" i="5"/>
  <c r="BY162" i="5" s="1"/>
  <c r="CG154" i="5"/>
  <c r="CG109" i="5" s="1"/>
  <c r="AY9" i="13" s="1"/>
  <c r="AY11" i="13" s="1"/>
  <c r="AY12" i="13" s="1"/>
  <c r="CA155" i="5"/>
  <c r="CA103" i="5" s="1"/>
  <c r="CA161" i="5"/>
  <c r="CA162" i="5" s="1"/>
  <c r="BI15" i="5"/>
  <c r="BI21" i="1" s="1"/>
  <c r="BI18" i="5"/>
  <c r="BV155" i="5"/>
  <c r="BV103" i="5" s="1"/>
  <c r="BV157" i="5"/>
  <c r="BV161" i="5"/>
  <c r="BV162" i="5" s="1"/>
  <c r="CF154" i="5"/>
  <c r="CF109" i="5" s="1"/>
  <c r="AX9" i="13" s="1"/>
  <c r="AX11" i="13" s="1"/>
  <c r="AX12" i="13" s="1"/>
  <c r="BZ155" i="5"/>
  <c r="BZ103" i="5" s="1"/>
  <c r="BZ161" i="5"/>
  <c r="BZ162" i="5" s="1"/>
  <c r="BX155" i="5"/>
  <c r="BX103" i="5" s="1"/>
  <c r="CD154" i="5"/>
  <c r="CD109" i="5" s="1"/>
  <c r="AV9" i="13" s="1"/>
  <c r="AV11" i="13" s="1"/>
  <c r="AV12" i="13" s="1"/>
  <c r="CB154" i="5"/>
  <c r="CB109" i="5" s="1"/>
  <c r="AT9" i="13" s="1"/>
  <c r="AT11" i="13" s="1"/>
  <c r="AT12" i="13" s="1"/>
  <c r="BX161" i="5"/>
  <c r="BX162" i="5" s="1"/>
  <c r="CE90" i="5"/>
  <c r="CN143" i="5"/>
  <c r="BI92" i="5"/>
  <c r="BI99" i="5"/>
  <c r="BI96" i="5"/>
  <c r="BI95" i="5"/>
  <c r="BI98" i="5"/>
  <c r="CL87" i="5"/>
  <c r="BT89" i="5"/>
  <c r="BT84" i="5"/>
  <c r="BT97" i="5" s="1"/>
  <c r="CF90" i="5"/>
  <c r="CD90" i="5"/>
  <c r="BI97" i="5"/>
  <c r="CD87" i="5"/>
  <c r="CK87" i="5"/>
  <c r="BL100" i="5"/>
  <c r="BG100" i="5"/>
  <c r="BX99" i="5"/>
  <c r="BX92" i="5"/>
  <c r="BX96" i="5"/>
  <c r="BX98" i="5"/>
  <c r="BF100" i="5"/>
  <c r="BV90" i="5"/>
  <c r="CH151" i="5"/>
  <c r="CH79" i="5"/>
  <c r="AZ8" i="13" s="1"/>
  <c r="BU233" i="5"/>
  <c r="BU81" i="5"/>
  <c r="AM66" i="13" s="1"/>
  <c r="AM68" i="13" s="1"/>
  <c r="AM89" i="13" s="1"/>
  <c r="BR97" i="5"/>
  <c r="BR99" i="5"/>
  <c r="BR92" i="5"/>
  <c r="BR96" i="5"/>
  <c r="BR95" i="5"/>
  <c r="BR98" i="5"/>
  <c r="BC100" i="5"/>
  <c r="BC106" i="5"/>
  <c r="BC107" i="5" s="1"/>
  <c r="BO89" i="5"/>
  <c r="BO84" i="5"/>
  <c r="BO92" i="5" s="1"/>
  <c r="CA90" i="5"/>
  <c r="BX89" i="5"/>
  <c r="BX97" i="5"/>
  <c r="BD95" i="5"/>
  <c r="BD99" i="5"/>
  <c r="BD96" i="5"/>
  <c r="BD92" i="5"/>
  <c r="BD98" i="5"/>
  <c r="CB87" i="5"/>
  <c r="BM99" i="5"/>
  <c r="BM92" i="5"/>
  <c r="BM96" i="5"/>
  <c r="BM95" i="5"/>
  <c r="BM98" i="5"/>
  <c r="BJ100" i="5"/>
  <c r="CK136" i="5"/>
  <c r="CJ79" i="5"/>
  <c r="BZ233" i="5"/>
  <c r="BZ81" i="5"/>
  <c r="BY233" i="5"/>
  <c r="BY81" i="5"/>
  <c r="BD97" i="5"/>
  <c r="BN100" i="5"/>
  <c r="BM97" i="5"/>
  <c r="BP89" i="5"/>
  <c r="BP84" i="5"/>
  <c r="BS92" i="5"/>
  <c r="BS99" i="5"/>
  <c r="BS96" i="5"/>
  <c r="BS95" i="5"/>
  <c r="BS98" i="5"/>
  <c r="CD214" i="5"/>
  <c r="CD81" i="5" s="1"/>
  <c r="BV225" i="5"/>
  <c r="BV214" i="5"/>
  <c r="BV81" i="5" s="1"/>
  <c r="AN66" i="13" s="1"/>
  <c r="AN68" i="13" s="1"/>
  <c r="AN89" i="13" s="1"/>
  <c r="BU215" i="5"/>
  <c r="BU226" i="5"/>
  <c r="BU218" i="5"/>
  <c r="BV218" i="5" s="1"/>
  <c r="BU216" i="5"/>
  <c r="BU217" i="5"/>
  <c r="BV217" i="5" s="1"/>
  <c r="BU262" i="5"/>
  <c r="BU105" i="5" s="1"/>
  <c r="BU230" i="5"/>
  <c r="BU231" i="5"/>
  <c r="BU229" i="5"/>
  <c r="BU232" i="5"/>
  <c r="BO234" i="5"/>
  <c r="BS234" i="5"/>
  <c r="CG213" i="5"/>
  <c r="CG82" i="5" s="1"/>
  <c r="CA214" i="5"/>
  <c r="CA81" i="5" s="1"/>
  <c r="AS66" i="13" s="1"/>
  <c r="AS68" i="13" s="1"/>
  <c r="BP234" i="5"/>
  <c r="BT234" i="5"/>
  <c r="BZ216" i="5"/>
  <c r="BZ226" i="5"/>
  <c r="BZ215" i="5"/>
  <c r="BZ217" i="5"/>
  <c r="BZ231" i="5"/>
  <c r="BZ230" i="5"/>
  <c r="BZ229" i="5"/>
  <c r="BZ232" i="5"/>
  <c r="BY217" i="5"/>
  <c r="BX218" i="5"/>
  <c r="BX216" i="5"/>
  <c r="BX226" i="5"/>
  <c r="BX217" i="5"/>
  <c r="BX215" i="5"/>
  <c r="BX230" i="5"/>
  <c r="BX231" i="5"/>
  <c r="BX232" i="5"/>
  <c r="BX229" i="5"/>
  <c r="BR234" i="5"/>
  <c r="CL213" i="5"/>
  <c r="CL82" i="5" s="1"/>
  <c r="CL90" i="5" s="1"/>
  <c r="CF214" i="5"/>
  <c r="BZ218" i="5"/>
  <c r="BY216" i="5"/>
  <c r="BY215" i="5"/>
  <c r="BY226" i="5"/>
  <c r="BY218" i="5"/>
  <c r="BY230" i="5"/>
  <c r="BY231" i="5"/>
  <c r="BY229" i="5"/>
  <c r="BY232" i="5"/>
  <c r="CB213" i="5"/>
  <c r="CB82" i="5" s="1"/>
  <c r="CB90" i="5" s="1"/>
  <c r="CK213" i="5"/>
  <c r="CK82" i="5" s="1"/>
  <c r="CE214" i="5"/>
  <c r="CE81" i="5" s="1"/>
  <c r="CJ151" i="5"/>
  <c r="CL152" i="5"/>
  <c r="CD152" i="5"/>
  <c r="CH135" i="5"/>
  <c r="CN132" i="5"/>
  <c r="CK152" i="5"/>
  <c r="CJ133" i="5"/>
  <c r="CJ149" i="5"/>
  <c r="CJ136" i="5"/>
  <c r="CJ147" i="5"/>
  <c r="CJ134" i="5"/>
  <c r="CJ150" i="5"/>
  <c r="CJ148" i="5"/>
  <c r="CJ135" i="5"/>
  <c r="CJ144" i="5"/>
  <c r="CJ225" i="5" s="1"/>
  <c r="CJ213" i="5" s="1"/>
  <c r="CJ82" i="5" s="1"/>
  <c r="CB152" i="5"/>
  <c r="CK135" i="5"/>
  <c r="CH147" i="5"/>
  <c r="CH134" i="5"/>
  <c r="CH150" i="5"/>
  <c r="CH148" i="5"/>
  <c r="CH144" i="5"/>
  <c r="CH133" i="5"/>
  <c r="CH149" i="5"/>
  <c r="AB78" i="13" l="1"/>
  <c r="AB89" i="13"/>
  <c r="BJ112" i="5"/>
  <c r="BJ113" i="5" s="1"/>
  <c r="BP114" i="5"/>
  <c r="Y80" i="13"/>
  <c r="Y91" i="13"/>
  <c r="Y79" i="13"/>
  <c r="Y90" i="13"/>
  <c r="Z79" i="13"/>
  <c r="Z90" i="13"/>
  <c r="Z80" i="13"/>
  <c r="Z91" i="13"/>
  <c r="BS114" i="5"/>
  <c r="BS115" i="5" s="1"/>
  <c r="AK67" i="13"/>
  <c r="BT114" i="5"/>
  <c r="BT115" i="5" s="1"/>
  <c r="AL67" i="13"/>
  <c r="AE69" i="13"/>
  <c r="AE90" i="13" s="1"/>
  <c r="AE70" i="13"/>
  <c r="AE91" i="13" s="1"/>
  <c r="AF70" i="13"/>
  <c r="AF91" i="13" s="1"/>
  <c r="AF69" i="13"/>
  <c r="AF90" i="13" s="1"/>
  <c r="AD69" i="13"/>
  <c r="AD90" i="13" s="1"/>
  <c r="AD70" i="13"/>
  <c r="AD91" i="13" s="1"/>
  <c r="BR114" i="5"/>
  <c r="AJ67" i="13"/>
  <c r="X80" i="13"/>
  <c r="X91" i="13"/>
  <c r="AH70" i="13"/>
  <c r="AH91" i="13" s="1"/>
  <c r="AH69" i="13"/>
  <c r="AH90" i="13" s="1"/>
  <c r="AM70" i="13"/>
  <c r="AM91" i="13" s="1"/>
  <c r="AM69" i="13"/>
  <c r="AM90" i="13" s="1"/>
  <c r="AB80" i="13"/>
  <c r="AB91" i="13"/>
  <c r="AB90" i="13"/>
  <c r="AB79" i="13"/>
  <c r="BI23" i="1"/>
  <c r="BI24" i="1" s="1"/>
  <c r="BI103" i="1"/>
  <c r="BI114" i="1"/>
  <c r="BP115" i="5"/>
  <c r="BP112" i="5"/>
  <c r="BP113" i="5" s="1"/>
  <c r="BN117" i="5"/>
  <c r="BL117" i="5"/>
  <c r="BJ117" i="5"/>
  <c r="BM117" i="5"/>
  <c r="BP264" i="5"/>
  <c r="BU117" i="5"/>
  <c r="BO43" i="5"/>
  <c r="BO17" i="5"/>
  <c r="BO18" i="5" s="1"/>
  <c r="BO48" i="5"/>
  <c r="BO49" i="5" s="1"/>
  <c r="BU121" i="5"/>
  <c r="BU122" i="5" s="1"/>
  <c r="CN136" i="5"/>
  <c r="CE233" i="5"/>
  <c r="BL42" i="5"/>
  <c r="BL44" i="5" s="1"/>
  <c r="BL106" i="5"/>
  <c r="BL107" i="5" s="1"/>
  <c r="BL121" i="5"/>
  <c r="BL122" i="5" s="1"/>
  <c r="BN121" i="5"/>
  <c r="BN122" i="5" s="1"/>
  <c r="BN106" i="5"/>
  <c r="BN107" i="5" s="1"/>
  <c r="BN42" i="5"/>
  <c r="BD44" i="5"/>
  <c r="BD43" i="5"/>
  <c r="BD48" i="5"/>
  <c r="BD49" i="5" s="1"/>
  <c r="BD17" i="5"/>
  <c r="BP268" i="5"/>
  <c r="BP269" i="5" s="1"/>
  <c r="BP262" i="5"/>
  <c r="BP105" i="5" s="1"/>
  <c r="BJ106" i="5"/>
  <c r="BJ107" i="5" s="1"/>
  <c r="BJ42" i="5"/>
  <c r="BJ121" i="5"/>
  <c r="BJ122" i="5" s="1"/>
  <c r="BZ261" i="5"/>
  <c r="BZ111" i="5" s="1"/>
  <c r="BT268" i="5"/>
  <c r="BT269" i="5" s="1"/>
  <c r="BT262" i="5"/>
  <c r="BT105" i="5" s="1"/>
  <c r="BH43" i="5"/>
  <c r="BH44" i="5"/>
  <c r="BH48" i="5"/>
  <c r="BH49" i="5" s="1"/>
  <c r="BH17" i="5"/>
  <c r="BX261" i="5"/>
  <c r="BX111" i="5" s="1"/>
  <c r="BV261" i="5"/>
  <c r="BV111" i="5" s="1"/>
  <c r="AN67" i="13" s="1"/>
  <c r="BR268" i="5"/>
  <c r="BR269" i="5" s="1"/>
  <c r="BR262" i="5"/>
  <c r="BR105" i="5" s="1"/>
  <c r="BF17" i="5"/>
  <c r="BF43" i="5"/>
  <c r="BF48" i="5"/>
  <c r="BF49" i="5" s="1"/>
  <c r="BF44" i="5"/>
  <c r="BM121" i="5"/>
  <c r="BM122" i="5" s="1"/>
  <c r="BM106" i="5"/>
  <c r="BM107" i="5" s="1"/>
  <c r="BM42" i="5"/>
  <c r="BG48" i="5"/>
  <c r="BG49" i="5" s="1"/>
  <c r="BG17" i="5"/>
  <c r="BG43" i="5"/>
  <c r="BU42" i="5"/>
  <c r="BU44" i="5" s="1"/>
  <c r="BY261" i="5"/>
  <c r="BY111" i="5" s="1"/>
  <c r="BS268" i="5"/>
  <c r="BS269" i="5" s="1"/>
  <c r="BS262" i="5"/>
  <c r="BS105" i="5" s="1"/>
  <c r="CA261" i="5"/>
  <c r="CA111" i="5" s="1"/>
  <c r="BD100" i="5"/>
  <c r="BX100" i="5"/>
  <c r="CB157" i="5"/>
  <c r="CB155" i="5"/>
  <c r="CB103" i="5" s="1"/>
  <c r="CB161" i="5"/>
  <c r="CB162" i="5" s="1"/>
  <c r="CE155" i="5"/>
  <c r="CE103" i="5" s="1"/>
  <c r="CK154" i="5"/>
  <c r="CK109" i="5" s="1"/>
  <c r="CE161" i="5"/>
  <c r="CE162" i="5" s="1"/>
  <c r="CD155" i="5"/>
  <c r="CD103" i="5" s="1"/>
  <c r="CJ154" i="5"/>
  <c r="CJ109" i="5" s="1"/>
  <c r="CH154" i="5"/>
  <c r="CH109" i="5" s="1"/>
  <c r="AZ9" i="13" s="1"/>
  <c r="AZ11" i="13" s="1"/>
  <c r="AZ12" i="13" s="1"/>
  <c r="CD161" i="5"/>
  <c r="CD162" i="5" s="1"/>
  <c r="CM154" i="5"/>
  <c r="CM109" i="5" s="1"/>
  <c r="CG155" i="5"/>
  <c r="CG103" i="5" s="1"/>
  <c r="CG161" i="5"/>
  <c r="CG162" i="5" s="1"/>
  <c r="CF155" i="5"/>
  <c r="CF103" i="5" s="1"/>
  <c r="CL154" i="5"/>
  <c r="CL109" i="5" s="1"/>
  <c r="CF161" i="5"/>
  <c r="CF162" i="5" s="1"/>
  <c r="CN151" i="5"/>
  <c r="CN79" i="5"/>
  <c r="CA89" i="5"/>
  <c r="CA84" i="5"/>
  <c r="BV89" i="5"/>
  <c r="BV84" i="5"/>
  <c r="BV97" i="5" s="1"/>
  <c r="BM100" i="5"/>
  <c r="BO99" i="5"/>
  <c r="BO96" i="5"/>
  <c r="BO95" i="5"/>
  <c r="BO98" i="5"/>
  <c r="CD233" i="5"/>
  <c r="BO97" i="5"/>
  <c r="CG90" i="5"/>
  <c r="BZ89" i="5"/>
  <c r="BZ84" i="5"/>
  <c r="CD89" i="5"/>
  <c r="CJ87" i="5"/>
  <c r="BD106" i="5"/>
  <c r="BD107" i="5" s="1"/>
  <c r="BU89" i="5"/>
  <c r="BU84" i="5"/>
  <c r="CF233" i="5"/>
  <c r="CF81" i="5"/>
  <c r="BS100" i="5"/>
  <c r="CH87" i="5"/>
  <c r="BI100" i="5"/>
  <c r="BI106" i="5"/>
  <c r="BI107" i="5" s="1"/>
  <c r="CJ90" i="5"/>
  <c r="CE89" i="5"/>
  <c r="CE84" i="5"/>
  <c r="BR100" i="5"/>
  <c r="BT99" i="5"/>
  <c r="BT96" i="5"/>
  <c r="BT95" i="5"/>
  <c r="BT98" i="5"/>
  <c r="BT92" i="5"/>
  <c r="BP97" i="5"/>
  <c r="BP99" i="5"/>
  <c r="BP92" i="5"/>
  <c r="BP96" i="5"/>
  <c r="BP95" i="5"/>
  <c r="BP98" i="5"/>
  <c r="CK90" i="5"/>
  <c r="CA233" i="5"/>
  <c r="BV233" i="5"/>
  <c r="BY89" i="5"/>
  <c r="BY84" i="5"/>
  <c r="BY97" i="5" s="1"/>
  <c r="CD84" i="5"/>
  <c r="CD97" i="5" s="1"/>
  <c r="BZ234" i="5"/>
  <c r="BU234" i="5"/>
  <c r="BX234" i="5"/>
  <c r="CJ214" i="5"/>
  <c r="CJ81" i="5" s="1"/>
  <c r="CJ84" i="5" s="1"/>
  <c r="CJ98" i="5" s="1"/>
  <c r="CD217" i="5"/>
  <c r="CA216" i="5"/>
  <c r="CA217" i="5"/>
  <c r="CB217" i="5" s="1"/>
  <c r="CA226" i="5"/>
  <c r="CA218" i="5"/>
  <c r="CB218" i="5" s="1"/>
  <c r="CA215" i="5"/>
  <c r="CA231" i="5"/>
  <c r="CA229" i="5"/>
  <c r="CA232" i="5"/>
  <c r="CA230" i="5"/>
  <c r="BV215" i="5"/>
  <c r="BV216" i="5"/>
  <c r="BV226" i="5"/>
  <c r="BV231" i="5"/>
  <c r="BV229" i="5"/>
  <c r="BV232" i="5"/>
  <c r="BV230" i="5"/>
  <c r="CM213" i="5"/>
  <c r="CM82" i="5" s="1"/>
  <c r="CG214" i="5"/>
  <c r="CG81" i="5" s="1"/>
  <c r="AY66" i="13" s="1"/>
  <c r="AY68" i="13" s="1"/>
  <c r="CB225" i="5"/>
  <c r="CB214" i="5"/>
  <c r="CB81" i="5" s="1"/>
  <c r="AT66" i="13" s="1"/>
  <c r="AT68" i="13" s="1"/>
  <c r="BY234" i="5"/>
  <c r="CD216" i="5"/>
  <c r="CD226" i="5"/>
  <c r="CD215" i="5"/>
  <c r="CD218" i="5"/>
  <c r="CD230" i="5"/>
  <c r="CD231" i="5"/>
  <c r="CD229" i="5"/>
  <c r="CD232" i="5"/>
  <c r="CK214" i="5"/>
  <c r="CK81" i="5" s="1"/>
  <c r="CF226" i="5"/>
  <c r="CF216" i="5"/>
  <c r="CF215" i="5"/>
  <c r="CF217" i="5"/>
  <c r="CF218" i="5"/>
  <c r="CF231" i="5"/>
  <c r="CF229" i="5"/>
  <c r="CF232" i="5"/>
  <c r="CF230" i="5"/>
  <c r="CH213" i="5"/>
  <c r="CH82" i="5" s="1"/>
  <c r="CN135" i="5"/>
  <c r="CE226" i="5"/>
  <c r="CE215" i="5"/>
  <c r="CE218" i="5"/>
  <c r="CE217" i="5"/>
  <c r="CE216" i="5"/>
  <c r="CE231" i="5"/>
  <c r="CE229" i="5"/>
  <c r="CE230" i="5"/>
  <c r="CE232" i="5"/>
  <c r="CL214" i="5"/>
  <c r="CL81" i="5" s="1"/>
  <c r="CJ152" i="5"/>
  <c r="CH152" i="5"/>
  <c r="CN148" i="5"/>
  <c r="CN144" i="5"/>
  <c r="CN133" i="5"/>
  <c r="CN149" i="5"/>
  <c r="CN147" i="5"/>
  <c r="CN134" i="5"/>
  <c r="CN150" i="5"/>
  <c r="BV114" i="5" l="1"/>
  <c r="BR115" i="5"/>
  <c r="AL69" i="13"/>
  <c r="AL90" i="13" s="1"/>
  <c r="AL70" i="13"/>
  <c r="AL91" i="13" s="1"/>
  <c r="BI35" i="1"/>
  <c r="BI38" i="1" s="1"/>
  <c r="BI40" i="1" s="1"/>
  <c r="BY114" i="5"/>
  <c r="BY115" i="5" s="1"/>
  <c r="AQ67" i="13"/>
  <c r="AK70" i="13"/>
  <c r="AK91" i="13" s="1"/>
  <c r="AK69" i="13"/>
  <c r="AK90" i="13" s="1"/>
  <c r="BZ114" i="5"/>
  <c r="BZ115" i="5" s="1"/>
  <c r="AR67" i="13"/>
  <c r="BX114" i="5"/>
  <c r="BX115" i="5" s="1"/>
  <c r="AP67" i="13"/>
  <c r="AJ69" i="13"/>
  <c r="AJ90" i="13" s="1"/>
  <c r="AJ70" i="13"/>
  <c r="AJ91" i="13" s="1"/>
  <c r="CA114" i="5"/>
  <c r="CA115" i="5" s="1"/>
  <c r="AS67" i="13"/>
  <c r="AN69" i="13"/>
  <c r="AN90" i="13" s="1"/>
  <c r="AN70" i="13"/>
  <c r="AN91" i="13" s="1"/>
  <c r="BI136" i="1"/>
  <c r="BJ114" i="1"/>
  <c r="BI121" i="1"/>
  <c r="BI125" i="1" s="1"/>
  <c r="BJ103" i="1"/>
  <c r="BJ136" i="1" s="1"/>
  <c r="BO15" i="5"/>
  <c r="BO21" i="1" s="1"/>
  <c r="BV115" i="5"/>
  <c r="BV112" i="5"/>
  <c r="BV113" i="5" s="1"/>
  <c r="BS117" i="5"/>
  <c r="BR117" i="5"/>
  <c r="BT117" i="5"/>
  <c r="BP117" i="5"/>
  <c r="CA262" i="5"/>
  <c r="CA105" i="5" s="1"/>
  <c r="BV262" i="5"/>
  <c r="BV105" i="5" s="1"/>
  <c r="BV264" i="5"/>
  <c r="BU17" i="5"/>
  <c r="BU18" i="5" s="1"/>
  <c r="CL233" i="5"/>
  <c r="CG261" i="5"/>
  <c r="CG111" i="5" s="1"/>
  <c r="CA268" i="5"/>
  <c r="CA269" i="5" s="1"/>
  <c r="BJ44" i="5"/>
  <c r="BJ48" i="5"/>
  <c r="BJ49" i="5" s="1"/>
  <c r="BJ17" i="5"/>
  <c r="BJ43" i="5"/>
  <c r="BS42" i="5"/>
  <c r="BS121" i="5"/>
  <c r="BS122" i="5" s="1"/>
  <c r="BS106" i="5"/>
  <c r="BS107" i="5" s="1"/>
  <c r="BM44" i="5"/>
  <c r="BM48" i="5"/>
  <c r="BM49" i="5" s="1"/>
  <c r="BM43" i="5"/>
  <c r="BM17" i="5"/>
  <c r="BR42" i="5"/>
  <c r="BR121" i="5"/>
  <c r="BR122" i="5" s="1"/>
  <c r="BR106" i="5"/>
  <c r="BR107" i="5" s="1"/>
  <c r="BN44" i="5"/>
  <c r="BN43" i="5"/>
  <c r="BN48" i="5"/>
  <c r="BN49" i="5" s="1"/>
  <c r="BN17" i="5"/>
  <c r="BT42" i="5"/>
  <c r="BT44" i="5" s="1"/>
  <c r="BT121" i="5"/>
  <c r="BT122" i="5" s="1"/>
  <c r="BT106" i="5"/>
  <c r="BT107" i="5" s="1"/>
  <c r="CE261" i="5"/>
  <c r="CE111" i="5" s="1"/>
  <c r="BY268" i="5"/>
  <c r="BY269" i="5" s="1"/>
  <c r="BY262" i="5"/>
  <c r="BY105" i="5" s="1"/>
  <c r="BV268" i="5"/>
  <c r="BV269" i="5" s="1"/>
  <c r="BD18" i="5"/>
  <c r="BD15" i="5"/>
  <c r="BP106" i="5"/>
  <c r="BP107" i="5" s="1"/>
  <c r="BP42" i="5"/>
  <c r="BP121" i="5"/>
  <c r="BP122" i="5" s="1"/>
  <c r="BG18" i="5"/>
  <c r="BG15" i="5"/>
  <c r="BG21" i="1" s="1"/>
  <c r="CB261" i="5"/>
  <c r="CB111" i="5" s="1"/>
  <c r="AT67" i="13" s="1"/>
  <c r="CD261" i="5"/>
  <c r="CD111" i="5" s="1"/>
  <c r="BX268" i="5"/>
  <c r="BX269" i="5" s="1"/>
  <c r="BX262" i="5"/>
  <c r="BX105" i="5" s="1"/>
  <c r="CF261" i="5"/>
  <c r="CF111" i="5" s="1"/>
  <c r="BZ268" i="5"/>
  <c r="BZ269" i="5" s="1"/>
  <c r="BZ262" i="5"/>
  <c r="BZ105" i="5" s="1"/>
  <c r="BF18" i="5"/>
  <c r="BF15" i="5"/>
  <c r="BF21" i="1" s="1"/>
  <c r="BU43" i="5"/>
  <c r="BU48" i="5"/>
  <c r="BU49" i="5" s="1"/>
  <c r="BH18" i="5"/>
  <c r="BH15" i="5"/>
  <c r="BH21" i="1" s="1"/>
  <c r="BL17" i="5"/>
  <c r="BL43" i="5"/>
  <c r="BL48" i="5"/>
  <c r="BL49" i="5" s="1"/>
  <c r="CL155" i="5"/>
  <c r="CL103" i="5" s="1"/>
  <c r="CL161" i="5"/>
  <c r="CL162" i="5" s="1"/>
  <c r="BI43" i="1"/>
  <c r="BI45" i="1" s="1"/>
  <c r="BI140" i="1" s="1"/>
  <c r="CK155" i="5"/>
  <c r="CK103" i="5" s="1"/>
  <c r="CK161" i="5"/>
  <c r="CK162" i="5" s="1"/>
  <c r="CH157" i="5"/>
  <c r="CH155" i="5"/>
  <c r="CH103" i="5" s="1"/>
  <c r="CH161" i="5"/>
  <c r="CH162" i="5" s="1"/>
  <c r="CJ155" i="5"/>
  <c r="CJ103" i="5" s="1"/>
  <c r="CN154" i="5"/>
  <c r="CN109" i="5" s="1"/>
  <c r="CJ161" i="5"/>
  <c r="CJ162" i="5" s="1"/>
  <c r="CM155" i="5"/>
  <c r="CM103" i="5" s="1"/>
  <c r="CM161" i="5"/>
  <c r="CM162" i="5" s="1"/>
  <c r="CJ233" i="5"/>
  <c r="CK233" i="5"/>
  <c r="CL89" i="5"/>
  <c r="CL84" i="5"/>
  <c r="BP100" i="5"/>
  <c r="CF89" i="5"/>
  <c r="CF84" i="5"/>
  <c r="CF97" i="5" s="1"/>
  <c r="CE92" i="5"/>
  <c r="BY92" i="5"/>
  <c r="BY99" i="5"/>
  <c r="BY96" i="5"/>
  <c r="BY95" i="5"/>
  <c r="BY98" i="5"/>
  <c r="BT100" i="5"/>
  <c r="CG233" i="5"/>
  <c r="CJ89" i="5"/>
  <c r="CJ97" i="5"/>
  <c r="BU97" i="5"/>
  <c r="BU92" i="5"/>
  <c r="BU99" i="5"/>
  <c r="BU96" i="5"/>
  <c r="BU95" i="5"/>
  <c r="BU98" i="5"/>
  <c r="BZ92" i="5"/>
  <c r="BZ99" i="5"/>
  <c r="BZ96" i="5"/>
  <c r="BZ95" i="5"/>
  <c r="BZ98" i="5"/>
  <c r="BO100" i="5"/>
  <c r="BO106" i="5"/>
  <c r="BO107" i="5" s="1"/>
  <c r="CA99" i="5"/>
  <c r="CA92" i="5"/>
  <c r="CA96" i="5"/>
  <c r="CA95" i="5"/>
  <c r="CA98" i="5"/>
  <c r="CB89" i="5"/>
  <c r="CB84" i="5"/>
  <c r="CB97" i="5" s="1"/>
  <c r="CG89" i="5"/>
  <c r="CG84" i="5"/>
  <c r="CM90" i="5"/>
  <c r="BZ97" i="5"/>
  <c r="BV92" i="5"/>
  <c r="BV99" i="5"/>
  <c r="BV96" i="5"/>
  <c r="BV95" i="5"/>
  <c r="BV98" i="5"/>
  <c r="CE99" i="5"/>
  <c r="CE96" i="5"/>
  <c r="CE95" i="5"/>
  <c r="CE98" i="5"/>
  <c r="CA97" i="5"/>
  <c r="CJ99" i="5"/>
  <c r="CJ92" i="5"/>
  <c r="CJ96" i="5"/>
  <c r="CK89" i="5"/>
  <c r="CK84" i="5"/>
  <c r="CH90" i="5"/>
  <c r="CE97" i="5"/>
  <c r="CN87" i="5"/>
  <c r="CB233" i="5"/>
  <c r="CD99" i="5"/>
  <c r="CD92" i="5"/>
  <c r="CD96" i="5"/>
  <c r="CD95" i="5"/>
  <c r="CD98" i="5"/>
  <c r="CJ95" i="5"/>
  <c r="CE234" i="5"/>
  <c r="CN213" i="5"/>
  <c r="CN82" i="5" s="1"/>
  <c r="CM214" i="5"/>
  <c r="CM81" i="5" s="1"/>
  <c r="CD234" i="5"/>
  <c r="CB215" i="5"/>
  <c r="CB216" i="5"/>
  <c r="CB226" i="5"/>
  <c r="CB231" i="5"/>
  <c r="CB229" i="5"/>
  <c r="CB232" i="5"/>
  <c r="CB230" i="5"/>
  <c r="BV234" i="5"/>
  <c r="CL215" i="5"/>
  <c r="CL226" i="5"/>
  <c r="CL216" i="5"/>
  <c r="CL218" i="5"/>
  <c r="CL217" i="5"/>
  <c r="CL231" i="5"/>
  <c r="CL229" i="5"/>
  <c r="CL232" i="5"/>
  <c r="CL230" i="5"/>
  <c r="CF234" i="5"/>
  <c r="CA234" i="5"/>
  <c r="CH225" i="5"/>
  <c r="CH214" i="5"/>
  <c r="CH81" i="5" s="1"/>
  <c r="AZ66" i="13" s="1"/>
  <c r="AZ68" i="13" s="1"/>
  <c r="CK226" i="5"/>
  <c r="CK215" i="5"/>
  <c r="CK216" i="5"/>
  <c r="CK217" i="5"/>
  <c r="CK218" i="5"/>
  <c r="CK231" i="5"/>
  <c r="CK229" i="5"/>
  <c r="CK232" i="5"/>
  <c r="CK230" i="5"/>
  <c r="CG215" i="5"/>
  <c r="CG216" i="5"/>
  <c r="CG217" i="5"/>
  <c r="CH217" i="5" s="1"/>
  <c r="CG226" i="5"/>
  <c r="CG218" i="5"/>
  <c r="CH218" i="5" s="1"/>
  <c r="CG231" i="5"/>
  <c r="CG229" i="5"/>
  <c r="CG232" i="5"/>
  <c r="CG230" i="5"/>
  <c r="CJ216" i="5"/>
  <c r="CJ218" i="5"/>
  <c r="CJ217" i="5"/>
  <c r="CJ226" i="5"/>
  <c r="CJ215" i="5"/>
  <c r="CJ231" i="5"/>
  <c r="CJ230" i="5"/>
  <c r="CJ229" i="5"/>
  <c r="CJ232" i="5"/>
  <c r="CN152" i="5"/>
  <c r="BI36" i="1" l="1"/>
  <c r="AQ70" i="13"/>
  <c r="AQ69" i="13"/>
  <c r="CE114" i="5"/>
  <c r="CE115" i="5" s="1"/>
  <c r="AW67" i="13"/>
  <c r="CF114" i="5"/>
  <c r="CF115" i="5" s="1"/>
  <c r="AX67" i="13"/>
  <c r="AR69" i="13"/>
  <c r="AR70" i="13"/>
  <c r="CD114" i="5"/>
  <c r="AV67" i="13"/>
  <c r="AP70" i="13"/>
  <c r="AP69" i="13"/>
  <c r="CB114" i="5"/>
  <c r="CB115" i="5" s="1"/>
  <c r="CG114" i="5"/>
  <c r="CG115" i="5" s="1"/>
  <c r="AY67" i="13"/>
  <c r="AS70" i="13"/>
  <c r="AS69" i="13"/>
  <c r="AT69" i="13"/>
  <c r="AT70" i="13"/>
  <c r="BG23" i="1"/>
  <c r="BG35" i="1" s="1"/>
  <c r="BG103" i="1"/>
  <c r="BG114" i="1"/>
  <c r="BF23" i="1"/>
  <c r="BF35" i="1" s="1"/>
  <c r="BF103" i="1"/>
  <c r="BF114" i="1"/>
  <c r="BO23" i="1"/>
  <c r="BO103" i="1"/>
  <c r="BO114" i="1"/>
  <c r="BH23" i="1"/>
  <c r="BH35" i="1" s="1"/>
  <c r="BH103" i="1"/>
  <c r="BH114" i="1"/>
  <c r="BJ121" i="1"/>
  <c r="BJ125" i="1" s="1"/>
  <c r="CD115" i="5"/>
  <c r="BV117" i="5"/>
  <c r="CG262" i="5"/>
  <c r="CG105" i="5" s="1"/>
  <c r="BX117" i="5"/>
  <c r="BZ117" i="5"/>
  <c r="BY117" i="5"/>
  <c r="CA117" i="5"/>
  <c r="BU15" i="5"/>
  <c r="BU21" i="1" s="1"/>
  <c r="CB262" i="5"/>
  <c r="CB105" i="5" s="1"/>
  <c r="CB264" i="5"/>
  <c r="CM233" i="5"/>
  <c r="CB268" i="5"/>
  <c r="CB269" i="5" s="1"/>
  <c r="BT48" i="5"/>
  <c r="BT49" i="5" s="1"/>
  <c r="BT43" i="5"/>
  <c r="BT17" i="5"/>
  <c r="BS44" i="5"/>
  <c r="BS48" i="5"/>
  <c r="BS49" i="5" s="1"/>
  <c r="BS43" i="5"/>
  <c r="BS17" i="5"/>
  <c r="BL18" i="5"/>
  <c r="BL15" i="5"/>
  <c r="BL21" i="1" s="1"/>
  <c r="BZ42" i="5"/>
  <c r="BZ121" i="5"/>
  <c r="BZ122" i="5" s="1"/>
  <c r="BZ106" i="5"/>
  <c r="BZ107" i="5" s="1"/>
  <c r="BR44" i="5"/>
  <c r="BR43" i="5"/>
  <c r="BR48" i="5"/>
  <c r="BR49" i="5" s="1"/>
  <c r="BR17" i="5"/>
  <c r="BY42" i="5"/>
  <c r="BY121" i="5"/>
  <c r="BY122" i="5" s="1"/>
  <c r="BY106" i="5"/>
  <c r="BY107" i="5" s="1"/>
  <c r="BN15" i="5"/>
  <c r="BN21" i="1" s="1"/>
  <c r="BN18" i="5"/>
  <c r="BM18" i="5"/>
  <c r="BM15" i="5"/>
  <c r="BM21" i="1" s="1"/>
  <c r="BJ18" i="5"/>
  <c r="BJ15" i="5"/>
  <c r="BJ21" i="1" s="1"/>
  <c r="BJ90" i="1" s="1"/>
  <c r="CL261" i="5"/>
  <c r="CL111" i="5" s="1"/>
  <c r="CL114" i="5" s="1"/>
  <c r="CL115" i="5" s="1"/>
  <c r="CF268" i="5"/>
  <c r="CF269" i="5" s="1"/>
  <c r="CF262" i="5"/>
  <c r="CF105" i="5" s="1"/>
  <c r="BP43" i="5"/>
  <c r="BP48" i="5"/>
  <c r="BP49" i="5" s="1"/>
  <c r="BP44" i="5"/>
  <c r="BP17" i="5"/>
  <c r="BX42" i="5"/>
  <c r="BX44" i="5" s="1"/>
  <c r="BX121" i="5"/>
  <c r="BX122" i="5" s="1"/>
  <c r="BX106" i="5"/>
  <c r="BX107" i="5" s="1"/>
  <c r="CK261" i="5"/>
  <c r="CK111" i="5" s="1"/>
  <c r="CK114" i="5" s="1"/>
  <c r="CK115" i="5" s="1"/>
  <c r="CE268" i="5"/>
  <c r="CE269" i="5" s="1"/>
  <c r="CE262" i="5"/>
  <c r="CE105" i="5" s="1"/>
  <c r="CA42" i="5"/>
  <c r="CA106" i="5"/>
  <c r="CA107" i="5" s="1"/>
  <c r="CA121" i="5"/>
  <c r="CA122" i="5" s="1"/>
  <c r="BV42" i="5"/>
  <c r="BV44" i="5" s="1"/>
  <c r="BV106" i="5"/>
  <c r="BV107" i="5" s="1"/>
  <c r="BV121" i="5"/>
  <c r="BV122" i="5" s="1"/>
  <c r="CH261" i="5"/>
  <c r="CH111" i="5" s="1"/>
  <c r="AZ67" i="13" s="1"/>
  <c r="CJ261" i="5"/>
  <c r="CJ111" i="5" s="1"/>
  <c r="CJ114" i="5" s="1"/>
  <c r="CD268" i="5"/>
  <c r="CD269" i="5" s="1"/>
  <c r="CD262" i="5"/>
  <c r="CD105" i="5" s="1"/>
  <c r="CM261" i="5"/>
  <c r="CM111" i="5" s="1"/>
  <c r="CM114" i="5" s="1"/>
  <c r="CM115" i="5" s="1"/>
  <c r="CG268" i="5"/>
  <c r="CG269" i="5" s="1"/>
  <c r="BI46" i="1"/>
  <c r="BI48" i="1"/>
  <c r="BI50" i="1" s="1"/>
  <c r="BI51" i="1" s="1"/>
  <c r="BI41" i="1"/>
  <c r="CN157" i="5"/>
  <c r="CN155" i="5"/>
  <c r="CN103" i="5" s="1"/>
  <c r="CN161" i="5"/>
  <c r="CN162" i="5" s="1"/>
  <c r="BU106" i="5"/>
  <c r="BU107" i="5" s="1"/>
  <c r="CH89" i="5"/>
  <c r="CH84" i="5"/>
  <c r="CD100" i="5"/>
  <c r="CM89" i="5"/>
  <c r="CM84" i="5"/>
  <c r="CM92" i="5" s="1"/>
  <c r="CK92" i="5"/>
  <c r="CK99" i="5"/>
  <c r="CK96" i="5"/>
  <c r="CK95" i="5"/>
  <c r="CK98" i="5"/>
  <c r="CE100" i="5"/>
  <c r="BU100" i="5"/>
  <c r="CF96" i="5"/>
  <c r="CF99" i="5"/>
  <c r="CF92" i="5"/>
  <c r="CF95" i="5"/>
  <c r="CF98" i="5"/>
  <c r="CN90" i="5"/>
  <c r="CK97" i="5"/>
  <c r="BZ100" i="5"/>
  <c r="BY100" i="5"/>
  <c r="CA100" i="5"/>
  <c r="CL98" i="5"/>
  <c r="CL92" i="5"/>
  <c r="CL99" i="5"/>
  <c r="CL96" i="5"/>
  <c r="CL95" i="5"/>
  <c r="CB98" i="5"/>
  <c r="CB99" i="5"/>
  <c r="CB92" i="5"/>
  <c r="CB96" i="5"/>
  <c r="CB95" i="5"/>
  <c r="CJ100" i="5"/>
  <c r="CG92" i="5"/>
  <c r="CG99" i="5"/>
  <c r="CG96" i="5"/>
  <c r="CG95" i="5"/>
  <c r="CG98" i="5"/>
  <c r="CL97" i="5"/>
  <c r="CH233" i="5"/>
  <c r="BV100" i="5"/>
  <c r="CG97" i="5"/>
  <c r="CK234" i="5"/>
  <c r="CH216" i="5"/>
  <c r="CH215" i="5"/>
  <c r="CH226" i="5"/>
  <c r="CH229" i="5"/>
  <c r="CH231" i="5"/>
  <c r="CH232" i="5"/>
  <c r="CH230" i="5"/>
  <c r="CL234" i="5"/>
  <c r="CJ234" i="5"/>
  <c r="CM215" i="5"/>
  <c r="CM217" i="5"/>
  <c r="CN217" i="5" s="1"/>
  <c r="CM226" i="5"/>
  <c r="CM216" i="5"/>
  <c r="CM218" i="5"/>
  <c r="CN218" i="5" s="1"/>
  <c r="CM229" i="5"/>
  <c r="CM232" i="5"/>
  <c r="CM230" i="5"/>
  <c r="CM231" i="5"/>
  <c r="CG234" i="5"/>
  <c r="CB234" i="5"/>
  <c r="CN225" i="5"/>
  <c r="CN214" i="5"/>
  <c r="CN81" i="5" s="1"/>
  <c r="BG24" i="1" l="1"/>
  <c r="AX69" i="13"/>
  <c r="AX70" i="13"/>
  <c r="AW69" i="13"/>
  <c r="AW70" i="13"/>
  <c r="CH114" i="5"/>
  <c r="CH112" i="5" s="1"/>
  <c r="CH113" i="5" s="1"/>
  <c r="AV70" i="13"/>
  <c r="AV69" i="13"/>
  <c r="CB112" i="5"/>
  <c r="CB113" i="5" s="1"/>
  <c r="BO136" i="1"/>
  <c r="AZ70" i="13"/>
  <c r="AZ69" i="13"/>
  <c r="AY70" i="13"/>
  <c r="AY69" i="13"/>
  <c r="BF136" i="1"/>
  <c r="BH136" i="1"/>
  <c r="BG136" i="1"/>
  <c r="BH24" i="1"/>
  <c r="BU23" i="1"/>
  <c r="BU103" i="1"/>
  <c r="BU114" i="1"/>
  <c r="BG153" i="1"/>
  <c r="BG154" i="1"/>
  <c r="BG121" i="1"/>
  <c r="BG125" i="1" s="1"/>
  <c r="BL23" i="1"/>
  <c r="BL24" i="1" s="1"/>
  <c r="BL103" i="1"/>
  <c r="BL114" i="1"/>
  <c r="BH153" i="1"/>
  <c r="BN23" i="1"/>
  <c r="BN24" i="1" s="1"/>
  <c r="BN103" i="1"/>
  <c r="BN114" i="1"/>
  <c r="BP114" i="1"/>
  <c r="BO121" i="1"/>
  <c r="BO125" i="1" s="1"/>
  <c r="BM23" i="1"/>
  <c r="BM24" i="1" s="1"/>
  <c r="BM103" i="1"/>
  <c r="BM114" i="1"/>
  <c r="BF24" i="1"/>
  <c r="BJ91" i="1"/>
  <c r="BP103" i="1"/>
  <c r="BH154" i="1"/>
  <c r="BH121" i="1"/>
  <c r="BH125" i="1" s="1"/>
  <c r="BI154" i="1"/>
  <c r="BO24" i="1"/>
  <c r="BO35" i="1"/>
  <c r="BI153" i="1"/>
  <c r="BF121" i="1"/>
  <c r="BF125" i="1" s="1"/>
  <c r="CH115" i="5"/>
  <c r="CJ115" i="5"/>
  <c r="CN114" i="5"/>
  <c r="CB117" i="5"/>
  <c r="CG117" i="5"/>
  <c r="CE117" i="5"/>
  <c r="CM262" i="5"/>
  <c r="CM105" i="5" s="1"/>
  <c r="CD117" i="5"/>
  <c r="CF117" i="5"/>
  <c r="CH262" i="5"/>
  <c r="CH105" i="5" s="1"/>
  <c r="CH264" i="5"/>
  <c r="BY48" i="5"/>
  <c r="BY49" i="5" s="1"/>
  <c r="BY43" i="5"/>
  <c r="BG43" i="1"/>
  <c r="BG45" i="1" s="1"/>
  <c r="BG140" i="1" s="1"/>
  <c r="BG38" i="1"/>
  <c r="BG40" i="1" s="1"/>
  <c r="BG36" i="1"/>
  <c r="BF43" i="1"/>
  <c r="BF45" i="1" s="1"/>
  <c r="BF140" i="1" s="1"/>
  <c r="BF36" i="1"/>
  <c r="BF38" i="1"/>
  <c r="BF40" i="1" s="1"/>
  <c r="CK268" i="5"/>
  <c r="CK269" i="5" s="1"/>
  <c r="CK262" i="5"/>
  <c r="CK105" i="5" s="1"/>
  <c r="CN261" i="5"/>
  <c r="CN111" i="5" s="1"/>
  <c r="CJ268" i="5"/>
  <c r="CJ269" i="5" s="1"/>
  <c r="CJ262" i="5"/>
  <c r="CJ105" i="5" s="1"/>
  <c r="BH36" i="1"/>
  <c r="BH43" i="1"/>
  <c r="BH45" i="1" s="1"/>
  <c r="BH140" i="1" s="1"/>
  <c r="BH38" i="1"/>
  <c r="BH40" i="1" s="1"/>
  <c r="CH268" i="5"/>
  <c r="CH269" i="5" s="1"/>
  <c r="CF42" i="5"/>
  <c r="CF121" i="5"/>
  <c r="CF122" i="5" s="1"/>
  <c r="CF106" i="5"/>
  <c r="CF107" i="5" s="1"/>
  <c r="BR18" i="5"/>
  <c r="BR15" i="5"/>
  <c r="BR21" i="1" s="1"/>
  <c r="BZ43" i="5"/>
  <c r="BZ48" i="5"/>
  <c r="BZ49" i="5" s="1"/>
  <c r="BT18" i="5"/>
  <c r="BT15" i="5"/>
  <c r="BT21" i="1" s="1"/>
  <c r="CG42" i="5"/>
  <c r="CG106" i="5"/>
  <c r="CG107" i="5" s="1"/>
  <c r="CG121" i="5"/>
  <c r="CG122" i="5" s="1"/>
  <c r="CA48" i="5"/>
  <c r="CA49" i="5" s="1"/>
  <c r="CA43" i="5"/>
  <c r="CB42" i="5"/>
  <c r="CB44" i="5" s="1"/>
  <c r="CB121" i="5"/>
  <c r="CB122" i="5" s="1"/>
  <c r="BZ44" i="5"/>
  <c r="CA44" i="5"/>
  <c r="BL35" i="1"/>
  <c r="CM268" i="5"/>
  <c r="CM269" i="5" s="1"/>
  <c r="CE42" i="5"/>
  <c r="CE121" i="5"/>
  <c r="CE122" i="5" s="1"/>
  <c r="CE106" i="5"/>
  <c r="CE107" i="5" s="1"/>
  <c r="BX43" i="5"/>
  <c r="BX48" i="5"/>
  <c r="BX49" i="5" s="1"/>
  <c r="CL268" i="5"/>
  <c r="CL269" i="5" s="1"/>
  <c r="CL262" i="5"/>
  <c r="CL105" i="5" s="1"/>
  <c r="CD42" i="5"/>
  <c r="CD44" i="5" s="1"/>
  <c r="CD121" i="5"/>
  <c r="CD122" i="5" s="1"/>
  <c r="CD106" i="5"/>
  <c r="CD107" i="5" s="1"/>
  <c r="BV43" i="5"/>
  <c r="BV48" i="5"/>
  <c r="BV49" i="5" s="1"/>
  <c r="BV17" i="5"/>
  <c r="BP18" i="5"/>
  <c r="BP15" i="5"/>
  <c r="BP21" i="1" s="1"/>
  <c r="BJ23" i="1"/>
  <c r="P12" i="3"/>
  <c r="P13" i="3" s="1"/>
  <c r="BY44" i="5"/>
  <c r="BS18" i="5"/>
  <c r="BS15" i="5"/>
  <c r="BS21" i="1" s="1"/>
  <c r="CN89" i="5"/>
  <c r="CN84" i="5"/>
  <c r="CB100" i="5"/>
  <c r="CB106" i="5"/>
  <c r="CB107" i="5" s="1"/>
  <c r="CG100" i="5"/>
  <c r="CM97" i="5"/>
  <c r="CF100" i="5"/>
  <c r="CK100" i="5"/>
  <c r="CL100" i="5"/>
  <c r="CH99" i="5"/>
  <c r="CH92" i="5"/>
  <c r="CH96" i="5"/>
  <c r="CH95" i="5"/>
  <c r="CH98" i="5"/>
  <c r="CH97" i="5"/>
  <c r="CM99" i="5"/>
  <c r="CM96" i="5"/>
  <c r="CM95" i="5"/>
  <c r="CM98" i="5"/>
  <c r="CN233" i="5"/>
  <c r="CH234" i="5"/>
  <c r="CN226" i="5"/>
  <c r="CN215" i="5"/>
  <c r="CN216" i="5"/>
  <c r="CN229" i="5"/>
  <c r="CN232" i="5"/>
  <c r="CN230" i="5"/>
  <c r="CN231" i="5"/>
  <c r="CM234" i="5"/>
  <c r="BN136" i="1" l="1"/>
  <c r="BO137" i="1" s="1"/>
  <c r="BP136" i="1"/>
  <c r="BM35" i="1"/>
  <c r="BM38" i="1" s="1"/>
  <c r="BM40" i="1" s="1"/>
  <c r="BU136" i="1"/>
  <c r="BM136" i="1"/>
  <c r="BL136" i="1"/>
  <c r="BL137" i="1" s="1"/>
  <c r="BN35" i="1"/>
  <c r="BN38" i="1" s="1"/>
  <c r="BN40" i="1" s="1"/>
  <c r="BG137" i="1"/>
  <c r="BP90" i="1"/>
  <c r="BT23" i="1"/>
  <c r="BT35" i="1" s="1"/>
  <c r="BT103" i="1"/>
  <c r="BT114" i="1"/>
  <c r="BU154" i="1" s="1"/>
  <c r="BO36" i="1"/>
  <c r="BO38" i="1"/>
  <c r="BO40" i="1" s="1"/>
  <c r="BO43" i="1"/>
  <c r="BO45" i="1" s="1"/>
  <c r="BN154" i="1"/>
  <c r="BN121" i="1"/>
  <c r="BN125" i="1" s="1"/>
  <c r="BV114" i="1"/>
  <c r="BU121" i="1"/>
  <c r="BU125" i="1" s="1"/>
  <c r="BO153" i="1"/>
  <c r="BV103" i="1"/>
  <c r="BM154" i="1"/>
  <c r="BM121" i="1"/>
  <c r="BM125" i="1" s="1"/>
  <c r="BU24" i="1"/>
  <c r="BU35" i="1"/>
  <c r="BN153" i="1"/>
  <c r="BR23" i="1"/>
  <c r="BR35" i="1" s="1"/>
  <c r="BR103" i="1"/>
  <c r="BR114" i="1"/>
  <c r="BH160" i="1"/>
  <c r="BL154" i="1"/>
  <c r="BL121" i="1"/>
  <c r="BL125" i="1" s="1"/>
  <c r="BS23" i="1"/>
  <c r="BS24" i="1" s="1"/>
  <c r="BS103" i="1"/>
  <c r="BS114" i="1"/>
  <c r="BH137" i="1"/>
  <c r="BI137" i="1"/>
  <c r="BO154" i="1"/>
  <c r="BL153" i="1"/>
  <c r="BM153" i="1"/>
  <c r="BI160" i="1"/>
  <c r="BP137" i="1"/>
  <c r="BP153" i="1"/>
  <c r="BP91" i="1"/>
  <c r="BP154" i="1"/>
  <c r="BP121" i="1"/>
  <c r="BP125" i="1" s="1"/>
  <c r="BG160" i="1"/>
  <c r="CN115" i="5"/>
  <c r="CN112" i="5"/>
  <c r="CN113" i="5" s="1"/>
  <c r="CM117" i="5"/>
  <c r="CL117" i="5"/>
  <c r="CJ117" i="5"/>
  <c r="CK117" i="5"/>
  <c r="CH117" i="5"/>
  <c r="CN268" i="5"/>
  <c r="CN269" i="5" s="1"/>
  <c r="CN264" i="5"/>
  <c r="CN262" i="5"/>
  <c r="CN105" i="5" s="1"/>
  <c r="BJ35" i="1"/>
  <c r="BJ24" i="1"/>
  <c r="CH42" i="5"/>
  <c r="CH44" i="5" s="1"/>
  <c r="CH121" i="5"/>
  <c r="CH122" i="5" s="1"/>
  <c r="CH106" i="5"/>
  <c r="CH107" i="5" s="1"/>
  <c r="Q12" i="3"/>
  <c r="BP23" i="1"/>
  <c r="BH48" i="1"/>
  <c r="BH50" i="1" s="1"/>
  <c r="BH51" i="1" s="1"/>
  <c r="BH41" i="1"/>
  <c r="BF46" i="1"/>
  <c r="CD48" i="5"/>
  <c r="CD49" i="5" s="1"/>
  <c r="CD43" i="5"/>
  <c r="CE44" i="5"/>
  <c r="CE48" i="5"/>
  <c r="CE49" i="5" s="1"/>
  <c r="CE43" i="5"/>
  <c r="BH46" i="1"/>
  <c r="BV18" i="5"/>
  <c r="BV15" i="5"/>
  <c r="BV21" i="1" s="1"/>
  <c r="CM42" i="5"/>
  <c r="CM121" i="5"/>
  <c r="CM122" i="5" s="1"/>
  <c r="CM106" i="5"/>
  <c r="CM107" i="5" s="1"/>
  <c r="CG48" i="5"/>
  <c r="CG49" i="5" s="1"/>
  <c r="CG43" i="5"/>
  <c r="CK42" i="5"/>
  <c r="CK44" i="5" s="1"/>
  <c r="CK121" i="5"/>
  <c r="CK122" i="5" s="1"/>
  <c r="CK106" i="5"/>
  <c r="CK107" i="5" s="1"/>
  <c r="CL42" i="5"/>
  <c r="CL44" i="5" s="1"/>
  <c r="CL121" i="5"/>
  <c r="CL122" i="5" s="1"/>
  <c r="CL106" i="5"/>
  <c r="CL107" i="5" s="1"/>
  <c r="CG44" i="5"/>
  <c r="BG48" i="1"/>
  <c r="BG50" i="1" s="1"/>
  <c r="BG51" i="1" s="1"/>
  <c r="BG41" i="1"/>
  <c r="CF44" i="5"/>
  <c r="CF48" i="5"/>
  <c r="CF49" i="5" s="1"/>
  <c r="CF43" i="5"/>
  <c r="BG46" i="1"/>
  <c r="BL43" i="1"/>
  <c r="BL45" i="1" s="1"/>
  <c r="BL140" i="1" s="1"/>
  <c r="BL36" i="1"/>
  <c r="BL38" i="1"/>
  <c r="BL40" i="1" s="1"/>
  <c r="CB43" i="5"/>
  <c r="CB48" i="5"/>
  <c r="CB49" i="5" s="1"/>
  <c r="CJ42" i="5"/>
  <c r="CJ44" i="5" s="1"/>
  <c r="CJ121" i="5"/>
  <c r="CJ122" i="5" s="1"/>
  <c r="CJ106" i="5"/>
  <c r="CJ107" i="5" s="1"/>
  <c r="BF48" i="1"/>
  <c r="BF50" i="1" s="1"/>
  <c r="BF51" i="1" s="1"/>
  <c r="BF41" i="1"/>
  <c r="CM100" i="5"/>
  <c r="CN92" i="5"/>
  <c r="CN99" i="5"/>
  <c r="CN96" i="5"/>
  <c r="CN95" i="5"/>
  <c r="CN98" i="5"/>
  <c r="CH100" i="5"/>
  <c r="CN97" i="5"/>
  <c r="CN234" i="5"/>
  <c r="AZ24" i="5"/>
  <c r="AZ39" i="5"/>
  <c r="BL160" i="1" l="1"/>
  <c r="BM36" i="1"/>
  <c r="BM43" i="1"/>
  <c r="BM45" i="1" s="1"/>
  <c r="BM140" i="1" s="1"/>
  <c r="BN36" i="1"/>
  <c r="BN43" i="1"/>
  <c r="BN45" i="1" s="1"/>
  <c r="BN140" i="1" s="1"/>
  <c r="BS136" i="1"/>
  <c r="BT136" i="1"/>
  <c r="BT24" i="1"/>
  <c r="BR136" i="1"/>
  <c r="BR137" i="1" s="1"/>
  <c r="BV136" i="1"/>
  <c r="BV137" i="1" s="1"/>
  <c r="BS35" i="1"/>
  <c r="BS36" i="1" s="1"/>
  <c r="BR24" i="1"/>
  <c r="BN160" i="1"/>
  <c r="BM160" i="1"/>
  <c r="BO160" i="1"/>
  <c r="BP160" i="1"/>
  <c r="Q43" i="3" s="1"/>
  <c r="BM137" i="1"/>
  <c r="BT153" i="1"/>
  <c r="BR154" i="1"/>
  <c r="BR121" i="1"/>
  <c r="BR125" i="1" s="1"/>
  <c r="BN137" i="1"/>
  <c r="BS153" i="1"/>
  <c r="BO140" i="1"/>
  <c r="BO46" i="1"/>
  <c r="BR153" i="1"/>
  <c r="BU36" i="1"/>
  <c r="BU43" i="1"/>
  <c r="BU45" i="1" s="1"/>
  <c r="BU38" i="1"/>
  <c r="BU40" i="1" s="1"/>
  <c r="BO48" i="1"/>
  <c r="BO50" i="1" s="1"/>
  <c r="BO51" i="1" s="1"/>
  <c r="BO41" i="1"/>
  <c r="BV90" i="1"/>
  <c r="BV91" i="1"/>
  <c r="BV154" i="1"/>
  <c r="BV121" i="1"/>
  <c r="BV125" i="1" s="1"/>
  <c r="BT154" i="1"/>
  <c r="BT121" i="1"/>
  <c r="BT125" i="1" s="1"/>
  <c r="BS154" i="1"/>
  <c r="BS121" i="1"/>
  <c r="BS125" i="1" s="1"/>
  <c r="BV153" i="1"/>
  <c r="P24" i="3"/>
  <c r="BU153" i="1"/>
  <c r="BU160" i="1" s="1"/>
  <c r="CN117" i="5"/>
  <c r="CK43" i="5"/>
  <c r="CK48" i="5"/>
  <c r="CK49" i="5" s="1"/>
  <c r="BL41" i="1"/>
  <c r="BL48" i="1"/>
  <c r="BL50" i="1" s="1"/>
  <c r="BL51" i="1" s="1"/>
  <c r="BR36" i="1"/>
  <c r="BR38" i="1"/>
  <c r="BR40" i="1" s="1"/>
  <c r="BR43" i="1"/>
  <c r="BR45" i="1" s="1"/>
  <c r="BR140" i="1" s="1"/>
  <c r="BL46" i="1"/>
  <c r="BT36" i="1"/>
  <c r="BT43" i="1"/>
  <c r="BT45" i="1" s="1"/>
  <c r="BT140" i="1" s="1"/>
  <c r="BT38" i="1"/>
  <c r="BT40" i="1" s="1"/>
  <c r="BN46" i="1"/>
  <c r="CL48" i="5"/>
  <c r="CL49" i="5" s="1"/>
  <c r="CL43" i="5"/>
  <c r="CN42" i="5"/>
  <c r="CN44" i="5" s="1"/>
  <c r="CN106" i="5"/>
  <c r="CN107" i="5" s="1"/>
  <c r="CN121" i="5"/>
  <c r="CN122" i="5" s="1"/>
  <c r="BM41" i="1"/>
  <c r="BM48" i="1"/>
  <c r="BM50" i="1" s="1"/>
  <c r="BM51" i="1" s="1"/>
  <c r="BN48" i="1"/>
  <c r="BN50" i="1" s="1"/>
  <c r="BN51" i="1" s="1"/>
  <c r="BN41" i="1"/>
  <c r="CH43" i="5"/>
  <c r="CH48" i="5"/>
  <c r="CH49" i="5" s="1"/>
  <c r="CM44" i="5"/>
  <c r="CM48" i="5"/>
  <c r="CM49" i="5" s="1"/>
  <c r="CM43" i="5"/>
  <c r="BM46" i="1"/>
  <c r="BP35" i="1"/>
  <c r="BP24" i="1"/>
  <c r="CJ43" i="5"/>
  <c r="CJ48" i="5"/>
  <c r="CJ49" i="5" s="1"/>
  <c r="BV23" i="1"/>
  <c r="R12" i="3"/>
  <c r="Q13" i="3"/>
  <c r="Q32" i="3"/>
  <c r="BJ43" i="1"/>
  <c r="BJ45" i="1" s="1"/>
  <c r="BJ38" i="1"/>
  <c r="BJ36" i="1"/>
  <c r="CN100" i="5"/>
  <c r="AZ40" i="5"/>
  <c r="U52" i="10" s="1"/>
  <c r="AZ17" i="5"/>
  <c r="AZ23" i="5"/>
  <c r="BS38" i="1" l="1"/>
  <c r="BS40" i="1" s="1"/>
  <c r="BS43" i="1"/>
  <c r="BS45" i="1" s="1"/>
  <c r="BS140" i="1" s="1"/>
  <c r="BT137" i="1"/>
  <c r="BS137" i="1"/>
  <c r="BV160" i="1"/>
  <c r="R43" i="3" s="1"/>
  <c r="BR160" i="1"/>
  <c r="BT160" i="1"/>
  <c r="BJ140" i="1"/>
  <c r="P29" i="3"/>
  <c r="P36" i="3" s="1"/>
  <c r="Q24" i="3"/>
  <c r="BU41" i="1"/>
  <c r="BU48" i="1"/>
  <c r="BU50" i="1" s="1"/>
  <c r="BU51" i="1" s="1"/>
  <c r="BS160" i="1"/>
  <c r="BU137" i="1"/>
  <c r="BU140" i="1"/>
  <c r="BU46" i="1"/>
  <c r="BT46" i="1"/>
  <c r="P25" i="3"/>
  <c r="M10" i="12" s="1"/>
  <c r="BJ40" i="1"/>
  <c r="BJ46" i="1"/>
  <c r="V37" i="6"/>
  <c r="BP36" i="1"/>
  <c r="BP43" i="1"/>
  <c r="BP45" i="1" s="1"/>
  <c r="BP38" i="1"/>
  <c r="BR46" i="1"/>
  <c r="R32" i="3"/>
  <c r="R13" i="3"/>
  <c r="BR41" i="1"/>
  <c r="BR48" i="1"/>
  <c r="BR50" i="1" s="1"/>
  <c r="BR51" i="1" s="1"/>
  <c r="BV35" i="1"/>
  <c r="BV24" i="1"/>
  <c r="BS48" i="1"/>
  <c r="BS50" i="1" s="1"/>
  <c r="BS51" i="1" s="1"/>
  <c r="BS41" i="1"/>
  <c r="V31" i="6"/>
  <c r="V20" i="6"/>
  <c r="CN43" i="5"/>
  <c r="CN48" i="5"/>
  <c r="CN49" i="5" s="1"/>
  <c r="BT48" i="1"/>
  <c r="BT50" i="1" s="1"/>
  <c r="BT51" i="1" s="1"/>
  <c r="BT41" i="1"/>
  <c r="AZ18" i="5"/>
  <c r="AZ15" i="5"/>
  <c r="AZ21" i="1" s="1"/>
  <c r="BS46" i="1" l="1"/>
  <c r="R24" i="3"/>
  <c r="AZ23" i="1"/>
  <c r="AZ24" i="1" s="1"/>
  <c r="U12" i="6" s="1"/>
  <c r="U14" i="6" s="1"/>
  <c r="AZ103" i="1"/>
  <c r="AZ114" i="1"/>
  <c r="BP140" i="1"/>
  <c r="Q29" i="3"/>
  <c r="Q36" i="3" s="1"/>
  <c r="BJ48" i="1"/>
  <c r="BJ41" i="1"/>
  <c r="BV38" i="1"/>
  <c r="BV43" i="1"/>
  <c r="BV45" i="1" s="1"/>
  <c r="BV36" i="1"/>
  <c r="BP40" i="1"/>
  <c r="BP46" i="1"/>
  <c r="AZ136" i="1" l="1"/>
  <c r="AZ35" i="1"/>
  <c r="AZ121" i="1"/>
  <c r="AZ125" i="1" s="1"/>
  <c r="BV140" i="1"/>
  <c r="R29" i="3"/>
  <c r="R36" i="3" s="1"/>
  <c r="BJ50" i="1"/>
  <c r="P30" i="3"/>
  <c r="BP41" i="1"/>
  <c r="BP48" i="1"/>
  <c r="BV46" i="1"/>
  <c r="Q25" i="3"/>
  <c r="N10" i="12" s="1"/>
  <c r="Q26" i="3"/>
  <c r="BV40" i="1"/>
  <c r="AZ36" i="1"/>
  <c r="AZ38" i="1"/>
  <c r="AZ40" i="1" s="1"/>
  <c r="AZ43" i="1"/>
  <c r="AZ45" i="1" s="1"/>
  <c r="AZ140" i="1" s="1"/>
  <c r="BV48" i="1" l="1"/>
  <c r="BV41" i="1"/>
  <c r="BP50" i="1"/>
  <c r="P33" i="3"/>
  <c r="BJ51" i="1"/>
  <c r="R26" i="3"/>
  <c r="R25" i="3"/>
  <c r="O10" i="12" s="1"/>
  <c r="AZ48" i="1"/>
  <c r="AZ50" i="1" s="1"/>
  <c r="AZ51" i="1" s="1"/>
  <c r="AZ41" i="1"/>
  <c r="AZ46" i="1"/>
  <c r="P34" i="3" l="1"/>
  <c r="BP51" i="1"/>
  <c r="Q33" i="3"/>
  <c r="Q30" i="3"/>
  <c r="Q31" i="3"/>
  <c r="BV50" i="1"/>
  <c r="Q34" i="3" l="1"/>
  <c r="R33" i="3"/>
  <c r="BV51" i="1"/>
  <c r="R30" i="3"/>
  <c r="R31" i="3"/>
  <c r="BB23" i="5"/>
  <c r="BC23" i="5"/>
  <c r="BA23" i="5"/>
  <c r="BA24" i="5"/>
  <c r="BB24" i="5"/>
  <c r="BC24" i="5"/>
  <c r="BA39" i="5"/>
  <c r="BC39" i="5"/>
  <c r="R34" i="3" l="1"/>
  <c r="BA40" i="5"/>
  <c r="V52" i="10" s="1"/>
  <c r="BA17" i="5"/>
  <c r="BC40" i="5"/>
  <c r="X52" i="10" s="1"/>
  <c r="BC17" i="5"/>
  <c r="BB39" i="5"/>
  <c r="BA18" i="5" l="1"/>
  <c r="BA15" i="5"/>
  <c r="BA21" i="1" s="1"/>
  <c r="BB40" i="5"/>
  <c r="W52" i="10" s="1"/>
  <c r="AD52" i="10" s="1"/>
  <c r="BB17" i="5"/>
  <c r="BC18" i="5"/>
  <c r="BC15" i="5"/>
  <c r="BC21" i="1" s="1"/>
  <c r="BJ24" i="5"/>
  <c r="BC23" i="1" l="1"/>
  <c r="BC35" i="1" s="1"/>
  <c r="BC103" i="1"/>
  <c r="BC114" i="1"/>
  <c r="BA23" i="1"/>
  <c r="BA24" i="1" s="1"/>
  <c r="V12" i="6" s="1"/>
  <c r="V14" i="6" s="1"/>
  <c r="BA103" i="1"/>
  <c r="BA114" i="1"/>
  <c r="BB18" i="5"/>
  <c r="BB15" i="5"/>
  <c r="BB21" i="1" s="1"/>
  <c r="BD21" i="1"/>
  <c r="BC24" i="1" l="1"/>
  <c r="BA136" i="1"/>
  <c r="BD103" i="1"/>
  <c r="BC136" i="1"/>
  <c r="BB23" i="1"/>
  <c r="BB24" i="1" s="1"/>
  <c r="BB103" i="1"/>
  <c r="BB114" i="1"/>
  <c r="BC154" i="1" s="1"/>
  <c r="BA154" i="1"/>
  <c r="BA121" i="1"/>
  <c r="BA125" i="1" s="1"/>
  <c r="BA153" i="1"/>
  <c r="BD114" i="1"/>
  <c r="BC121" i="1"/>
  <c r="BC125" i="1" s="1"/>
  <c r="BJ153" i="1"/>
  <c r="BF153" i="1"/>
  <c r="BA35" i="1"/>
  <c r="BA38" i="1" s="1"/>
  <c r="BA40" i="1" s="1"/>
  <c r="BC36" i="1"/>
  <c r="BC38" i="1"/>
  <c r="BC40" i="1" s="1"/>
  <c r="BC43" i="1"/>
  <c r="BC45" i="1" s="1"/>
  <c r="BC140" i="1" s="1"/>
  <c r="O12" i="3"/>
  <c r="BD23" i="1"/>
  <c r="BC153" i="1" l="1"/>
  <c r="BB136" i="1"/>
  <c r="BB153" i="1"/>
  <c r="BD136" i="1"/>
  <c r="BD90" i="1"/>
  <c r="BA43" i="1"/>
  <c r="BA45" i="1" s="1"/>
  <c r="BA140" i="1" s="1"/>
  <c r="BA160" i="1"/>
  <c r="BB35" i="1"/>
  <c r="BB36" i="1" s="1"/>
  <c r="BA36" i="1"/>
  <c r="BB121" i="1"/>
  <c r="BB125" i="1" s="1"/>
  <c r="BB154" i="1"/>
  <c r="BC160" i="1"/>
  <c r="BD121" i="1"/>
  <c r="BD125" i="1" s="1"/>
  <c r="BD91" i="1"/>
  <c r="BJ154" i="1"/>
  <c r="BJ160" i="1" s="1"/>
  <c r="P43" i="3" s="1"/>
  <c r="BF154" i="1"/>
  <c r="BF160" i="1" s="1"/>
  <c r="BC48" i="1"/>
  <c r="BC50" i="1" s="1"/>
  <c r="BC51" i="1" s="1"/>
  <c r="BC41" i="1"/>
  <c r="BA41" i="1"/>
  <c r="BA48" i="1"/>
  <c r="BA50" i="1" s="1"/>
  <c r="BA51" i="1" s="1"/>
  <c r="BC46" i="1"/>
  <c r="BD24" i="1"/>
  <c r="BD35" i="1"/>
  <c r="O13" i="3"/>
  <c r="P32" i="3"/>
  <c r="BB160" i="1" l="1"/>
  <c r="BB38" i="1"/>
  <c r="BB40" i="1" s="1"/>
  <c r="BB48" i="1" s="1"/>
  <c r="BB50" i="1" s="1"/>
  <c r="BB51" i="1" s="1"/>
  <c r="BA46" i="1"/>
  <c r="BB43" i="1"/>
  <c r="BB45" i="1" s="1"/>
  <c r="BB140" i="1" s="1"/>
  <c r="O24" i="3"/>
  <c r="BD43" i="1"/>
  <c r="BD45" i="1" s="1"/>
  <c r="BD36" i="1"/>
  <c r="BD38" i="1"/>
  <c r="BB41" i="1" l="1"/>
  <c r="BB46" i="1"/>
  <c r="BD140" i="1"/>
  <c r="O29" i="3"/>
  <c r="O36" i="3" s="1"/>
  <c r="U20" i="6"/>
  <c r="U31" i="6"/>
  <c r="BD40" i="1"/>
  <c r="BD46" i="1"/>
  <c r="U37" i="6"/>
  <c r="O25" i="3" l="1"/>
  <c r="L10" i="12" s="1"/>
  <c r="P26" i="3"/>
  <c r="BD48" i="1"/>
  <c r="BD41" i="1"/>
  <c r="BD50" i="1" l="1"/>
  <c r="O30" i="3" l="1"/>
  <c r="P31" i="3"/>
  <c r="BD51" i="1"/>
  <c r="O33" i="3"/>
  <c r="O34" i="3" s="1"/>
  <c r="BX17" i="5" l="1"/>
  <c r="BY17" i="5"/>
  <c r="BY15" i="5" s="1"/>
  <c r="BY21" i="1" s="1"/>
  <c r="BZ17" i="5"/>
  <c r="BZ15" i="5" s="1"/>
  <c r="BZ21" i="1" s="1"/>
  <c r="CA17" i="5"/>
  <c r="CA18" i="5" s="1"/>
  <c r="CB17" i="5"/>
  <c r="CB15" i="5" s="1"/>
  <c r="CB21" i="1" s="1"/>
  <c r="BY23" i="1" l="1"/>
  <c r="BY35" i="1" s="1"/>
  <c r="BY103" i="1"/>
  <c r="BY114" i="1"/>
  <c r="BZ23" i="1"/>
  <c r="BZ35" i="1" s="1"/>
  <c r="BZ103" i="1"/>
  <c r="BZ114" i="1"/>
  <c r="BZ18" i="5"/>
  <c r="BY18" i="5"/>
  <c r="CB23" i="1"/>
  <c r="CB24" i="1" s="1"/>
  <c r="S12" i="3"/>
  <c r="S13" i="3" s="1"/>
  <c r="CB18" i="5"/>
  <c r="BX18" i="5"/>
  <c r="BX15" i="5"/>
  <c r="BX21" i="1" s="1"/>
  <c r="CA15" i="5"/>
  <c r="CA21" i="1" s="1"/>
  <c r="BZ136" i="1" l="1"/>
  <c r="BY24" i="1"/>
  <c r="BY136" i="1"/>
  <c r="BZ24" i="1"/>
  <c r="BZ154" i="1"/>
  <c r="BZ121" i="1"/>
  <c r="BZ125" i="1" s="1"/>
  <c r="CA23" i="1"/>
  <c r="CA24" i="1" s="1"/>
  <c r="CA103" i="1"/>
  <c r="CA114" i="1"/>
  <c r="BZ153" i="1"/>
  <c r="BY121" i="1"/>
  <c r="BY125" i="1" s="1"/>
  <c r="BX23" i="1"/>
  <c r="BX35" i="1" s="1"/>
  <c r="BX103" i="1"/>
  <c r="BX114" i="1"/>
  <c r="BY154" i="1" s="1"/>
  <c r="CB35" i="1"/>
  <c r="S32" i="3"/>
  <c r="BY38" i="1"/>
  <c r="BY40" i="1" s="1"/>
  <c r="BY36" i="1"/>
  <c r="BY43" i="1"/>
  <c r="BY45" i="1" s="1"/>
  <c r="BY140" i="1" s="1"/>
  <c r="BZ43" i="1"/>
  <c r="BZ45" i="1" s="1"/>
  <c r="BZ140" i="1" s="1"/>
  <c r="BZ38" i="1"/>
  <c r="BZ40" i="1" s="1"/>
  <c r="BZ36" i="1"/>
  <c r="CA153" i="1" l="1"/>
  <c r="CA136" i="1"/>
  <c r="CA137" i="1" s="1"/>
  <c r="BX136" i="1"/>
  <c r="BX137" i="1" s="1"/>
  <c r="CA35" i="1"/>
  <c r="CA43" i="1" s="1"/>
  <c r="CA45" i="1" s="1"/>
  <c r="CA140" i="1" s="1"/>
  <c r="BX24" i="1"/>
  <c r="BZ137" i="1"/>
  <c r="BZ160" i="1"/>
  <c r="BX154" i="1"/>
  <c r="BX121" i="1"/>
  <c r="BX125" i="1" s="1"/>
  <c r="BY153" i="1"/>
  <c r="BY160" i="1" s="1"/>
  <c r="BX153" i="1"/>
  <c r="CA154" i="1"/>
  <c r="CB114" i="1"/>
  <c r="CA121" i="1"/>
  <c r="CA125" i="1" s="1"/>
  <c r="CB103" i="1"/>
  <c r="CB43" i="1"/>
  <c r="CB45" i="1" s="1"/>
  <c r="CB46" i="1" s="1"/>
  <c r="S24" i="3"/>
  <c r="CB36" i="1"/>
  <c r="CB38" i="1"/>
  <c r="CB40" i="1" s="1"/>
  <c r="BZ41" i="1"/>
  <c r="BZ48" i="1"/>
  <c r="BZ50" i="1" s="1"/>
  <c r="BZ51" i="1" s="1"/>
  <c r="BZ46" i="1"/>
  <c r="BY46" i="1"/>
  <c r="BY41" i="1"/>
  <c r="BY48" i="1"/>
  <c r="BY50" i="1" s="1"/>
  <c r="BY51" i="1" s="1"/>
  <c r="BX38" i="1"/>
  <c r="BX40" i="1" s="1"/>
  <c r="BX36" i="1"/>
  <c r="BX43" i="1"/>
  <c r="BX45" i="1" s="1"/>
  <c r="BX140" i="1" s="1"/>
  <c r="CB136" i="1" l="1"/>
  <c r="CA160" i="1"/>
  <c r="CA36" i="1"/>
  <c r="CA38" i="1"/>
  <c r="CA40" i="1" s="1"/>
  <c r="CA41" i="1" s="1"/>
  <c r="BY137" i="1"/>
  <c r="CB91" i="1"/>
  <c r="CB154" i="1"/>
  <c r="CB121" i="1"/>
  <c r="CB125" i="1" s="1"/>
  <c r="CB140" i="1"/>
  <c r="S29" i="3"/>
  <c r="S36" i="3" s="1"/>
  <c r="BX160" i="1"/>
  <c r="CB137" i="1"/>
  <c r="CB153" i="1"/>
  <c r="CB90" i="1"/>
  <c r="BX48" i="1"/>
  <c r="BX50" i="1" s="1"/>
  <c r="BX51" i="1" s="1"/>
  <c r="BX41" i="1"/>
  <c r="CB41" i="1"/>
  <c r="CB48" i="1"/>
  <c r="S26" i="3"/>
  <c r="S25" i="3"/>
  <c r="P10" i="12" s="1"/>
  <c r="CA46" i="1"/>
  <c r="BX46" i="1"/>
  <c r="CA48" i="1" l="1"/>
  <c r="CA50" i="1" s="1"/>
  <c r="CA51" i="1" s="1"/>
  <c r="CB160" i="1"/>
  <c r="S43" i="3" s="1"/>
  <c r="CB50" i="1"/>
  <c r="S30" i="3" l="1"/>
  <c r="S31" i="3"/>
  <c r="S33" i="3"/>
  <c r="CB51" i="1"/>
  <c r="S34" i="3" l="1"/>
  <c r="CD17" i="5" l="1"/>
  <c r="CD15" i="5" s="1"/>
  <c r="CD21" i="1" s="1"/>
  <c r="CE17" i="5"/>
  <c r="CE15" i="5" s="1"/>
  <c r="CE21" i="1" s="1"/>
  <c r="CF17" i="5"/>
  <c r="CF15" i="5" s="1"/>
  <c r="CF21" i="1" s="1"/>
  <c r="CG17" i="5"/>
  <c r="CG15" i="5" s="1"/>
  <c r="CG21" i="1" s="1"/>
  <c r="CH17" i="5"/>
  <c r="CH15" i="5" s="1"/>
  <c r="CH21" i="1" s="1"/>
  <c r="CD18" i="5" l="1"/>
  <c r="CE18" i="5"/>
  <c r="CF18" i="5"/>
  <c r="CF23" i="1"/>
  <c r="CF24" i="1" s="1"/>
  <c r="CF103" i="1"/>
  <c r="CF114" i="1"/>
  <c r="CE23" i="1"/>
  <c r="CE35" i="1" s="1"/>
  <c r="CE103" i="1"/>
  <c r="CE114" i="1"/>
  <c r="CG23" i="1"/>
  <c r="CG24" i="1" s="1"/>
  <c r="CG103" i="1"/>
  <c r="CG114" i="1"/>
  <c r="CD23" i="1"/>
  <c r="CD35" i="1" s="1"/>
  <c r="CD103" i="1"/>
  <c r="CD114" i="1"/>
  <c r="CH18" i="5"/>
  <c r="CH23" i="1"/>
  <c r="T12" i="3"/>
  <c r="CG18" i="5"/>
  <c r="CF35" i="1" l="1"/>
  <c r="CF38" i="1" s="1"/>
  <c r="CF40" i="1" s="1"/>
  <c r="CD24" i="1"/>
  <c r="CF136" i="1"/>
  <c r="CE136" i="1"/>
  <c r="CG136" i="1"/>
  <c r="CD136" i="1"/>
  <c r="CD137" i="1" s="1"/>
  <c r="CE153" i="1"/>
  <c r="CD153" i="1"/>
  <c r="CE24" i="1"/>
  <c r="CE154" i="1"/>
  <c r="CE121" i="1"/>
  <c r="CE125" i="1" s="1"/>
  <c r="CF153" i="1"/>
  <c r="CD154" i="1"/>
  <c r="CD121" i="1"/>
  <c r="CD125" i="1" s="1"/>
  <c r="CG35" i="1"/>
  <c r="CF154" i="1"/>
  <c r="CF121" i="1"/>
  <c r="CF125" i="1" s="1"/>
  <c r="CG154" i="1"/>
  <c r="CH114" i="1"/>
  <c r="CG121" i="1"/>
  <c r="CG125" i="1" s="1"/>
  <c r="CG153" i="1"/>
  <c r="CH103" i="1"/>
  <c r="T13" i="3"/>
  <c r="T32" i="3"/>
  <c r="CH24" i="1"/>
  <c r="CH35" i="1"/>
  <c r="CD36" i="1"/>
  <c r="CD43" i="1"/>
  <c r="CD45" i="1" s="1"/>
  <c r="CD140" i="1" s="1"/>
  <c r="CD38" i="1"/>
  <c r="CD40" i="1" s="1"/>
  <c r="CE38" i="1"/>
  <c r="CE40" i="1" s="1"/>
  <c r="CE36" i="1"/>
  <c r="CE43" i="1"/>
  <c r="CE45" i="1" s="1"/>
  <c r="CE140" i="1" s="1"/>
  <c r="CF43" i="1" l="1"/>
  <c r="CF45" i="1" s="1"/>
  <c r="CF140" i="1" s="1"/>
  <c r="CF36" i="1"/>
  <c r="CE137" i="1"/>
  <c r="CH136" i="1"/>
  <c r="CH137" i="1" s="1"/>
  <c r="CF160" i="1"/>
  <c r="CG160" i="1"/>
  <c r="CG36" i="1"/>
  <c r="CG38" i="1"/>
  <c r="CG40" i="1" s="1"/>
  <c r="CG41" i="1" s="1"/>
  <c r="CG43" i="1"/>
  <c r="CG45" i="1" s="1"/>
  <c r="CG140" i="1" s="1"/>
  <c r="CG137" i="1"/>
  <c r="CD160" i="1"/>
  <c r="CH91" i="1"/>
  <c r="CH154" i="1"/>
  <c r="CH121" i="1"/>
  <c r="CH125" i="1" s="1"/>
  <c r="CE160" i="1"/>
  <c r="T24" i="3"/>
  <c r="CH153" i="1"/>
  <c r="CH90" i="1"/>
  <c r="CF137" i="1"/>
  <c r="CE46" i="1"/>
  <c r="CF41" i="1"/>
  <c r="CF48" i="1"/>
  <c r="CF50" i="1" s="1"/>
  <c r="CF51" i="1" s="1"/>
  <c r="CD41" i="1"/>
  <c r="CD48" i="1"/>
  <c r="CD50" i="1" s="1"/>
  <c r="CD51" i="1" s="1"/>
  <c r="CH36" i="1"/>
  <c r="CH43" i="1"/>
  <c r="CH45" i="1" s="1"/>
  <c r="CH38" i="1"/>
  <c r="CE41" i="1"/>
  <c r="CE48" i="1"/>
  <c r="CE50" i="1" s="1"/>
  <c r="CE51" i="1" s="1"/>
  <c r="CD46" i="1"/>
  <c r="CF46" i="1"/>
  <c r="CG46" i="1" l="1"/>
  <c r="CG48" i="1"/>
  <c r="CG50" i="1" s="1"/>
  <c r="CG51" i="1" s="1"/>
  <c r="CH140" i="1"/>
  <c r="T29" i="3"/>
  <c r="T36" i="3" s="1"/>
  <c r="CH160" i="1"/>
  <c r="T43" i="3" s="1"/>
  <c r="CH40" i="1"/>
  <c r="CH46" i="1"/>
  <c r="T25" i="3" l="1"/>
  <c r="Q10" i="12" s="1"/>
  <c r="T26" i="3"/>
  <c r="CH41" i="1"/>
  <c r="CH48" i="1"/>
  <c r="CH50" i="1" l="1"/>
  <c r="T33" i="3" l="1"/>
  <c r="CH51" i="1"/>
  <c r="T30" i="3"/>
  <c r="T31" i="3"/>
  <c r="T34" i="3" l="1"/>
  <c r="CJ17" i="5" l="1"/>
  <c r="CJ18" i="5" s="1"/>
  <c r="CK17" i="5"/>
  <c r="CK15" i="5" s="1"/>
  <c r="CK21" i="1" s="1"/>
  <c r="CL17" i="5"/>
  <c r="CL15" i="5" s="1"/>
  <c r="CL21" i="1" s="1"/>
  <c r="CM17" i="5"/>
  <c r="CM15" i="5" s="1"/>
  <c r="CM21" i="1" s="1"/>
  <c r="CN17" i="5"/>
  <c r="CN15" i="5" s="1"/>
  <c r="CN21" i="1" s="1"/>
  <c r="CM23" i="1" l="1"/>
  <c r="CM24" i="1" s="1"/>
  <c r="CM103" i="1"/>
  <c r="CM114" i="1"/>
  <c r="CL23" i="1"/>
  <c r="CL24" i="1" s="1"/>
  <c r="CL103" i="1"/>
  <c r="CL114" i="1"/>
  <c r="CK23" i="1"/>
  <c r="CK35" i="1" s="1"/>
  <c r="CK103" i="1"/>
  <c r="CK114" i="1"/>
  <c r="CL18" i="5"/>
  <c r="CK18" i="5"/>
  <c r="CJ15" i="5"/>
  <c r="CJ21" i="1" s="1"/>
  <c r="U12" i="3"/>
  <c r="CN23" i="1"/>
  <c r="CL35" i="1"/>
  <c r="CN18" i="5"/>
  <c r="CM18" i="5"/>
  <c r="CK136" i="1" l="1"/>
  <c r="CL136" i="1"/>
  <c r="CM136" i="1"/>
  <c r="CM35" i="1"/>
  <c r="CM43" i="1" s="1"/>
  <c r="CM45" i="1" s="1"/>
  <c r="CM140" i="1" s="1"/>
  <c r="CK24" i="1"/>
  <c r="CM153" i="1"/>
  <c r="CN103" i="1"/>
  <c r="CL154" i="1"/>
  <c r="CL121" i="1"/>
  <c r="CL125" i="1" s="1"/>
  <c r="CJ23" i="1"/>
  <c r="CJ35" i="1" s="1"/>
  <c r="CJ43" i="1" s="1"/>
  <c r="CJ45" i="1" s="1"/>
  <c r="CJ140" i="1" s="1"/>
  <c r="CJ103" i="1"/>
  <c r="CJ114" i="1"/>
  <c r="CN114" i="1"/>
  <c r="CM154" i="1"/>
  <c r="CM121" i="1"/>
  <c r="CM125" i="1" s="1"/>
  <c r="CK154" i="1"/>
  <c r="CK121" i="1"/>
  <c r="CK125" i="1" s="1"/>
  <c r="CL153" i="1"/>
  <c r="CN35" i="1"/>
  <c r="CN24" i="1"/>
  <c r="U32" i="3"/>
  <c r="U13" i="3"/>
  <c r="CK36" i="1"/>
  <c r="CK43" i="1"/>
  <c r="CK45" i="1" s="1"/>
  <c r="CK140" i="1" s="1"/>
  <c r="CK38" i="1"/>
  <c r="CK40" i="1" s="1"/>
  <c r="CL38" i="1"/>
  <c r="CL40" i="1" s="1"/>
  <c r="CL36" i="1"/>
  <c r="CL43" i="1"/>
  <c r="CL45" i="1" s="1"/>
  <c r="CL140" i="1" s="1"/>
  <c r="CM36" i="1" l="1"/>
  <c r="CN136" i="1"/>
  <c r="CN137" i="1" s="1"/>
  <c r="CJ136" i="1"/>
  <c r="CJ137" i="1" s="1"/>
  <c r="CM38" i="1"/>
  <c r="CM40" i="1" s="1"/>
  <c r="CM48" i="1" s="1"/>
  <c r="CM50" i="1" s="1"/>
  <c r="CM51" i="1" s="1"/>
  <c r="CJ38" i="1"/>
  <c r="CJ40" i="1" s="1"/>
  <c r="CJ41" i="1" s="1"/>
  <c r="CM137" i="1"/>
  <c r="CM160" i="1"/>
  <c r="CL160" i="1"/>
  <c r="CN153" i="1"/>
  <c r="CN90" i="1"/>
  <c r="CN91" i="1"/>
  <c r="CN154" i="1"/>
  <c r="CN121" i="1"/>
  <c r="CN125" i="1" s="1"/>
  <c r="CL137" i="1"/>
  <c r="CJ154" i="1"/>
  <c r="CJ121" i="1"/>
  <c r="CJ125" i="1" s="1"/>
  <c r="CK153" i="1"/>
  <c r="CK160" i="1" s="1"/>
  <c r="CJ153" i="1"/>
  <c r="U24" i="3"/>
  <c r="CJ36" i="1"/>
  <c r="CJ24" i="1"/>
  <c r="CL41" i="1"/>
  <c r="CL48" i="1"/>
  <c r="CL50" i="1" s="1"/>
  <c r="CL51" i="1" s="1"/>
  <c r="CK46" i="1"/>
  <c r="CL46" i="1"/>
  <c r="CK41" i="1"/>
  <c r="CK48" i="1"/>
  <c r="CK50" i="1" s="1"/>
  <c r="CK51" i="1" s="1"/>
  <c r="CM46" i="1"/>
  <c r="CJ46" i="1"/>
  <c r="CN43" i="1"/>
  <c r="CN45" i="1" s="1"/>
  <c r="CN38" i="1"/>
  <c r="CN36" i="1"/>
  <c r="CM41" i="1" l="1"/>
  <c r="CJ48" i="1"/>
  <c r="CJ50" i="1" s="1"/>
  <c r="CJ51" i="1" s="1"/>
  <c r="CK137" i="1"/>
  <c r="CN160" i="1"/>
  <c r="U43" i="3" s="1"/>
  <c r="CN140" i="1"/>
  <c r="U29" i="3"/>
  <c r="U36" i="3" s="1"/>
  <c r="CJ160" i="1"/>
  <c r="CN40" i="1"/>
  <c r="CN46" i="1"/>
  <c r="CN48" i="1" l="1"/>
  <c r="CN41" i="1"/>
  <c r="U25" i="3"/>
  <c r="R10" i="12" s="1"/>
  <c r="U26" i="3"/>
  <c r="CN50" i="1" l="1"/>
  <c r="U30" i="3" l="1"/>
  <c r="U31" i="3"/>
  <c r="CN51" i="1"/>
  <c r="U33" i="3"/>
  <c r="U34" i="3" l="1"/>
  <c r="AW114" i="5" l="1"/>
  <c r="AX114" i="5"/>
  <c r="AX115" i="5" s="1"/>
  <c r="AX106" i="5" s="1"/>
  <c r="AX107" i="5" s="1"/>
  <c r="AW117" i="5"/>
  <c r="AW121" i="5"/>
  <c r="AW122" i="5" s="1"/>
  <c r="AX121" i="5" l="1"/>
  <c r="AX122" i="5" s="1"/>
  <c r="BD117" i="5"/>
  <c r="AX117" i="5"/>
  <c r="AW115" i="5"/>
  <c r="AW106" i="5" s="1"/>
  <c r="AW107" i="5" s="1"/>
  <c r="AX42" i="5"/>
  <c r="AW42" i="5"/>
  <c r="BC117" i="5"/>
  <c r="AX112" i="5"/>
  <c r="AX113" i="5" s="1"/>
  <c r="AX17" i="5" l="1"/>
  <c r="AX48" i="5"/>
  <c r="AX49" i="5" s="1"/>
  <c r="AX43" i="5"/>
  <c r="AW17" i="5"/>
  <c r="AW48" i="5"/>
  <c r="AW49" i="5" s="1"/>
  <c r="AW43" i="5"/>
  <c r="AW44" i="5"/>
  <c r="AX44" i="5"/>
  <c r="AW18" i="5" l="1"/>
  <c r="AW15" i="5"/>
  <c r="AW21" i="1" s="1"/>
  <c r="AX18" i="5"/>
  <c r="AX15" i="5"/>
  <c r="AX21" i="1" s="1"/>
  <c r="AW23" i="1" l="1"/>
  <c r="AW35" i="1" s="1"/>
  <c r="AW103" i="1"/>
  <c r="AW114" i="1"/>
  <c r="N12" i="3"/>
  <c r="AX23" i="1"/>
  <c r="AW136" i="1" l="1"/>
  <c r="AW24" i="1"/>
  <c r="AW153" i="1"/>
  <c r="AX103" i="1"/>
  <c r="AW154" i="1"/>
  <c r="AX114" i="1"/>
  <c r="AW121" i="1"/>
  <c r="AW125" i="1" s="1"/>
  <c r="AW36" i="1"/>
  <c r="AW43" i="1"/>
  <c r="AW45" i="1" s="1"/>
  <c r="AW38" i="1"/>
  <c r="AW40" i="1" s="1"/>
  <c r="AX24" i="1"/>
  <c r="AX35" i="1"/>
  <c r="N13" i="3"/>
  <c r="N32" i="3"/>
  <c r="O32" i="3"/>
  <c r="AX154" i="1" l="1"/>
  <c r="AX91" i="1"/>
  <c r="AX121" i="1"/>
  <c r="AX125" i="1" s="1"/>
  <c r="AZ154" i="1"/>
  <c r="BD154" i="1"/>
  <c r="AX90" i="1"/>
  <c r="AZ153" i="1"/>
  <c r="BD153" i="1"/>
  <c r="AX153" i="1"/>
  <c r="N24" i="3"/>
  <c r="AX36" i="1"/>
  <c r="AX43" i="1"/>
  <c r="AX45" i="1" s="1"/>
  <c r="AX38" i="1"/>
  <c r="Q20" i="6"/>
  <c r="Q31" i="6"/>
  <c r="AW41" i="1"/>
  <c r="AW48" i="1"/>
  <c r="AW50" i="1" s="1"/>
  <c r="AW51" i="1" s="1"/>
  <c r="Q37" i="6"/>
  <c r="AW140" i="1"/>
  <c r="AW46" i="1"/>
  <c r="AX140" i="1" l="1"/>
  <c r="N29" i="3"/>
  <c r="N36" i="3" s="1"/>
  <c r="AX46" i="1"/>
  <c r="AX40" i="1"/>
  <c r="AX41" i="1" l="1"/>
  <c r="AX48" i="1"/>
  <c r="N25" i="3"/>
  <c r="K10" i="12" s="1"/>
  <c r="C14" i="12" s="1" a="1"/>
  <c r="N26" i="3"/>
  <c r="O26" i="3"/>
  <c r="C14" i="12" l="1"/>
  <c r="D17" i="12"/>
  <c r="D21" i="12"/>
  <c r="D25" i="12"/>
  <c r="D29" i="12"/>
  <c r="D33" i="12"/>
  <c r="D37" i="12"/>
  <c r="D41" i="12"/>
  <c r="C41" i="12"/>
  <c r="D36" i="12"/>
  <c r="C32" i="12"/>
  <c r="D31" i="12"/>
  <c r="C31" i="12"/>
  <c r="D30" i="12"/>
  <c r="C30" i="12"/>
  <c r="D28" i="12"/>
  <c r="C22" i="12"/>
  <c r="C19" i="12"/>
  <c r="C37" i="12"/>
  <c r="D32" i="12"/>
  <c r="C28" i="12"/>
  <c r="D27" i="12"/>
  <c r="C27" i="12"/>
  <c r="D26" i="12"/>
  <c r="C26" i="12"/>
  <c r="C24" i="12"/>
  <c r="D24" i="12"/>
  <c r="C25" i="12"/>
  <c r="D20" i="12"/>
  <c r="C16" i="12"/>
  <c r="D15" i="12"/>
  <c r="C15" i="12"/>
  <c r="D14" i="12"/>
  <c r="C23" i="12"/>
  <c r="C29" i="12"/>
  <c r="C21" i="12"/>
  <c r="D16" i="12"/>
  <c r="D43" i="12"/>
  <c r="C43" i="12"/>
  <c r="D42" i="12"/>
  <c r="C42" i="12"/>
  <c r="D23" i="12"/>
  <c r="D19" i="12"/>
  <c r="C17" i="12"/>
  <c r="C40" i="12"/>
  <c r="D39" i="12"/>
  <c r="C39" i="12"/>
  <c r="D38" i="12"/>
  <c r="C38" i="12"/>
  <c r="D22" i="12"/>
  <c r="C20" i="12"/>
  <c r="D40" i="12"/>
  <c r="C36" i="12"/>
  <c r="D35" i="12"/>
  <c r="C35" i="12"/>
  <c r="D34" i="12"/>
  <c r="C34" i="12"/>
  <c r="C33" i="12"/>
  <c r="D18" i="12"/>
  <c r="C18" i="12"/>
  <c r="AX50" i="1"/>
  <c r="N30" i="3" l="1"/>
  <c r="N31" i="3"/>
  <c r="O31" i="3"/>
  <c r="AX51" i="1"/>
  <c r="N33" i="3"/>
  <c r="N34" i="3" l="1"/>
  <c r="AZ176" i="1" l="1"/>
  <c r="U36" i="10" l="1"/>
  <c r="BB87" i="1" l="1"/>
  <c r="BC87" i="1"/>
  <c r="BA176" i="1"/>
  <c r="BB176" i="1"/>
  <c r="BC176" i="1"/>
  <c r="W36" i="10" l="1"/>
  <c r="BA87" i="1"/>
  <c r="V36" i="10"/>
  <c r="X36" i="10"/>
  <c r="BD86" i="1"/>
  <c r="BD87" i="1" l="1"/>
  <c r="U25" i="6"/>
  <c r="AW137" i="1" l="1"/>
  <c r="AW160" i="1"/>
  <c r="AX100" i="1" l="1"/>
  <c r="BD152" i="1" l="1"/>
  <c r="BD160" i="1" s="1"/>
  <c r="O43" i="3" s="1"/>
  <c r="AZ152" i="1"/>
  <c r="AZ160" i="1" s="1"/>
  <c r="AX152" i="1"/>
  <c r="AX160" i="1" s="1"/>
  <c r="N43" i="3" s="1"/>
  <c r="AX88" i="1"/>
  <c r="AX136" i="1"/>
  <c r="AX137" i="1" s="1"/>
  <c r="AZ137" i="1" l="1"/>
  <c r="BB137" i="1"/>
  <c r="BA137" i="1"/>
  <c r="BC137" i="1"/>
  <c r="BD88" i="1" l="1"/>
  <c r="BD137" i="1" l="1"/>
  <c r="BJ137" i="1"/>
  <c r="BF137" i="1"/>
  <c r="Y36" i="10" l="1"/>
  <c r="Z36" i="10"/>
  <c r="AA36" i="10"/>
  <c r="AB36" i="10"/>
  <c r="V25" i="6"/>
  <c r="AZ363" i="1" l="1"/>
  <c r="BA363" i="1" s="1"/>
  <c r="AZ362" i="1" l="1"/>
  <c r="BB363" i="1"/>
  <c r="BA362" i="1"/>
  <c r="BA53" i="1" l="1"/>
  <c r="BA366" i="1"/>
  <c r="AZ53" i="1"/>
  <c r="AZ366" i="1"/>
  <c r="BA55" i="1"/>
  <c r="BA57" i="1" s="1"/>
  <c r="BA147" i="1"/>
  <c r="BB362" i="1"/>
  <c r="BC363" i="1"/>
  <c r="BB53" i="1" l="1"/>
  <c r="BB55" i="1" s="1"/>
  <c r="BB57" i="1" s="1"/>
  <c r="BB366" i="1"/>
  <c r="AZ147" i="1"/>
  <c r="AZ55" i="1"/>
  <c r="AZ57" i="1" s="1"/>
  <c r="AZ58" i="1" s="1"/>
  <c r="AZ60" i="1" s="1"/>
  <c r="AZ63" i="1" s="1"/>
  <c r="BA58" i="1"/>
  <c r="BA141" i="1" s="1"/>
  <c r="BA143" i="1" s="1"/>
  <c r="BA162" i="1" s="1"/>
  <c r="BA380" i="1" s="1"/>
  <c r="BA382" i="1" s="1"/>
  <c r="BA389" i="1" s="1"/>
  <c r="BC362" i="1"/>
  <c r="BF363" i="1"/>
  <c r="BB147" i="1"/>
  <c r="AZ77" i="1" l="1"/>
  <c r="AZ78" i="1" s="1"/>
  <c r="AZ79" i="1" s="1"/>
  <c r="AZ65" i="1"/>
  <c r="BA383" i="1"/>
  <c r="BA386" i="1" s="1"/>
  <c r="BC53" i="1"/>
  <c r="BC55" i="1" s="1"/>
  <c r="BC57" i="1" s="1"/>
  <c r="BC366" i="1"/>
  <c r="AZ64" i="1"/>
  <c r="AZ66" i="1"/>
  <c r="AZ141" i="1"/>
  <c r="AZ143" i="1" s="1"/>
  <c r="AZ162" i="1" s="1"/>
  <c r="BA60" i="1"/>
  <c r="BA63" i="1" s="1"/>
  <c r="BD362" i="1"/>
  <c r="BD366" i="1" s="1"/>
  <c r="BB58" i="1"/>
  <c r="BB60" i="1" s="1"/>
  <c r="BA193" i="1"/>
  <c r="V15" i="10"/>
  <c r="V48" i="10"/>
  <c r="V50" i="10" s="1"/>
  <c r="BF362" i="1"/>
  <c r="BF366" i="1" s="1"/>
  <c r="BG363" i="1"/>
  <c r="U13" i="10" l="1"/>
  <c r="BA77" i="1"/>
  <c r="BA78" i="1" s="1"/>
  <c r="BA79" i="1" s="1"/>
  <c r="BA65" i="1"/>
  <c r="BD53" i="1"/>
  <c r="BD147" i="1" s="1"/>
  <c r="O37" i="3" s="1"/>
  <c r="BC147" i="1"/>
  <c r="U15" i="10"/>
  <c r="AZ380" i="1"/>
  <c r="AZ382" i="1" s="1"/>
  <c r="AZ389" i="1" s="1"/>
  <c r="BA66" i="1"/>
  <c r="BA64" i="1"/>
  <c r="U48" i="10"/>
  <c r="U50" i="10" s="1"/>
  <c r="AZ193" i="1"/>
  <c r="BB64" i="1"/>
  <c r="BB63" i="1"/>
  <c r="BH363" i="1"/>
  <c r="BG362" i="1"/>
  <c r="BF53" i="1"/>
  <c r="BB141" i="1"/>
  <c r="BB143" i="1" s="1"/>
  <c r="BB162" i="1" s="1"/>
  <c r="BB380" i="1" s="1"/>
  <c r="BB382" i="1" s="1"/>
  <c r="BB389" i="1" s="1"/>
  <c r="BC58" i="1"/>
  <c r="BC141" i="1" s="1"/>
  <c r="BC143" i="1" s="1"/>
  <c r="BC162" i="1" s="1"/>
  <c r="BC380" i="1" s="1"/>
  <c r="V13" i="10" l="1"/>
  <c r="BD55" i="1"/>
  <c r="BD57" i="1" s="1"/>
  <c r="BB77" i="1"/>
  <c r="BB78" i="1" s="1"/>
  <c r="BB79" i="1" s="1"/>
  <c r="BB65" i="1"/>
  <c r="BB66" i="1" s="1"/>
  <c r="BB383" i="1"/>
  <c r="BB386" i="1" s="1"/>
  <c r="BD380" i="1"/>
  <c r="BC382" i="1"/>
  <c r="BD382" i="1" s="1"/>
  <c r="AZ383" i="1"/>
  <c r="AZ386" i="1" s="1"/>
  <c r="BG53" i="1"/>
  <c r="BG147" i="1" s="1"/>
  <c r="BG366" i="1"/>
  <c r="BB193" i="1"/>
  <c r="W15" i="10"/>
  <c r="W48" i="10"/>
  <c r="BD162" i="1"/>
  <c r="BF55" i="1"/>
  <c r="BF57" i="1" s="1"/>
  <c r="BF147" i="1"/>
  <c r="BC193" i="1"/>
  <c r="X15" i="10"/>
  <c r="X48" i="10"/>
  <c r="X50" i="10" s="1"/>
  <c r="BC60" i="1"/>
  <c r="BI363" i="1"/>
  <c r="BH362" i="1"/>
  <c r="BD58" i="1"/>
  <c r="BD60" i="1" s="1"/>
  <c r="W13" i="10" l="1"/>
  <c r="BD383" i="1"/>
  <c r="BD389" i="1"/>
  <c r="BC383" i="1"/>
  <c r="BC386" i="1" s="1"/>
  <c r="BD386" i="1" s="1"/>
  <c r="BC389" i="1"/>
  <c r="BG55" i="1"/>
  <c r="BG57" i="1" s="1"/>
  <c r="BG58" i="1" s="1"/>
  <c r="BG141" i="1" s="1"/>
  <c r="BG143" i="1" s="1"/>
  <c r="BG162" i="1" s="1"/>
  <c r="BG380" i="1" s="1"/>
  <c r="BG382" i="1" s="1"/>
  <c r="BG389" i="1" s="1"/>
  <c r="BH53" i="1"/>
  <c r="BH55" i="1" s="1"/>
  <c r="BH57" i="1" s="1"/>
  <c r="BH366" i="1"/>
  <c r="AD15" i="10"/>
  <c r="BF58" i="1"/>
  <c r="O45" i="3"/>
  <c r="O49" i="3" s="1"/>
  <c r="BD178" i="1"/>
  <c r="O52" i="3" s="1"/>
  <c r="BD193" i="1"/>
  <c r="U46" i="6"/>
  <c r="U49" i="6" s="1"/>
  <c r="U52" i="6"/>
  <c r="U55" i="6" s="1"/>
  <c r="BD64" i="1"/>
  <c r="BD63" i="1"/>
  <c r="W50" i="10"/>
  <c r="AD50" i="10" s="1"/>
  <c r="AD48" i="10"/>
  <c r="BL363" i="1"/>
  <c r="BI362" i="1"/>
  <c r="BI366" i="1" s="1"/>
  <c r="BC64" i="1"/>
  <c r="BC63" i="1"/>
  <c r="BD59" i="1"/>
  <c r="BD141" i="1"/>
  <c r="BD143" i="1" s="1"/>
  <c r="O38" i="3" s="1"/>
  <c r="BD77" i="1" l="1"/>
  <c r="BD78" i="1" s="1"/>
  <c r="BD65" i="1"/>
  <c r="BC77" i="1"/>
  <c r="BC78" i="1" s="1"/>
  <c r="X13" i="10" s="1"/>
  <c r="AD13" i="10" s="1"/>
  <c r="BC65" i="1"/>
  <c r="BH147" i="1"/>
  <c r="BG383" i="1"/>
  <c r="BG386" i="1" s="1"/>
  <c r="BH58" i="1"/>
  <c r="BH141" i="1" s="1"/>
  <c r="BH143" i="1" s="1"/>
  <c r="BH162" i="1" s="1"/>
  <c r="BH380" i="1" s="1"/>
  <c r="BH382" i="1" s="1"/>
  <c r="BD161" i="1"/>
  <c r="BG193" i="1"/>
  <c r="Z15" i="10"/>
  <c r="Z48" i="10"/>
  <c r="Z50" i="10" s="1"/>
  <c r="BD163" i="1"/>
  <c r="BF141" i="1"/>
  <c r="BF143" i="1" s="1"/>
  <c r="BF162" i="1" s="1"/>
  <c r="BF380" i="1" s="1"/>
  <c r="BI53" i="1"/>
  <c r="BJ362" i="1"/>
  <c r="BJ366" i="1" s="1"/>
  <c r="BL362" i="1"/>
  <c r="BL366" i="1" s="1"/>
  <c r="BM363" i="1"/>
  <c r="BG60" i="1"/>
  <c r="BF60" i="1"/>
  <c r="O44" i="3"/>
  <c r="AB68" i="3" l="1"/>
  <c r="AB70" i="3" s="1"/>
  <c r="AB72" i="3" s="1"/>
  <c r="U40" i="6"/>
  <c r="V103" i="3"/>
  <c r="O71" i="3"/>
  <c r="U43" i="6"/>
  <c r="BH383" i="1"/>
  <c r="BH386" i="1" s="1"/>
  <c r="BH389" i="1"/>
  <c r="BF382" i="1"/>
  <c r="BF389" i="1" s="1"/>
  <c r="BL53" i="1"/>
  <c r="BH193" i="1"/>
  <c r="AA15" i="10"/>
  <c r="AA48" i="10"/>
  <c r="AA50" i="10" s="1"/>
  <c r="V106" i="3"/>
  <c r="V108" i="3" s="1"/>
  <c r="V104" i="3"/>
  <c r="BF193" i="1"/>
  <c r="Y15" i="10"/>
  <c r="Y48" i="10"/>
  <c r="BH60" i="1"/>
  <c r="BI55" i="1"/>
  <c r="BI57" i="1" s="1"/>
  <c r="BI147" i="1"/>
  <c r="BJ53" i="1"/>
  <c r="AB73" i="3"/>
  <c r="BF64" i="1"/>
  <c r="BF63" i="1"/>
  <c r="BG63" i="1"/>
  <c r="BG64" i="1"/>
  <c r="O55" i="3"/>
  <c r="O75" i="3"/>
  <c r="O50" i="3"/>
  <c r="O51" i="3"/>
  <c r="O79" i="3"/>
  <c r="O96" i="3"/>
  <c r="BM362" i="1"/>
  <c r="BN363" i="1"/>
  <c r="BF77" i="1" l="1"/>
  <c r="BF78" i="1" s="1"/>
  <c r="BF65" i="1"/>
  <c r="BF66" i="1" s="1"/>
  <c r="BG77" i="1"/>
  <c r="BG78" i="1" s="1"/>
  <c r="BG79" i="1" s="1"/>
  <c r="BG65" i="1"/>
  <c r="BG66" i="1" s="1"/>
  <c r="BF383" i="1"/>
  <c r="BF386" i="1" s="1"/>
  <c r="BM53" i="1"/>
  <c r="BM55" i="1" s="1"/>
  <c r="BM57" i="1" s="1"/>
  <c r="BM366" i="1"/>
  <c r="BI58" i="1"/>
  <c r="BI60" i="1" s="1"/>
  <c r="BH63" i="1"/>
  <c r="BH64" i="1"/>
  <c r="Y50" i="10"/>
  <c r="BF79" i="1"/>
  <c r="Y13" i="10"/>
  <c r="O80" i="3"/>
  <c r="BN362" i="1"/>
  <c r="BO363" i="1"/>
  <c r="O99" i="3"/>
  <c r="O110" i="3"/>
  <c r="O113" i="3" s="1"/>
  <c r="BJ55" i="1"/>
  <c r="BJ57" i="1" s="1"/>
  <c r="BJ147" i="1"/>
  <c r="P37" i="3" s="1"/>
  <c r="BL55" i="1"/>
  <c r="BL57" i="1" s="1"/>
  <c r="BL147" i="1"/>
  <c r="BM147" i="1" l="1"/>
  <c r="Z13" i="10"/>
  <c r="BH77" i="1"/>
  <c r="BH78" i="1" s="1"/>
  <c r="BH79" i="1" s="1"/>
  <c r="BH65" i="1"/>
  <c r="BH66" i="1" s="1"/>
  <c r="BN53" i="1"/>
  <c r="BN55" i="1" s="1"/>
  <c r="BN57" i="1" s="1"/>
  <c r="BN366" i="1"/>
  <c r="BL58" i="1"/>
  <c r="BL60" i="1" s="1"/>
  <c r="BM58" i="1"/>
  <c r="BM141" i="1" s="1"/>
  <c r="BM143" i="1" s="1"/>
  <c r="BM162" i="1" s="1"/>
  <c r="BM380" i="1" s="1"/>
  <c r="BM382" i="1" s="1"/>
  <c r="BM389" i="1" s="1"/>
  <c r="BI63" i="1"/>
  <c r="BI64" i="1"/>
  <c r="BO362" i="1"/>
  <c r="BR363" i="1"/>
  <c r="BI141" i="1"/>
  <c r="BI143" i="1" s="1"/>
  <c r="BI162" i="1" s="1"/>
  <c r="BI380" i="1" s="1"/>
  <c r="BJ58" i="1"/>
  <c r="BJ60" i="1" s="1"/>
  <c r="BN147" i="1" l="1"/>
  <c r="AA13" i="10"/>
  <c r="BI77" i="1"/>
  <c r="BI78" i="1" s="1"/>
  <c r="AB13" i="10" s="1"/>
  <c r="BI65" i="1"/>
  <c r="BI66" i="1" s="1"/>
  <c r="BI382" i="1"/>
  <c r="BI389" i="1" s="1"/>
  <c r="BJ380" i="1"/>
  <c r="BM383" i="1"/>
  <c r="BM386" i="1" s="1"/>
  <c r="BO53" i="1"/>
  <c r="BO55" i="1" s="1"/>
  <c r="BO57" i="1" s="1"/>
  <c r="BO366" i="1"/>
  <c r="BM193" i="1"/>
  <c r="BM60" i="1"/>
  <c r="BP362" i="1"/>
  <c r="BP366" i="1" s="1"/>
  <c r="BJ63" i="1"/>
  <c r="BJ64" i="1"/>
  <c r="BR362" i="1"/>
  <c r="BR366" i="1" s="1"/>
  <c r="BS363" i="1"/>
  <c r="BL64" i="1"/>
  <c r="BL63" i="1"/>
  <c r="BJ59" i="1"/>
  <c r="BJ141" i="1"/>
  <c r="BJ143" i="1" s="1"/>
  <c r="P38" i="3" s="1"/>
  <c r="BN58" i="1"/>
  <c r="BN141" i="1" s="1"/>
  <c r="BN143" i="1" s="1"/>
  <c r="BN162" i="1" s="1"/>
  <c r="BN380" i="1" s="1"/>
  <c r="BN382" i="1" s="1"/>
  <c r="BL141" i="1"/>
  <c r="BL143" i="1" s="1"/>
  <c r="BL162" i="1" s="1"/>
  <c r="BL380" i="1" s="1"/>
  <c r="BI193" i="1"/>
  <c r="AB15" i="10"/>
  <c r="AE15" i="10" s="1"/>
  <c r="AB48" i="10"/>
  <c r="BJ162" i="1"/>
  <c r="BI79" i="1" l="1"/>
  <c r="AE13" i="10"/>
  <c r="BP53" i="1"/>
  <c r="BL77" i="1"/>
  <c r="BL78" i="1" s="1"/>
  <c r="BL79" i="1" s="1"/>
  <c r="BL65" i="1"/>
  <c r="BL66" i="1" s="1"/>
  <c r="BJ77" i="1"/>
  <c r="BJ78" i="1" s="1"/>
  <c r="BJ65" i="1"/>
  <c r="BN383" i="1"/>
  <c r="BN386" i="1" s="1"/>
  <c r="BN389" i="1"/>
  <c r="BL382" i="1"/>
  <c r="BL389" i="1" s="1"/>
  <c r="BO147" i="1"/>
  <c r="BI383" i="1"/>
  <c r="BI386" i="1" s="1"/>
  <c r="BJ386" i="1" s="1"/>
  <c r="BJ382" i="1"/>
  <c r="BN60" i="1"/>
  <c r="BN64" i="1" s="1"/>
  <c r="BM64" i="1"/>
  <c r="BM63" i="1"/>
  <c r="AB50" i="10"/>
  <c r="AE50" i="10" s="1"/>
  <c r="AE48" i="10"/>
  <c r="BL193" i="1"/>
  <c r="BT363" i="1"/>
  <c r="BS362" i="1"/>
  <c r="BP55" i="1"/>
  <c r="BP57" i="1" s="1"/>
  <c r="BP147" i="1"/>
  <c r="Q37" i="3" s="1"/>
  <c r="BN193" i="1"/>
  <c r="BR53" i="1"/>
  <c r="P45" i="3"/>
  <c r="P49" i="3" s="1"/>
  <c r="BJ178" i="1"/>
  <c r="P52" i="3" s="1"/>
  <c r="BJ163" i="1"/>
  <c r="BJ161" i="1"/>
  <c r="BJ193" i="1"/>
  <c r="V52" i="6"/>
  <c r="V55" i="6" s="1"/>
  <c r="V46" i="6"/>
  <c r="V49" i="6" s="1"/>
  <c r="BO58" i="1"/>
  <c r="AC68" i="3" l="1"/>
  <c r="AC70" i="3" s="1"/>
  <c r="V40" i="6"/>
  <c r="P72" i="3"/>
  <c r="P71" i="3"/>
  <c r="BN63" i="1"/>
  <c r="BN77" i="1" s="1"/>
  <c r="BN78" i="1" s="1"/>
  <c r="BN79" i="1" s="1"/>
  <c r="V43" i="6"/>
  <c r="BJ79" i="1"/>
  <c r="BM77" i="1"/>
  <c r="BM78" i="1" s="1"/>
  <c r="BM79" i="1" s="1"/>
  <c r="BM65" i="1"/>
  <c r="BM66" i="1" s="1"/>
  <c r="BJ66" i="1"/>
  <c r="BJ383" i="1"/>
  <c r="BJ389" i="1"/>
  <c r="BL383" i="1"/>
  <c r="BL386" i="1" s="1"/>
  <c r="BS53" i="1"/>
  <c r="BS55" i="1" s="1"/>
  <c r="BS57" i="1" s="1"/>
  <c r="BS366" i="1"/>
  <c r="AC72" i="3"/>
  <c r="AC73" i="3"/>
  <c r="BU363" i="1"/>
  <c r="BT362" i="1"/>
  <c r="BO141" i="1"/>
  <c r="BO143" i="1" s="1"/>
  <c r="BO162" i="1" s="1"/>
  <c r="BO380" i="1" s="1"/>
  <c r="BP58" i="1"/>
  <c r="BP60" i="1" s="1"/>
  <c r="P44" i="3"/>
  <c r="P46" i="3"/>
  <c r="BO60" i="1"/>
  <c r="BR55" i="1"/>
  <c r="BR57" i="1" s="1"/>
  <c r="BR147" i="1"/>
  <c r="BN65" i="1" l="1"/>
  <c r="BN66" i="1" s="1"/>
  <c r="BS147" i="1"/>
  <c r="BO382" i="1"/>
  <c r="BO389" i="1" s="1"/>
  <c r="BP380" i="1"/>
  <c r="BT53" i="1"/>
  <c r="BT366" i="1"/>
  <c r="BT55" i="1"/>
  <c r="BT57" i="1" s="1"/>
  <c r="BT147" i="1"/>
  <c r="P55" i="3"/>
  <c r="P75" i="3"/>
  <c r="P50" i="3"/>
  <c r="P51" i="3"/>
  <c r="P79" i="3"/>
  <c r="P96" i="3"/>
  <c r="BU362" i="1"/>
  <c r="BU366" i="1" s="1"/>
  <c r="BX363" i="1"/>
  <c r="BO64" i="1"/>
  <c r="BO63" i="1"/>
  <c r="BP63" i="1"/>
  <c r="BP64" i="1"/>
  <c r="BO193" i="1"/>
  <c r="BP162" i="1"/>
  <c r="BR58" i="1"/>
  <c r="BR60" i="1" s="1"/>
  <c r="BS58" i="1"/>
  <c r="BS141" i="1" s="1"/>
  <c r="BS143" i="1" s="1"/>
  <c r="BS162" i="1" s="1"/>
  <c r="BS380" i="1" s="1"/>
  <c r="BS382" i="1" s="1"/>
  <c r="BS389" i="1" s="1"/>
  <c r="BP59" i="1"/>
  <c r="BP141" i="1"/>
  <c r="BP143" i="1" s="1"/>
  <c r="Q38" i="3" s="1"/>
  <c r="BO77" i="1" l="1"/>
  <c r="BO78" i="1" s="1"/>
  <c r="BO79" i="1" s="1"/>
  <c r="BO65" i="1"/>
  <c r="BO66" i="1" s="1"/>
  <c r="BP77" i="1"/>
  <c r="BP78" i="1" s="1"/>
  <c r="AD68" i="3" s="1"/>
  <c r="AD70" i="3" s="1"/>
  <c r="AD73" i="3" s="1"/>
  <c r="BP65" i="1"/>
  <c r="BP66" i="1" s="1"/>
  <c r="BO383" i="1"/>
  <c r="BO386" i="1" s="1"/>
  <c r="BP386" i="1" s="1"/>
  <c r="BP382" i="1"/>
  <c r="BS383" i="1"/>
  <c r="BS386" i="1" s="1"/>
  <c r="BS60" i="1"/>
  <c r="BS63" i="1" s="1"/>
  <c r="BR63" i="1"/>
  <c r="BR64" i="1"/>
  <c r="P80" i="3"/>
  <c r="BX362" i="1"/>
  <c r="BX366" i="1" s="1"/>
  <c r="BY363" i="1"/>
  <c r="BU53" i="1"/>
  <c r="BV362" i="1"/>
  <c r="BV366" i="1" s="1"/>
  <c r="BS193" i="1"/>
  <c r="P99" i="3"/>
  <c r="P110" i="3"/>
  <c r="Q71" i="3"/>
  <c r="Q72" i="3"/>
  <c r="BP79" i="1"/>
  <c r="BR141" i="1"/>
  <c r="BR143" i="1" s="1"/>
  <c r="BR162" i="1" s="1"/>
  <c r="BR380" i="1" s="1"/>
  <c r="BR382" i="1" s="1"/>
  <c r="BR389" i="1" s="1"/>
  <c r="Q45" i="3"/>
  <c r="Q49" i="3" s="1"/>
  <c r="BP178" i="1"/>
  <c r="Q52" i="3" s="1"/>
  <c r="BP193" i="1"/>
  <c r="BP163" i="1"/>
  <c r="BP161" i="1"/>
  <c r="BT58" i="1"/>
  <c r="BT141" i="1" s="1"/>
  <c r="BT143" i="1" s="1"/>
  <c r="BT162" i="1" s="1"/>
  <c r="BT380" i="1" s="1"/>
  <c r="BT382" i="1" s="1"/>
  <c r="BT389" i="1" s="1"/>
  <c r="AD72" i="3" l="1"/>
  <c r="BS77" i="1"/>
  <c r="BS78" i="1" s="1"/>
  <c r="BS79" i="1" s="1"/>
  <c r="BS65" i="1"/>
  <c r="BS66" i="1" s="1"/>
  <c r="BR77" i="1"/>
  <c r="BR78" i="1" s="1"/>
  <c r="BR79" i="1" s="1"/>
  <c r="BR65" i="1"/>
  <c r="BR66" i="1" s="1"/>
  <c r="BP383" i="1"/>
  <c r="BP389" i="1"/>
  <c r="BR383" i="1"/>
  <c r="BR386" i="1" s="1"/>
  <c r="BT383" i="1"/>
  <c r="BT386" i="1" s="1"/>
  <c r="BS64" i="1"/>
  <c r="BT60" i="1"/>
  <c r="BT63" i="1" s="1"/>
  <c r="P113" i="3"/>
  <c r="P117" i="3"/>
  <c r="P120" i="3" s="1"/>
  <c r="Q44" i="3"/>
  <c r="Q46" i="3"/>
  <c r="BU55" i="1"/>
  <c r="BU57" i="1" s="1"/>
  <c r="BU147" i="1"/>
  <c r="BV53" i="1"/>
  <c r="BR193" i="1"/>
  <c r="BT193" i="1"/>
  <c r="BY362" i="1"/>
  <c r="BZ363" i="1"/>
  <c r="BX53" i="1"/>
  <c r="BT77" i="1" l="1"/>
  <c r="BT78" i="1" s="1"/>
  <c r="BT79" i="1" s="1"/>
  <c r="BT65" i="1"/>
  <c r="BT64" i="1"/>
  <c r="BT66" i="1"/>
  <c r="BY53" i="1"/>
  <c r="BY55" i="1" s="1"/>
  <c r="BY57" i="1" s="1"/>
  <c r="BY366" i="1"/>
  <c r="BV55" i="1"/>
  <c r="BV57" i="1" s="1"/>
  <c r="BV147" i="1"/>
  <c r="R37" i="3" s="1"/>
  <c r="BZ362" i="1"/>
  <c r="CA363" i="1"/>
  <c r="BU58" i="1"/>
  <c r="BU60" i="1" s="1"/>
  <c r="BX55" i="1"/>
  <c r="BX57" i="1" s="1"/>
  <c r="BX147" i="1"/>
  <c r="Q50" i="3"/>
  <c r="Q51" i="3"/>
  <c r="Q79" i="3"/>
  <c r="Q96" i="3"/>
  <c r="Q55" i="3"/>
  <c r="Q75" i="3"/>
  <c r="BY147" i="1" l="1"/>
  <c r="BZ53" i="1"/>
  <c r="BZ366" i="1"/>
  <c r="Q99" i="3"/>
  <c r="Q110" i="3"/>
  <c r="Q80" i="3"/>
  <c r="BU64" i="1"/>
  <c r="BU63" i="1"/>
  <c r="BU141" i="1"/>
  <c r="BU143" i="1" s="1"/>
  <c r="BU162" i="1" s="1"/>
  <c r="BU380" i="1" s="1"/>
  <c r="BV58" i="1"/>
  <c r="BV60" i="1" s="1"/>
  <c r="CA362" i="1"/>
  <c r="CA366" i="1" s="1"/>
  <c r="CD363" i="1"/>
  <c r="BZ55" i="1"/>
  <c r="BZ57" i="1" s="1"/>
  <c r="BZ147" i="1"/>
  <c r="BX58" i="1"/>
  <c r="BX60" i="1" s="1"/>
  <c r="BY58" i="1"/>
  <c r="BY141" i="1" s="1"/>
  <c r="BY143" i="1" s="1"/>
  <c r="BY162" i="1" s="1"/>
  <c r="BY380" i="1" s="1"/>
  <c r="BY382" i="1" s="1"/>
  <c r="BY389" i="1" s="1"/>
  <c r="BU77" i="1" l="1"/>
  <c r="BU78" i="1" s="1"/>
  <c r="BU79" i="1" s="1"/>
  <c r="BU65" i="1"/>
  <c r="BU66" i="1" s="1"/>
  <c r="BY383" i="1"/>
  <c r="BY386" i="1" s="1"/>
  <c r="BV380" i="1"/>
  <c r="BU382" i="1"/>
  <c r="BU389" i="1" s="1"/>
  <c r="BY60" i="1"/>
  <c r="CA53" i="1"/>
  <c r="CB362" i="1"/>
  <c r="CB366" i="1" s="1"/>
  <c r="BX64" i="1"/>
  <c r="BX63" i="1"/>
  <c r="BX141" i="1"/>
  <c r="BX143" i="1" s="1"/>
  <c r="BX162" i="1" s="1"/>
  <c r="BX380" i="1" s="1"/>
  <c r="BX382" i="1" s="1"/>
  <c r="BX389" i="1" s="1"/>
  <c r="BV59" i="1"/>
  <c r="BV141" i="1"/>
  <c r="BV143" i="1" s="1"/>
  <c r="R38" i="3" s="1"/>
  <c r="BZ58" i="1"/>
  <c r="BZ141" i="1" s="1"/>
  <c r="BZ143" i="1" s="1"/>
  <c r="BZ162" i="1" s="1"/>
  <c r="BZ380" i="1" s="1"/>
  <c r="BZ382" i="1" s="1"/>
  <c r="BZ389" i="1" s="1"/>
  <c r="Q117" i="3"/>
  <c r="Q120" i="3" s="1"/>
  <c r="Q113" i="3"/>
  <c r="BV64" i="1"/>
  <c r="BV63" i="1"/>
  <c r="BU193" i="1"/>
  <c r="BV162" i="1"/>
  <c r="BY193" i="1"/>
  <c r="CD362" i="1"/>
  <c r="CD366" i="1" s="1"/>
  <c r="CE363" i="1"/>
  <c r="BV77" i="1" l="1"/>
  <c r="BV78" i="1" s="1"/>
  <c r="AE68" i="3" s="1"/>
  <c r="AE70" i="3" s="1"/>
  <c r="AE73" i="3" s="1"/>
  <c r="BV65" i="1"/>
  <c r="BV66" i="1" s="1"/>
  <c r="BX77" i="1"/>
  <c r="BX78" i="1" s="1"/>
  <c r="BX79" i="1" s="1"/>
  <c r="BX65" i="1"/>
  <c r="BX66" i="1" s="1"/>
  <c r="BY63" i="1"/>
  <c r="BY64" i="1"/>
  <c r="BU383" i="1"/>
  <c r="BU386" i="1" s="1"/>
  <c r="BV386" i="1" s="1"/>
  <c r="BV382" i="1"/>
  <c r="BX383" i="1"/>
  <c r="BX386" i="1" s="1"/>
  <c r="BZ383" i="1"/>
  <c r="BZ386" i="1" s="1"/>
  <c r="BZ193" i="1"/>
  <c r="CE362" i="1"/>
  <c r="CF363" i="1"/>
  <c r="R71" i="3"/>
  <c r="R72" i="3"/>
  <c r="R45" i="3"/>
  <c r="R49" i="3" s="1"/>
  <c r="BV161" i="1"/>
  <c r="BV193" i="1"/>
  <c r="BV178" i="1"/>
  <c r="R52" i="3" s="1"/>
  <c r="BV163" i="1"/>
  <c r="CD53" i="1"/>
  <c r="BZ60" i="1"/>
  <c r="BX193" i="1"/>
  <c r="CA55" i="1"/>
  <c r="CA57" i="1" s="1"/>
  <c r="CA147" i="1"/>
  <c r="CB53" i="1"/>
  <c r="AE72" i="3" l="1"/>
  <c r="BV79" i="1"/>
  <c r="BY77" i="1"/>
  <c r="BY78" i="1" s="1"/>
  <c r="BY79" i="1" s="1"/>
  <c r="BY65" i="1"/>
  <c r="BY66" i="1" s="1"/>
  <c r="BV383" i="1"/>
  <c r="BV389" i="1"/>
  <c r="CE53" i="1"/>
  <c r="CE55" i="1" s="1"/>
  <c r="CE57" i="1" s="1"/>
  <c r="CE366" i="1"/>
  <c r="CF362" i="1"/>
  <c r="CF366" i="1" s="1"/>
  <c r="CG363" i="1"/>
  <c r="CB55" i="1"/>
  <c r="CB57" i="1" s="1"/>
  <c r="CB147" i="1"/>
  <c r="S37" i="3" s="1"/>
  <c r="CA58" i="1"/>
  <c r="CA60" i="1" s="1"/>
  <c r="R44" i="3"/>
  <c r="R46" i="3"/>
  <c r="BZ63" i="1"/>
  <c r="BZ64" i="1"/>
  <c r="CD55" i="1"/>
  <c r="CD57" i="1" s="1"/>
  <c r="CD147" i="1"/>
  <c r="CE147" i="1" l="1"/>
  <c r="BZ77" i="1"/>
  <c r="BZ78" i="1" s="1"/>
  <c r="BZ79" i="1" s="1"/>
  <c r="BZ65" i="1"/>
  <c r="BZ66" i="1" s="1"/>
  <c r="CA63" i="1"/>
  <c r="CA64" i="1"/>
  <c r="CE58" i="1"/>
  <c r="CE141" i="1" s="1"/>
  <c r="CE143" i="1" s="1"/>
  <c r="CE162" i="1" s="1"/>
  <c r="CE380" i="1" s="1"/>
  <c r="CE382" i="1" s="1"/>
  <c r="CE389" i="1" s="1"/>
  <c r="CG362" i="1"/>
  <c r="CH362" i="1" s="1"/>
  <c r="CH366" i="1" s="1"/>
  <c r="CJ363" i="1"/>
  <c r="CD58" i="1"/>
  <c r="CD60" i="1" s="1"/>
  <c r="CA141" i="1"/>
  <c r="CA143" i="1" s="1"/>
  <c r="CA162" i="1" s="1"/>
  <c r="CA380" i="1" s="1"/>
  <c r="CB58" i="1"/>
  <c r="R50" i="3"/>
  <c r="R51" i="3"/>
  <c r="R79" i="3"/>
  <c r="R96" i="3"/>
  <c r="R55" i="3"/>
  <c r="R75" i="3"/>
  <c r="CF53" i="1"/>
  <c r="CA77" i="1" l="1"/>
  <c r="CA78" i="1" s="1"/>
  <c r="CA79" i="1" s="1"/>
  <c r="CA65" i="1"/>
  <c r="CA66" i="1" s="1"/>
  <c r="CB380" i="1"/>
  <c r="CA382" i="1"/>
  <c r="CA389" i="1" s="1"/>
  <c r="CE383" i="1"/>
  <c r="CE386" i="1" s="1"/>
  <c r="CG53" i="1"/>
  <c r="CH53" i="1" s="1"/>
  <c r="CG366" i="1"/>
  <c r="R110" i="3"/>
  <c r="R99" i="3"/>
  <c r="CD63" i="1"/>
  <c r="CD64" i="1"/>
  <c r="CD141" i="1"/>
  <c r="CD143" i="1" s="1"/>
  <c r="CD162" i="1" s="1"/>
  <c r="CD380" i="1" s="1"/>
  <c r="CD382" i="1" s="1"/>
  <c r="CD389" i="1" s="1"/>
  <c r="CE60" i="1"/>
  <c r="CE193" i="1"/>
  <c r="CB59" i="1"/>
  <c r="CB141" i="1"/>
  <c r="CB143" i="1" s="1"/>
  <c r="S38" i="3" s="1"/>
  <c r="R80" i="3"/>
  <c r="CK363" i="1"/>
  <c r="CJ362" i="1"/>
  <c r="CJ366" i="1" s="1"/>
  <c r="CA193" i="1"/>
  <c r="CB162" i="1"/>
  <c r="CF55" i="1"/>
  <c r="CF57" i="1" s="1"/>
  <c r="CF147" i="1"/>
  <c r="CB60" i="1"/>
  <c r="CD77" i="1" l="1"/>
  <c r="CD78" i="1" s="1"/>
  <c r="CD79" i="1" s="1"/>
  <c r="CD65" i="1"/>
  <c r="CD66" i="1" s="1"/>
  <c r="CG147" i="1"/>
  <c r="CD383" i="1"/>
  <c r="CD386" i="1" s="1"/>
  <c r="CG55" i="1"/>
  <c r="CG57" i="1" s="1"/>
  <c r="CG58" i="1" s="1"/>
  <c r="CG141" i="1" s="1"/>
  <c r="CG143" i="1" s="1"/>
  <c r="CG162" i="1" s="1"/>
  <c r="CG380" i="1" s="1"/>
  <c r="CA383" i="1"/>
  <c r="CA386" i="1" s="1"/>
  <c r="CB386" i="1" s="1"/>
  <c r="CB382" i="1"/>
  <c r="S45" i="3"/>
  <c r="S49" i="3" s="1"/>
  <c r="CB161" i="1"/>
  <c r="CB178" i="1"/>
  <c r="S52" i="3" s="1"/>
  <c r="CB193" i="1"/>
  <c r="CJ53" i="1"/>
  <c r="R113" i="3"/>
  <c r="R117" i="3"/>
  <c r="R120" i="3" s="1"/>
  <c r="CB63" i="1"/>
  <c r="CB64" i="1"/>
  <c r="CH55" i="1"/>
  <c r="CH57" i="1" s="1"/>
  <c r="CH147" i="1"/>
  <c r="T37" i="3" s="1"/>
  <c r="CL363" i="1"/>
  <c r="CK362" i="1"/>
  <c r="CE64" i="1"/>
  <c r="CE63" i="1"/>
  <c r="CF58" i="1"/>
  <c r="CF60" i="1" s="1"/>
  <c r="CD193" i="1"/>
  <c r="CE77" i="1" l="1"/>
  <c r="CE78" i="1" s="1"/>
  <c r="CE79" i="1" s="1"/>
  <c r="CE65" i="1"/>
  <c r="CE66" i="1" s="1"/>
  <c r="CB77" i="1"/>
  <c r="CB78" i="1" s="1"/>
  <c r="CB65" i="1"/>
  <c r="CB66" i="1" s="1"/>
  <c r="CB383" i="1"/>
  <c r="CB389" i="1"/>
  <c r="CG382" i="1"/>
  <c r="CG389" i="1" s="1"/>
  <c r="CK53" i="1"/>
  <c r="CK55" i="1" s="1"/>
  <c r="CK57" i="1" s="1"/>
  <c r="CK366" i="1"/>
  <c r="CJ55" i="1"/>
  <c r="CJ57" i="1" s="1"/>
  <c r="CJ147" i="1"/>
  <c r="CG193" i="1"/>
  <c r="S71" i="3"/>
  <c r="S72" i="3"/>
  <c r="CB79" i="1"/>
  <c r="CG60" i="1"/>
  <c r="CB163" i="1"/>
  <c r="CF141" i="1"/>
  <c r="CF143" i="1" s="1"/>
  <c r="CF162" i="1" s="1"/>
  <c r="CF380" i="1" s="1"/>
  <c r="CF382" i="1" s="1"/>
  <c r="CF389" i="1" s="1"/>
  <c r="CH58" i="1"/>
  <c r="CH60" i="1" s="1"/>
  <c r="CM363" i="1"/>
  <c r="CM362" i="1" s="1"/>
  <c r="CL362" i="1"/>
  <c r="CF64" i="1"/>
  <c r="CF63" i="1"/>
  <c r="S44" i="3"/>
  <c r="S46" i="3"/>
  <c r="CK147" i="1" l="1"/>
  <c r="CF77" i="1"/>
  <c r="CF78" i="1" s="1"/>
  <c r="CF79" i="1" s="1"/>
  <c r="CF65" i="1"/>
  <c r="CF66" i="1" s="1"/>
  <c r="CF383" i="1"/>
  <c r="CF386" i="1" s="1"/>
  <c r="CH382" i="1"/>
  <c r="CG383" i="1"/>
  <c r="CG386" i="1" s="1"/>
  <c r="CH380" i="1"/>
  <c r="CL53" i="1"/>
  <c r="CL55" i="1" s="1"/>
  <c r="CL57" i="1" s="1"/>
  <c r="CL366" i="1"/>
  <c r="CM53" i="1"/>
  <c r="CM55" i="1" s="1"/>
  <c r="CM57" i="1" s="1"/>
  <c r="CM366" i="1"/>
  <c r="CN362" i="1"/>
  <c r="CN366" i="1" s="1"/>
  <c r="CF193" i="1"/>
  <c r="CH162" i="1"/>
  <c r="CK58" i="1"/>
  <c r="CK141" i="1" s="1"/>
  <c r="CK143" i="1" s="1"/>
  <c r="CK162" i="1" s="1"/>
  <c r="CK380" i="1" s="1"/>
  <c r="CK382" i="1" s="1"/>
  <c r="CK389" i="1" s="1"/>
  <c r="S75" i="3"/>
  <c r="S50" i="3"/>
  <c r="S51" i="3"/>
  <c r="S79" i="3"/>
  <c r="S96" i="3"/>
  <c r="S55" i="3"/>
  <c r="CJ58" i="1"/>
  <c r="CJ60" i="1" s="1"/>
  <c r="CH64" i="1"/>
  <c r="CH63" i="1"/>
  <c r="CH59" i="1"/>
  <c r="CH141" i="1"/>
  <c r="CH143" i="1" s="1"/>
  <c r="T38" i="3" s="1"/>
  <c r="CG64" i="1"/>
  <c r="CG63" i="1"/>
  <c r="CG77" i="1" l="1"/>
  <c r="CG78" i="1" s="1"/>
  <c r="CG79" i="1" s="1"/>
  <c r="CG65" i="1"/>
  <c r="CG66" i="1" s="1"/>
  <c r="CH77" i="1"/>
  <c r="CH78" i="1" s="1"/>
  <c r="CH79" i="1" s="1"/>
  <c r="CH65" i="1"/>
  <c r="CH66" i="1" s="1"/>
  <c r="CL147" i="1"/>
  <c r="CH383" i="1"/>
  <c r="CH389" i="1"/>
  <c r="CH386" i="1"/>
  <c r="CK383" i="1"/>
  <c r="CK386" i="1" s="1"/>
  <c r="CN53" i="1"/>
  <c r="CN55" i="1" s="1"/>
  <c r="CN57" i="1" s="1"/>
  <c r="CM147" i="1"/>
  <c r="CK60" i="1"/>
  <c r="CK63" i="1" s="1"/>
  <c r="CJ63" i="1"/>
  <c r="CJ64" i="1"/>
  <c r="S80" i="3"/>
  <c r="CL58" i="1"/>
  <c r="CL141" i="1" s="1"/>
  <c r="CL143" i="1" s="1"/>
  <c r="CJ141" i="1"/>
  <c r="CJ143" i="1" s="1"/>
  <c r="CJ162" i="1" s="1"/>
  <c r="CJ380" i="1" s="1"/>
  <c r="CM58" i="1"/>
  <c r="CM141" i="1" s="1"/>
  <c r="CM143" i="1" s="1"/>
  <c r="T45" i="3"/>
  <c r="T49" i="3" s="1"/>
  <c r="CH161" i="1"/>
  <c r="CH193" i="1"/>
  <c r="CH178" i="1"/>
  <c r="T52" i="3" s="1"/>
  <c r="CH163" i="1"/>
  <c r="S110" i="3"/>
  <c r="S99" i="3"/>
  <c r="T71" i="3"/>
  <c r="T72" i="3"/>
  <c r="CK193" i="1"/>
  <c r="CM162" i="1" l="1"/>
  <c r="CM380" i="1" s="1"/>
  <c r="CM382" i="1" s="1"/>
  <c r="CK77" i="1"/>
  <c r="CK78" i="1" s="1"/>
  <c r="CK79" i="1" s="1"/>
  <c r="CK65" i="1"/>
  <c r="CK66" i="1" s="1"/>
  <c r="CJ77" i="1"/>
  <c r="CJ78" i="1" s="1"/>
  <c r="CJ79" i="1" s="1"/>
  <c r="CJ65" i="1"/>
  <c r="CJ66" i="1" s="1"/>
  <c r="CL162" i="1"/>
  <c r="CL380" i="1" s="1"/>
  <c r="CL382" i="1" s="1"/>
  <c r="CL389" i="1" s="1"/>
  <c r="CM383" i="1"/>
  <c r="CM386" i="1" s="1"/>
  <c r="CM389" i="1"/>
  <c r="CJ382" i="1"/>
  <c r="CJ389" i="1" s="1"/>
  <c r="CN147" i="1"/>
  <c r="U37" i="3" s="1"/>
  <c r="CK64" i="1"/>
  <c r="CL60" i="1"/>
  <c r="CL63" i="1" s="1"/>
  <c r="CM193" i="1"/>
  <c r="CJ193" i="1"/>
  <c r="T44" i="3"/>
  <c r="T46" i="3"/>
  <c r="CN58" i="1"/>
  <c r="CN60" i="1" s="1"/>
  <c r="S113" i="3"/>
  <c r="S117" i="3"/>
  <c r="S120" i="3" s="1"/>
  <c r="CM60" i="1"/>
  <c r="CL383" i="1" l="1"/>
  <c r="CL386" i="1" s="1"/>
  <c r="CL77" i="1"/>
  <c r="CL78" i="1" s="1"/>
  <c r="CL79" i="1" s="1"/>
  <c r="CL65" i="1"/>
  <c r="CL66" i="1" s="1"/>
  <c r="CN380" i="1"/>
  <c r="CL193" i="1"/>
  <c r="CN162" i="1"/>
  <c r="CN178" i="1" s="1"/>
  <c r="U52" i="3" s="1"/>
  <c r="CJ383" i="1"/>
  <c r="CJ386" i="1" s="1"/>
  <c r="CN382" i="1"/>
  <c r="CL64" i="1"/>
  <c r="CM63" i="1"/>
  <c r="CM64" i="1"/>
  <c r="CN64" i="1"/>
  <c r="CN63" i="1"/>
  <c r="U45" i="3"/>
  <c r="U49" i="3" s="1"/>
  <c r="T75" i="3"/>
  <c r="T50" i="3"/>
  <c r="T51" i="3"/>
  <c r="T79" i="3"/>
  <c r="T96" i="3"/>
  <c r="T55" i="3"/>
  <c r="CN59" i="1"/>
  <c r="CN141" i="1"/>
  <c r="CN143" i="1" s="1"/>
  <c r="U38" i="3" s="1"/>
  <c r="CN386" i="1" l="1"/>
  <c r="CM77" i="1"/>
  <c r="CM78" i="1" s="1"/>
  <c r="CM79" i="1" s="1"/>
  <c r="CM65" i="1"/>
  <c r="CM66" i="1" s="1"/>
  <c r="CN193" i="1"/>
  <c r="CN77" i="1"/>
  <c r="CN78" i="1" s="1"/>
  <c r="U72" i="3" s="1"/>
  <c r="CN65" i="1"/>
  <c r="CN66" i="1" s="1"/>
  <c r="CN383" i="1"/>
  <c r="CN389" i="1"/>
  <c r="T110" i="3"/>
  <c r="T99" i="3"/>
  <c r="CN161" i="1"/>
  <c r="T80" i="3"/>
  <c r="CN163" i="1"/>
  <c r="U44" i="3"/>
  <c r="U46" i="3"/>
  <c r="U71" i="3" l="1"/>
  <c r="CN79" i="1"/>
  <c r="U75" i="3"/>
  <c r="U50" i="3"/>
  <c r="U51" i="3"/>
  <c r="U79" i="3"/>
  <c r="U96" i="3"/>
  <c r="U55" i="3"/>
  <c r="T113" i="3"/>
  <c r="T117" i="3"/>
  <c r="T120" i="3" s="1"/>
  <c r="U80" i="3" l="1"/>
  <c r="U110" i="3"/>
  <c r="V96" i="3"/>
  <c r="U99" i="3"/>
  <c r="V110" i="3" l="1"/>
  <c r="W98" i="3"/>
  <c r="V99" i="3"/>
  <c r="U113" i="3"/>
  <c r="U117" i="3"/>
  <c r="U120" i="3" s="1"/>
  <c r="V113" i="3" l="1"/>
  <c r="V117" i="3"/>
  <c r="V120" i="3" s="1"/>
  <c r="AW361" i="1"/>
  <c r="AX361" i="1" s="1"/>
  <c r="AX367" i="1" s="1"/>
  <c r="AW367" i="1" l="1"/>
  <c r="AW362" i="1"/>
  <c r="AW366" i="1" l="1"/>
  <c r="AX362" i="1"/>
  <c r="AW53" i="1"/>
  <c r="AX366" i="1" l="1"/>
  <c r="AX363" i="1"/>
  <c r="AW147" i="1"/>
  <c r="AX53" i="1"/>
  <c r="AW55" i="1"/>
  <c r="AW57" i="1" s="1"/>
  <c r="AX55" i="1" l="1"/>
  <c r="AX57" i="1" s="1"/>
  <c r="AX147" i="1"/>
  <c r="N37" i="3" s="1"/>
  <c r="AW58" i="1"/>
  <c r="AX58" i="1" l="1"/>
  <c r="AX60" i="1" s="1"/>
  <c r="AX63" i="1" s="1"/>
  <c r="AW141" i="1"/>
  <c r="AW143" i="1" s="1"/>
  <c r="AW162" i="1" s="1"/>
  <c r="AW380" i="1" s="1"/>
  <c r="AW60" i="1"/>
  <c r="AW382" i="1" l="1"/>
  <c r="AW389" i="1" s="1"/>
  <c r="AX380" i="1"/>
  <c r="AX77" i="1"/>
  <c r="AX78" i="1" s="1"/>
  <c r="T40" i="6" s="1"/>
  <c r="T43" i="6" s="1"/>
  <c r="AX65" i="1"/>
  <c r="AX64" i="1"/>
  <c r="AW63" i="1"/>
  <c r="AW77" i="1" s="1"/>
  <c r="AW78" i="1" s="1"/>
  <c r="Q40" i="6" s="1"/>
  <c r="AW129" i="1"/>
  <c r="AW65" i="1"/>
  <c r="AW64" i="1"/>
  <c r="Q46" i="6"/>
  <c r="Q49" i="6" s="1"/>
  <c r="Q52" i="6"/>
  <c r="Q55" i="6" s="1"/>
  <c r="T15" i="10"/>
  <c r="AC15" i="10" s="1"/>
  <c r="AW193" i="1"/>
  <c r="AW194" i="1" s="1"/>
  <c r="AX162" i="1"/>
  <c r="T48" i="10"/>
  <c r="AX141" i="1"/>
  <c r="AX143" i="1" s="1"/>
  <c r="N38" i="3" s="1"/>
  <c r="AX59" i="1"/>
  <c r="T52" i="6" l="1"/>
  <c r="T55" i="6" s="1"/>
  <c r="T46" i="6"/>
  <c r="T49" i="6" s="1"/>
  <c r="AA68" i="3"/>
  <c r="AA70" i="3" s="1"/>
  <c r="BD79" i="1"/>
  <c r="AX66" i="1"/>
  <c r="BD66" i="1"/>
  <c r="AW383" i="1"/>
  <c r="AW386" i="1" s="1"/>
  <c r="AX386" i="1" s="1"/>
  <c r="AX382" i="1"/>
  <c r="BC66" i="1"/>
  <c r="Q43" i="6"/>
  <c r="AW66" i="1"/>
  <c r="T13" i="10"/>
  <c r="AC13" i="10" s="1"/>
  <c r="BC79" i="1"/>
  <c r="AW79" i="1"/>
  <c r="AC48" i="10"/>
  <c r="T50" i="10"/>
  <c r="AC50" i="10" s="1"/>
  <c r="AW132" i="1"/>
  <c r="AW133" i="1" s="1"/>
  <c r="AX129" i="1"/>
  <c r="AW99" i="1"/>
  <c r="AW195" i="1" s="1"/>
  <c r="AX163" i="1"/>
  <c r="N45" i="3"/>
  <c r="N49" i="3" s="1"/>
  <c r="AX161" i="1"/>
  <c r="AX193" i="1"/>
  <c r="AX194" i="1" s="1"/>
  <c r="O72" i="3"/>
  <c r="N72" i="3"/>
  <c r="N71" i="3"/>
  <c r="AX79" i="1"/>
  <c r="AX383" i="1" l="1"/>
  <c r="AX389" i="1"/>
  <c r="O46" i="3"/>
  <c r="N46" i="3"/>
  <c r="N44" i="3"/>
  <c r="AW104" i="1"/>
  <c r="AW111" i="1" s="1"/>
  <c r="AW134" i="1" s="1"/>
  <c r="AX99" i="1"/>
  <c r="T16" i="10"/>
  <c r="AC16" i="10" s="1"/>
  <c r="AX132" i="1"/>
  <c r="AX133" i="1" s="1"/>
  <c r="AZ129" i="1"/>
  <c r="BD192" i="1" l="1"/>
  <c r="BD194" i="1" s="1"/>
  <c r="AX104" i="1"/>
  <c r="AX111" i="1" s="1"/>
  <c r="AX134" i="1" s="1"/>
  <c r="N62" i="3"/>
  <c r="N63" i="3" s="1"/>
  <c r="K100" i="3" s="1"/>
  <c r="K101" i="3" s="1"/>
  <c r="AZ192" i="1"/>
  <c r="AX195" i="1"/>
  <c r="AZ132" i="1"/>
  <c r="AZ133" i="1" s="1"/>
  <c r="BA129" i="1"/>
  <c r="N96" i="3"/>
  <c r="N55" i="3"/>
  <c r="N50" i="3"/>
  <c r="N79" i="3"/>
  <c r="N75" i="3"/>
  <c r="N51" i="3"/>
  <c r="AZ194" i="1" l="1"/>
  <c r="BA132" i="1"/>
  <c r="BA133" i="1" s="1"/>
  <c r="BB129" i="1"/>
  <c r="N65" i="3"/>
  <c r="K114" i="3"/>
  <c r="K115" i="3" s="1"/>
  <c r="N89" i="3"/>
  <c r="N90" i="3" s="1"/>
  <c r="N73" i="3"/>
  <c r="N93" i="3"/>
  <c r="N82" i="3"/>
  <c r="N83" i="3" s="1"/>
  <c r="N80" i="3"/>
  <c r="N86" i="3"/>
  <c r="N85" i="3"/>
  <c r="BB132" i="1" l="1"/>
  <c r="BB133" i="1" s="1"/>
  <c r="BC129" i="1"/>
  <c r="N94" i="3"/>
  <c r="AZ99" i="1"/>
  <c r="AZ195" i="1" s="1"/>
  <c r="N74" i="3"/>
  <c r="N70" i="3"/>
  <c r="N69" i="3"/>
  <c r="N68" i="3"/>
  <c r="N67" i="3"/>
  <c r="N76" i="3"/>
  <c r="BD129" i="1" l="1"/>
  <c r="BC132" i="1"/>
  <c r="BC133" i="1" s="1"/>
  <c r="AZ104" i="1"/>
  <c r="AZ111" i="1" s="1"/>
  <c r="AZ134" i="1" s="1"/>
  <c r="BA192" i="1"/>
  <c r="U16" i="10"/>
  <c r="BA194" i="1" l="1"/>
  <c r="BF129" i="1"/>
  <c r="BD132" i="1"/>
  <c r="BD133" i="1" s="1"/>
  <c r="BG129" i="1" l="1"/>
  <c r="BF132" i="1"/>
  <c r="BF133" i="1" s="1"/>
  <c r="BA99" i="1"/>
  <c r="BA195" i="1" s="1"/>
  <c r="BA104" i="1" l="1"/>
  <c r="BA111" i="1" s="1"/>
  <c r="BA134" i="1" s="1"/>
  <c r="V16" i="10"/>
  <c r="BB192" i="1"/>
  <c r="BH129" i="1"/>
  <c r="BG132" i="1"/>
  <c r="BG133" i="1" s="1"/>
  <c r="BH132" i="1" l="1"/>
  <c r="BH133" i="1" s="1"/>
  <c r="BI129" i="1"/>
  <c r="BB194" i="1"/>
  <c r="BB99" i="1" l="1"/>
  <c r="BI132" i="1"/>
  <c r="BI133" i="1" s="1"/>
  <c r="BJ129" i="1"/>
  <c r="BJ132" i="1" l="1"/>
  <c r="BJ133" i="1" s="1"/>
  <c r="BL129" i="1"/>
  <c r="BB104" i="1"/>
  <c r="BB111" i="1" s="1"/>
  <c r="BB134" i="1" s="1"/>
  <c r="BC192" i="1"/>
  <c r="W16" i="10"/>
  <c r="BB195" i="1"/>
  <c r="BC194" i="1" l="1"/>
  <c r="BL132" i="1"/>
  <c r="BL133" i="1" s="1"/>
  <c r="BM129" i="1"/>
  <c r="BM132" i="1" l="1"/>
  <c r="BM133" i="1" s="1"/>
  <c r="BN129" i="1"/>
  <c r="BC99" i="1"/>
  <c r="BC104" i="1" l="1"/>
  <c r="BC111" i="1" s="1"/>
  <c r="BC134" i="1" s="1"/>
  <c r="X16" i="10"/>
  <c r="AD16" i="10" s="1"/>
  <c r="BD99" i="1"/>
  <c r="BC195" i="1"/>
  <c r="BO129" i="1"/>
  <c r="BN132" i="1"/>
  <c r="BN133" i="1" s="1"/>
  <c r="BP129" i="1" l="1"/>
  <c r="BO132" i="1"/>
  <c r="BO133" i="1" s="1"/>
  <c r="BD104" i="1"/>
  <c r="BD111" i="1" s="1"/>
  <c r="BD134" i="1" s="1"/>
  <c r="O62" i="3"/>
  <c r="O63" i="3" s="1"/>
  <c r="BJ192" i="1"/>
  <c r="BJ194" i="1" s="1"/>
  <c r="BF192" i="1"/>
  <c r="BD195" i="1"/>
  <c r="BF194" i="1" l="1"/>
  <c r="K121" i="3"/>
  <c r="K122" i="3" s="1"/>
  <c r="O89" i="3"/>
  <c r="O90" i="3" s="1"/>
  <c r="O65" i="3"/>
  <c r="O82" i="3"/>
  <c r="O83" i="3" s="1"/>
  <c r="O73" i="3"/>
  <c r="O93" i="3"/>
  <c r="O86" i="3"/>
  <c r="O85" i="3"/>
  <c r="BR129" i="1"/>
  <c r="BP132" i="1"/>
  <c r="BP133" i="1" s="1"/>
  <c r="BR132" i="1" l="1"/>
  <c r="BR133" i="1" s="1"/>
  <c r="BS129" i="1"/>
  <c r="BF99" i="1"/>
  <c r="BF195" i="1" s="1"/>
  <c r="O94" i="3"/>
  <c r="O74" i="3"/>
  <c r="O76" i="3"/>
  <c r="O70" i="3"/>
  <c r="O69" i="3"/>
  <c r="O68" i="3"/>
  <c r="O67" i="3"/>
  <c r="BS132" i="1" l="1"/>
  <c r="BS133" i="1" s="1"/>
  <c r="BT129" i="1"/>
  <c r="BF104" i="1"/>
  <c r="BF111" i="1" s="1"/>
  <c r="BF134" i="1" s="1"/>
  <c r="Y16" i="10"/>
  <c r="BG192" i="1"/>
  <c r="BG194" i="1" l="1"/>
  <c r="BT132" i="1"/>
  <c r="BT133" i="1" s="1"/>
  <c r="BU129" i="1"/>
  <c r="BU132" i="1" l="1"/>
  <c r="BU133" i="1" s="1"/>
  <c r="BV129" i="1"/>
  <c r="BG99" i="1"/>
  <c r="BG195" i="1" s="1"/>
  <c r="Z16" i="10" l="1"/>
  <c r="BH192" i="1"/>
  <c r="BG104" i="1"/>
  <c r="BG111" i="1" s="1"/>
  <c r="BG134" i="1" s="1"/>
  <c r="BX129" i="1"/>
  <c r="BV132" i="1"/>
  <c r="BV133" i="1" s="1"/>
  <c r="BX132" i="1" l="1"/>
  <c r="BX133" i="1" s="1"/>
  <c r="BY129" i="1"/>
  <c r="BH194" i="1"/>
  <c r="BH99" i="1" l="1"/>
  <c r="BH195" i="1" s="1"/>
  <c r="BY132" i="1"/>
  <c r="BY133" i="1" s="1"/>
  <c r="BZ129" i="1"/>
  <c r="CA129" i="1" l="1"/>
  <c r="BZ132" i="1"/>
  <c r="BZ133" i="1" s="1"/>
  <c r="AA16" i="10"/>
  <c r="BI192" i="1"/>
  <c r="BH104" i="1"/>
  <c r="BH111" i="1" s="1"/>
  <c r="BH134" i="1" s="1"/>
  <c r="BI194" i="1" l="1"/>
  <c r="CA132" i="1"/>
  <c r="CA133" i="1" s="1"/>
  <c r="CB129" i="1"/>
  <c r="CD129" i="1" l="1"/>
  <c r="CB132" i="1"/>
  <c r="CB133" i="1" s="1"/>
  <c r="BI99" i="1"/>
  <c r="AB16" i="10" l="1"/>
  <c r="AE16" i="10" s="1"/>
  <c r="BJ99" i="1"/>
  <c r="BI104" i="1"/>
  <c r="BI111" i="1" s="1"/>
  <c r="BI134" i="1" s="1"/>
  <c r="BI195" i="1"/>
  <c r="CD132" i="1"/>
  <c r="CD133" i="1" s="1"/>
  <c r="CE129" i="1"/>
  <c r="CE132" i="1" l="1"/>
  <c r="CE133" i="1" s="1"/>
  <c r="CF129" i="1"/>
  <c r="BL192" i="1"/>
  <c r="BJ104" i="1"/>
  <c r="BJ111" i="1" s="1"/>
  <c r="BJ134" i="1" s="1"/>
  <c r="BP192" i="1"/>
  <c r="BP194" i="1" s="1"/>
  <c r="P62" i="3"/>
  <c r="P63" i="3" s="1"/>
  <c r="BJ195" i="1"/>
  <c r="P73" i="3" l="1"/>
  <c r="P65" i="3"/>
  <c r="P86" i="3"/>
  <c r="P89" i="3"/>
  <c r="P90" i="3" s="1"/>
  <c r="P85" i="3"/>
  <c r="P82" i="3"/>
  <c r="P83" i="3" s="1"/>
  <c r="P93" i="3"/>
  <c r="BL194" i="1"/>
  <c r="CF132" i="1"/>
  <c r="CF133" i="1" s="1"/>
  <c r="CG129" i="1"/>
  <c r="CH129" i="1" l="1"/>
  <c r="CG132" i="1"/>
  <c r="CG133" i="1" s="1"/>
  <c r="P94" i="3"/>
  <c r="BL99" i="1"/>
  <c r="BL195" i="1" s="1"/>
  <c r="P76" i="3"/>
  <c r="P74" i="3"/>
  <c r="P70" i="3"/>
  <c r="P69" i="3"/>
  <c r="P68" i="3"/>
  <c r="P67" i="3"/>
  <c r="BL104" i="1" l="1"/>
  <c r="BL111" i="1" s="1"/>
  <c r="BL134" i="1" s="1"/>
  <c r="BM192" i="1"/>
  <c r="CJ129" i="1"/>
  <c r="CH132" i="1"/>
  <c r="CH133" i="1" s="1"/>
  <c r="CK129" i="1" l="1"/>
  <c r="CJ132" i="1"/>
  <c r="CJ133" i="1" s="1"/>
  <c r="BM194" i="1"/>
  <c r="BM99" i="1" l="1"/>
  <c r="CL129" i="1"/>
  <c r="CK132" i="1"/>
  <c r="CK133" i="1" s="1"/>
  <c r="CL132" i="1" l="1"/>
  <c r="CL133" i="1" s="1"/>
  <c r="CM129" i="1"/>
  <c r="BM104" i="1"/>
  <c r="BM111" i="1" s="1"/>
  <c r="BM134" i="1" s="1"/>
  <c r="BN192" i="1"/>
  <c r="BM195" i="1"/>
  <c r="BN194" i="1" l="1"/>
  <c r="CM132" i="1"/>
  <c r="CM133" i="1" s="1"/>
  <c r="CN129" i="1"/>
  <c r="CN132" i="1" s="1"/>
  <c r="CN133" i="1" s="1"/>
  <c r="BN99" i="1" l="1"/>
  <c r="BN195" i="1" s="1"/>
  <c r="BN104" i="1" l="1"/>
  <c r="BN111" i="1" s="1"/>
  <c r="BN134" i="1" s="1"/>
  <c r="BO192" i="1"/>
  <c r="BO194" i="1" l="1"/>
  <c r="BO99" i="1" l="1"/>
  <c r="BO195" i="1" s="1"/>
  <c r="BO104" i="1" l="1"/>
  <c r="BO111" i="1" s="1"/>
  <c r="BO134" i="1" s="1"/>
  <c r="BP99" i="1"/>
  <c r="BV192" i="1" l="1"/>
  <c r="BV194" i="1" s="1"/>
  <c r="BR192" i="1"/>
  <c r="BP104" i="1"/>
  <c r="BP111" i="1" s="1"/>
  <c r="BP134" i="1" s="1"/>
  <c r="Q62" i="3"/>
  <c r="Q63" i="3" s="1"/>
  <c r="BP195" i="1"/>
  <c r="Q93" i="3" l="1"/>
  <c r="Q94" i="3" s="1"/>
  <c r="Q82" i="3"/>
  <c r="Q83" i="3" s="1"/>
  <c r="Q86" i="3"/>
  <c r="Q65" i="3"/>
  <c r="Q85" i="3"/>
  <c r="Q73" i="3"/>
  <c r="Q89" i="3"/>
  <c r="Q90" i="3" s="1"/>
  <c r="BR194" i="1"/>
  <c r="Q76" i="3" l="1"/>
  <c r="Q74" i="3"/>
  <c r="Q70" i="3"/>
  <c r="Q69" i="3"/>
  <c r="Q68" i="3"/>
  <c r="Q67" i="3"/>
  <c r="BR99" i="1"/>
  <c r="BR195" i="1" s="1"/>
  <c r="BR104" i="1" l="1"/>
  <c r="BR111" i="1" s="1"/>
  <c r="BR134" i="1" s="1"/>
  <c r="BS192" i="1"/>
  <c r="BS194" i="1" l="1"/>
  <c r="BS99" i="1" l="1"/>
  <c r="BT192" i="1" l="1"/>
  <c r="BS104" i="1"/>
  <c r="BS111" i="1" s="1"/>
  <c r="BS134" i="1" s="1"/>
  <c r="BS195" i="1"/>
  <c r="BT194" i="1" l="1"/>
  <c r="BT99" i="1" l="1"/>
  <c r="BU192" i="1" l="1"/>
  <c r="BT104" i="1"/>
  <c r="BT111" i="1" s="1"/>
  <c r="BT134" i="1" s="1"/>
  <c r="BT195" i="1"/>
  <c r="BU194" i="1" l="1"/>
  <c r="BU99" i="1" l="1"/>
  <c r="BU104" i="1" l="1"/>
  <c r="BU111" i="1" s="1"/>
  <c r="BU134" i="1" s="1"/>
  <c r="BV99" i="1"/>
  <c r="BU195" i="1"/>
  <c r="BV104" i="1" l="1"/>
  <c r="BV111" i="1" s="1"/>
  <c r="BV134" i="1" s="1"/>
  <c r="BX192" i="1"/>
  <c r="CB192" i="1"/>
  <c r="CB194" i="1" s="1"/>
  <c r="R62" i="3"/>
  <c r="R63" i="3" s="1"/>
  <c r="BV195" i="1"/>
  <c r="BX194" i="1" l="1"/>
  <c r="R93" i="3"/>
  <c r="R94" i="3" s="1"/>
  <c r="R89" i="3"/>
  <c r="R90" i="3" s="1"/>
  <c r="R82" i="3"/>
  <c r="R83" i="3" s="1"/>
  <c r="R85" i="3"/>
  <c r="R73" i="3"/>
  <c r="R65" i="3"/>
  <c r="R86" i="3"/>
  <c r="R70" i="3" l="1"/>
  <c r="R69" i="3"/>
  <c r="R68" i="3"/>
  <c r="R67" i="3"/>
  <c r="R76" i="3"/>
  <c r="R74" i="3"/>
  <c r="BX99" i="1"/>
  <c r="BX195" i="1" s="1"/>
  <c r="BX104" i="1" l="1"/>
  <c r="BX111" i="1" s="1"/>
  <c r="BX134" i="1" s="1"/>
  <c r="BY192" i="1"/>
  <c r="BY194" i="1" l="1"/>
  <c r="BY99" i="1" l="1"/>
  <c r="BY195" i="1" s="1"/>
  <c r="BY104" i="1" l="1"/>
  <c r="BY111" i="1" s="1"/>
  <c r="BY134" i="1" s="1"/>
  <c r="BZ192" i="1"/>
  <c r="BZ194" i="1" l="1"/>
  <c r="BZ99" i="1" l="1"/>
  <c r="BZ195" i="1" s="1"/>
  <c r="BZ104" i="1" l="1"/>
  <c r="BZ111" i="1" s="1"/>
  <c r="BZ134" i="1" s="1"/>
  <c r="CA192" i="1"/>
  <c r="CA194" i="1" l="1"/>
  <c r="CA99" i="1" l="1"/>
  <c r="CA195" i="1" s="1"/>
  <c r="CA104" i="1" l="1"/>
  <c r="CA111" i="1" s="1"/>
  <c r="CA134" i="1" s="1"/>
  <c r="CB99" i="1"/>
  <c r="CB104" i="1" l="1"/>
  <c r="CB111" i="1" s="1"/>
  <c r="CB134" i="1" s="1"/>
  <c r="CD192" i="1"/>
  <c r="CH192" i="1"/>
  <c r="CH194" i="1" s="1"/>
  <c r="S62" i="3"/>
  <c r="S63" i="3" s="1"/>
  <c r="CB195" i="1"/>
  <c r="CD194" i="1" l="1"/>
  <c r="S93" i="3"/>
  <c r="S94" i="3" s="1"/>
  <c r="S89" i="3"/>
  <c r="S90" i="3" s="1"/>
  <c r="S82" i="3"/>
  <c r="S83" i="3" s="1"/>
  <c r="S86" i="3"/>
  <c r="S85" i="3"/>
  <c r="S73" i="3"/>
  <c r="S65" i="3"/>
  <c r="S76" i="3" l="1"/>
  <c r="S74" i="3"/>
  <c r="S70" i="3"/>
  <c r="S69" i="3"/>
  <c r="S68" i="3"/>
  <c r="S67" i="3"/>
  <c r="CD99" i="1"/>
  <c r="CD104" i="1" l="1"/>
  <c r="CD111" i="1" s="1"/>
  <c r="CD134" i="1" s="1"/>
  <c r="CE192" i="1"/>
  <c r="CD195" i="1"/>
  <c r="CE194" i="1" l="1"/>
  <c r="CE99" i="1" l="1"/>
  <c r="CE104" i="1" l="1"/>
  <c r="CE111" i="1" s="1"/>
  <c r="CE134" i="1" s="1"/>
  <c r="CF192" i="1"/>
  <c r="CE195" i="1"/>
  <c r="CF194" i="1" l="1"/>
  <c r="CF99" i="1" l="1"/>
  <c r="CF104" i="1" l="1"/>
  <c r="CF111" i="1" s="1"/>
  <c r="CF134" i="1" s="1"/>
  <c r="CG192" i="1"/>
  <c r="CF195" i="1"/>
  <c r="CG194" i="1" l="1"/>
  <c r="CG99" i="1" l="1"/>
  <c r="CG195" i="1" s="1"/>
  <c r="CG104" i="1" l="1"/>
  <c r="CG111" i="1" s="1"/>
  <c r="CG134" i="1" s="1"/>
  <c r="CH99" i="1"/>
  <c r="CH104" i="1" l="1"/>
  <c r="CH111" i="1" s="1"/>
  <c r="CH134" i="1" s="1"/>
  <c r="CN192" i="1"/>
  <c r="CN194" i="1" s="1"/>
  <c r="T62" i="3"/>
  <c r="T63" i="3" s="1"/>
  <c r="CJ192" i="1"/>
  <c r="CH195" i="1"/>
  <c r="CJ194" i="1" l="1"/>
  <c r="T93" i="3"/>
  <c r="T94" i="3" s="1"/>
  <c r="T89" i="3"/>
  <c r="T90" i="3" s="1"/>
  <c r="T82" i="3"/>
  <c r="T83" i="3" s="1"/>
  <c r="T65" i="3"/>
  <c r="T86" i="3"/>
  <c r="T85" i="3"/>
  <c r="T73" i="3"/>
  <c r="T67" i="3" l="1"/>
  <c r="T76" i="3"/>
  <c r="T74" i="3"/>
  <c r="T70" i="3"/>
  <c r="T69" i="3"/>
  <c r="T68" i="3"/>
  <c r="CJ99" i="1"/>
  <c r="CJ195" i="1" s="1"/>
  <c r="CK192" i="1" l="1"/>
  <c r="CJ104" i="1"/>
  <c r="CJ111" i="1" s="1"/>
  <c r="CJ134" i="1" s="1"/>
  <c r="CK194" i="1" l="1"/>
  <c r="CK99" i="1" l="1"/>
  <c r="CL192" i="1" l="1"/>
  <c r="CK104" i="1"/>
  <c r="CK111" i="1" s="1"/>
  <c r="CK134" i="1" s="1"/>
  <c r="CK195" i="1"/>
  <c r="CL194" i="1" l="1"/>
  <c r="CL99" i="1" l="1"/>
  <c r="CL104" i="1" l="1"/>
  <c r="CL111" i="1" s="1"/>
  <c r="CL134" i="1" s="1"/>
  <c r="CM192" i="1"/>
  <c r="CL195" i="1"/>
  <c r="CM194" i="1" l="1"/>
  <c r="CM99" i="1" l="1"/>
  <c r="CM104" i="1" l="1"/>
  <c r="CM111" i="1" s="1"/>
  <c r="CM134" i="1" s="1"/>
  <c r="CN99" i="1"/>
  <c r="CM195" i="1"/>
  <c r="U62" i="3" l="1"/>
  <c r="U63" i="3" s="1"/>
  <c r="CN104" i="1"/>
  <c r="CN111" i="1" s="1"/>
  <c r="CN134" i="1" s="1"/>
  <c r="CN195" i="1"/>
  <c r="U86" i="3" l="1"/>
  <c r="U93" i="3"/>
  <c r="U94" i="3" s="1"/>
  <c r="U65" i="3"/>
  <c r="U89" i="3"/>
  <c r="U90" i="3" s="1"/>
  <c r="U85" i="3"/>
  <c r="U82" i="3"/>
  <c r="U83" i="3" s="1"/>
  <c r="U73" i="3"/>
  <c r="U74" i="3" l="1"/>
  <c r="U70" i="3"/>
  <c r="U69" i="3"/>
  <c r="U68" i="3"/>
  <c r="U67" i="3"/>
  <c r="U7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asadz</author>
  </authors>
  <commentList>
    <comment ref="B7" authorId="0" shapeId="0" xr:uid="{CB8AA6C0-7B18-4962-B7ED-C00EABEA81FC}">
      <text>
        <r>
          <rPr>
            <b/>
            <sz val="9"/>
            <color indexed="81"/>
            <rFont val="Tahoma"/>
            <family val="2"/>
          </rPr>
          <t>asadz:</t>
        </r>
        <r>
          <rPr>
            <sz val="9"/>
            <color indexed="81"/>
            <rFont val="Tahoma"/>
            <family val="2"/>
          </rPr>
          <t xml:space="preserve">
10-year Treasury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BamSEC</author>
  </authors>
  <commentList>
    <comment ref="A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Variations found in other tables:
"Gain on remeasurement of a non-U.S. pension obligation" found in:
- 10-Q filed on 2020-05-06 (https://www.bamsec.com/filing/1823020000155/1?table=10)
- 10-Q filed on 2021-05-05 (https://www.bamsec.com/filing/1823021000151/1?table=19)</t>
        </r>
      </text>
    </comment>
    <comment ref="A1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Variations found in other tables:
"(Gain) loss on divestiture" found in:
- 10-Q filed on 2024-05-01 (https://www.bamsec.com/filing/1823024000020/1?table=19)
- 10-Q filed on 2024-08-07 (https://www.bamsec.com/filing/1823024000045/1?table=28)
- 10-Q filed on 2024-11-06 (https://www.bamsec.com/filing/1823024000053/1?table=28)</t>
        </r>
      </text>
    </comment>
    <comment ref="A29" authorId="0" shapeId="0" xr:uid="{FAAE54A8-AC26-41CD-BC24-C87B4EE6006A}">
      <text>
        <r>
          <rPr>
            <sz val="11"/>
            <color theme="1"/>
            <rFont val="Calibri"/>
            <family val="2"/>
            <scheme val="minor"/>
          </rPr>
          <t>Variations found in other tables:
"Gain on remeasurement of a non-U.S. pension obligation" found in:
- 10-Q filed on 2020-05-06 (https://www.bamsec.com/filing/1823020000155/1?table=10)
- 10-Q filed on 2021-05-05 (https://www.bamsec.com/filing/1823021000151/1?table=19)</t>
        </r>
      </text>
    </comment>
    <comment ref="A31" authorId="0" shapeId="0" xr:uid="{3DD87A61-2C5B-4169-B69B-56FF69FDCA6B}">
      <text>
        <r>
          <rPr>
            <sz val="11"/>
            <color theme="1"/>
            <rFont val="Calibri"/>
            <family val="2"/>
            <scheme val="minor"/>
          </rPr>
          <t>Variations found in other tables:
"(Gain) loss on divestiture" found in:
- 10-Q filed on 2024-05-01 (https://www.bamsec.com/filing/1823024000020/1?table=19)
- 10-Q filed on 2024-08-07 (https://www.bamsec.com/filing/1823024000045/1?table=28)
- 10-Q filed on 2024-11-06 (https://www.bamsec.com/filing/1823024000053/1?table=28)</t>
        </r>
      </text>
    </comment>
    <comment ref="A5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Variations found in other tables:
"Proceeds from maturities and sale of securities" found in:
- 10-Q filed on 2024-05-01 (https://www.bamsec.com/filing/1823024000020/1?table=19)
- 10-Q filed on 2024-08-07 (https://www.bamsec.com/filing/1823024000045/1?table=28)
- 10-Q filed on 2024-11-06 (https://www.bamsec.com/filing/1823024000053/1?table=28)</t>
        </r>
      </text>
    </comment>
    <comment ref="A67" authorId="0" shapeId="0" xr:uid="{56EFB325-572E-4709-84FB-3171FEBE9DC3}">
      <text>
        <r>
          <rPr>
            <sz val="11"/>
            <color theme="1"/>
            <rFont val="Calibri"/>
            <family val="2"/>
            <scheme val="minor"/>
          </rPr>
          <t>Variations found in other tables:
"Proceeds from maturities and sale of securities" found in:
- 10-Q filed on 2024-05-01 (https://www.bamsec.com/filing/1823024000020/1?table=19)
- 10-Q filed on 2024-08-07 (https://www.bamsec.com/filing/1823024000045/1?table=28)
- 10-Q filed on 2024-11-06 (https://www.bamsec.com/filing/1823024000053/1?table=28)</t>
        </r>
      </text>
    </comment>
    <comment ref="A79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Variations found in other tables:
"Payments to purchase common stock" found in:
- 10-Q filed on 2024-08-07 (https://www.bamsec.com/filing/1823024000045/1?table=28)
- 10-Q filed on 2024-11-06 (https://www.bamsec.com/filing/1823024000053/1?table=28)</t>
        </r>
      </text>
    </comment>
    <comment ref="A9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Variations found in other tables:
"Increase (decrease) in cash, cash equivalents and restricted cash" found in:
- 10-Q filed on 2021-11-03 (https://www.bamsec.com/filing/1823021000260/1?table=28)
- 10-Q filed on 2022-05-04 (https://www.bamsec.com/filing/1823022000112/1?table=19)
- 10-Q filed on 2022-08-03 (https://www.bamsec.com/filing/1823022000183/1?table=28)
- 10-Q filed on 2022-11-02 (https://www.bamsec.com/filing/1823022000223/1?table=28)
- 10-Q filed on 2023-05-03 (https://www.bamsec.com/filing/1823023000022/1?table=19)
- 10-Q filed on 2023-08-02 (https://www.bamsec.com/filing/1823023000047/1?table=28)
- 10-Q filed on 2023-11-01 (https://www.bamsec.com/filing/1823023000056/1?table=28)
- 10-Q filed on 2024-05-01 (https://www.bamsec.com/filing/1823024000020/1?table=19)
- 10-Q filed on 2024-08-07 (https://www.bamsec.com/filing/1823024000045/1?table=28)
- 10-Q filed on 2024-11-06 (https://www.bamsec.com/filing/1823024000053/1?table=28)</t>
        </r>
      </text>
    </comment>
    <comment ref="A94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Variations found in other tables:
"Cash, cash equivalents and restricted cash at beginning of period" found in:
- 10-Q filed on 2021-11-03 (https://www.bamsec.com/filing/1823021000260/1?table=28)
- 10-Q filed on 2022-05-04 (https://www.bamsec.com/filing/1823022000112/1?table=19)
- 10-Q filed on 2022-08-03 (https://www.bamsec.com/filing/1823022000183/1?table=28)
- 10-Q filed on 2022-11-02 (https://www.bamsec.com/filing/1823022000223/1?table=28)
- 10-Q filed on 2023-05-03 (https://www.bamsec.com/filing/1823023000022/1?table=19)
- 10-Q filed on 2023-08-02 (https://www.bamsec.com/filing/1823023000047/1?table=28)
- 10-Q filed on 2023-11-01 (https://www.bamsec.com/filing/1823023000056/1?table=28)
- 10-Q filed on 2024-05-01 (https://www.bamsec.com/filing/1823024000020/1?table=19)
- 10-Q filed on 2024-08-07 (https://www.bamsec.com/filing/1823024000045/1?table=28)
- 10-Q filed on 2024-11-06 (https://www.bamsec.com/filing/1823024000053/1?table=28)</t>
        </r>
      </text>
    </comment>
    <comment ref="A95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Variations found in other tables:
"Cash, cash equivalents and restricted cash at end of period" found in:
- 10-Q filed on 2021-11-03 (https://www.bamsec.com/filing/1823021000260/1?table=28)
- 10-Q filed on 2022-05-04 (https://www.bamsec.com/filing/1823022000112/1?table=19)
- 10-Q filed on 2022-08-03 (https://www.bamsec.com/filing/1823022000183/1?table=28)
- 10-Q filed on 2022-11-02 (https://www.bamsec.com/filing/1823022000223/1?table=28)
- 10-Q filed on 2023-05-03 (https://www.bamsec.com/filing/1823023000022/1?table=19)
- 10-Q filed on 2023-08-02 (https://www.bamsec.com/filing/1823023000047/1?table=28)
- 10-Q filed on 2023-11-01 (https://www.bamsec.com/filing/1823023000056/1?table=28)
- 10-Q filed on 2024-05-01 (https://www.bamsec.com/filing/1823024000020/1?table=19)
- 10-Q filed on 2024-08-07 (https://www.bamsec.com/filing/1823024000045/1?table=28)
- 10-Q filed on 2024-11-06 (https://www.bamsec.com/filing/1823024000053/1?table=28)</t>
        </r>
      </text>
    </comment>
    <comment ref="A99" authorId="0" shapeId="0" xr:uid="{E9F1E6FC-ADE2-421E-B92C-9B4DB19F69D9}">
      <text>
        <r>
          <rPr>
            <sz val="11"/>
            <color theme="1"/>
            <rFont val="Calibri"/>
            <family val="2"/>
            <scheme val="minor"/>
          </rPr>
          <t>Variations found in other tables:
"Payments to purchase common stock" found in:
- 10-Q filed on 2024-08-07 (https://www.bamsec.com/filing/1823024000045/1?table=28)
- 10-Q filed on 2024-11-06 (https://www.bamsec.com/filing/1823024000053/1?table=28)</t>
        </r>
      </text>
    </comment>
    <comment ref="A107" authorId="0" shapeId="0" xr:uid="{D8CB27FF-FF21-4DEB-A302-4AB515A3F142}">
      <text>
        <r>
          <rPr>
            <sz val="11"/>
            <color theme="1"/>
            <rFont val="Calibri"/>
            <family val="2"/>
            <scheme val="minor"/>
          </rPr>
          <t>Variations found in other tables:
"Increase (decrease) in cash, cash equivalents and restricted cash" found in:
- 10-Q filed on 2021-11-03 (https://www.bamsec.com/filing/1823021000260/1?table=28)
- 10-Q filed on 2022-05-04 (https://www.bamsec.com/filing/1823022000112/1?table=19)
- 10-Q filed on 2022-08-03 (https://www.bamsec.com/filing/1823022000183/1?table=28)
- 10-Q filed on 2022-11-02 (https://www.bamsec.com/filing/1823022000223/1?table=28)
- 10-Q filed on 2023-05-03 (https://www.bamsec.com/filing/1823023000022/1?table=19)
- 10-Q filed on 2023-08-02 (https://www.bamsec.com/filing/1823023000047/1?table=28)
- 10-Q filed on 2023-11-01 (https://www.bamsec.com/filing/1823023000056/1?table=28)
- 10-Q filed on 2024-05-01 (https://www.bamsec.com/filing/1823024000020/1?table=19)
- 10-Q filed on 2024-08-07 (https://www.bamsec.com/filing/1823024000045/1?table=28)
- 10-Q filed on 2024-11-06 (https://www.bamsec.com/filing/1823024000053/1?table=28)</t>
        </r>
      </text>
    </comment>
    <comment ref="A108" authorId="0" shapeId="0" xr:uid="{31F3BAC3-88A9-4800-89B2-A7B1339A8171}">
      <text>
        <r>
          <rPr>
            <sz val="11"/>
            <color theme="1"/>
            <rFont val="Calibri"/>
            <family val="2"/>
            <scheme val="minor"/>
          </rPr>
          <t>Variations found in other tables:
"Cash, cash equivalents and restricted cash at beginning of period" found in:
- 10-Q filed on 2021-11-03 (https://www.bamsec.com/filing/1823021000260/1?table=28)
- 10-Q filed on 2022-05-04 (https://www.bamsec.com/filing/1823022000112/1?table=19)
- 10-Q filed on 2022-08-03 (https://www.bamsec.com/filing/1823022000183/1?table=28)
- 10-Q filed on 2022-11-02 (https://www.bamsec.com/filing/1823022000223/1?table=28)
- 10-Q filed on 2023-05-03 (https://www.bamsec.com/filing/1823023000022/1?table=19)
- 10-Q filed on 2023-08-02 (https://www.bamsec.com/filing/1823023000047/1?table=28)
- 10-Q filed on 2023-11-01 (https://www.bamsec.com/filing/1823023000056/1?table=28)
- 10-Q filed on 2024-05-01 (https://www.bamsec.com/filing/1823024000020/1?table=19)
- 10-Q filed on 2024-08-07 (https://www.bamsec.com/filing/1823024000045/1?table=28)
- 10-Q filed on 2024-11-06 (https://www.bamsec.com/filing/1823024000053/1?table=28)</t>
        </r>
      </text>
    </comment>
    <comment ref="A109" authorId="0" shapeId="0" xr:uid="{CAFD0CB0-5234-4E9E-A746-3DFE885BA46C}">
      <text>
        <r>
          <rPr>
            <sz val="11"/>
            <color theme="1"/>
            <rFont val="Calibri"/>
            <family val="2"/>
            <scheme val="minor"/>
          </rPr>
          <t>Variations found in other tables:
"Cash, cash equivalents and restricted cash at end of period" found in:
- 10-Q filed on 2021-11-03 (https://www.bamsec.com/filing/1823021000260/1?table=28)
- 10-Q filed on 2022-05-04 (https://www.bamsec.com/filing/1823022000112/1?table=19)
- 10-Q filed on 2022-08-03 (https://www.bamsec.com/filing/1823022000183/1?table=28)
- 10-Q filed on 2022-11-02 (https://www.bamsec.com/filing/1823022000223/1?table=28)
- 10-Q filed on 2023-05-03 (https://www.bamsec.com/filing/1823023000022/1?table=19)
- 10-Q filed on 2023-08-02 (https://www.bamsec.com/filing/1823023000047/1?table=28)
- 10-Q filed on 2023-11-01 (https://www.bamsec.com/filing/1823023000056/1?table=28)
- 10-Q filed on 2024-05-01 (https://www.bamsec.com/filing/1823024000020/1?table=19)
- 10-Q filed on 2024-08-07 (https://www.bamsec.com/filing/1823024000045/1?table=28)
- 10-Q filed on 2024-11-06 (https://www.bamsec.com/filing/1823024000053/1?table=28)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<sst xmlns="http://schemas.openxmlformats.org/spreadsheetml/2006/main" count="1395" uniqueCount="632">
  <si>
    <t>Q1</t>
  </si>
  <si>
    <t>Q2</t>
  </si>
  <si>
    <t>Q3</t>
  </si>
  <si>
    <t>Q4</t>
  </si>
  <si>
    <t>x</t>
  </si>
  <si>
    <t>Total</t>
  </si>
  <si>
    <t>Revenue Breakdown</t>
  </si>
  <si>
    <t>EBITDA ($mm)</t>
  </si>
  <si>
    <t>EBITDA Margin (%)</t>
  </si>
  <si>
    <t>EBITDA Growth (%)</t>
  </si>
  <si>
    <t>Shares Outstanding (mm)</t>
  </si>
  <si>
    <t>Term Loan A ($mm)</t>
  </si>
  <si>
    <t>Revolving Credit Facility ($mm)</t>
  </si>
  <si>
    <t>Other Debt</t>
  </si>
  <si>
    <t>Total Debt ($mm)</t>
  </si>
  <si>
    <t>Less: Cash ($mm)</t>
  </si>
  <si>
    <t>2022 EBITDA ($mm)</t>
  </si>
  <si>
    <t>BEST_CONSENSUS_STAT_OVERRIDE</t>
  </si>
  <si>
    <t>BEST_FPERIOD_OVERRIDE</t>
  </si>
  <si>
    <t>2022 CFPS ($mm)</t>
  </si>
  <si>
    <t>($mm)</t>
  </si>
  <si>
    <t>Int. Rate</t>
  </si>
  <si>
    <t>(%)</t>
  </si>
  <si>
    <t>Int. Exp</t>
  </si>
  <si>
    <t>/</t>
  </si>
  <si>
    <t>22 EBITDA</t>
  </si>
  <si>
    <t>Facility</t>
  </si>
  <si>
    <t>Net Debt ($mm)</t>
  </si>
  <si>
    <t>Share Price ($/share)</t>
  </si>
  <si>
    <t>Equity Value ($mm)</t>
  </si>
  <si>
    <t>Enterprise Value ($mm)</t>
  </si>
  <si>
    <t>Consensus</t>
  </si>
  <si>
    <t>2023 EBITDA ($mm)</t>
  </si>
  <si>
    <t>23 EBITDA</t>
  </si>
  <si>
    <t>EBT ($mm)</t>
  </si>
  <si>
    <t>Net Income ($mm)</t>
  </si>
  <si>
    <t>Capex ($mm)</t>
  </si>
  <si>
    <t>% of Revenue</t>
  </si>
  <si>
    <t>Debt Schedule</t>
  </si>
  <si>
    <t>Term Loan</t>
  </si>
  <si>
    <t>Interest Rate (%)</t>
  </si>
  <si>
    <t>Revolver:</t>
  </si>
  <si>
    <t>Beginning Balance</t>
  </si>
  <si>
    <t xml:space="preserve">Addition </t>
  </si>
  <si>
    <t>Subtraction</t>
  </si>
  <si>
    <t>Ending Balance</t>
  </si>
  <si>
    <t>Interest Rate</t>
  </si>
  <si>
    <t>Size ($mm)</t>
  </si>
  <si>
    <t>Calculated Interest Expense ($mm)</t>
  </si>
  <si>
    <t>Reported Interest Expense ($mm)</t>
  </si>
  <si>
    <t>Delta ($mm)</t>
  </si>
  <si>
    <t>Total other income/expense</t>
  </si>
  <si>
    <t>Basic Shares (mm)</t>
  </si>
  <si>
    <t>Diluted Shares (mm)</t>
  </si>
  <si>
    <t>GAAP Basic EPS ($/share)</t>
  </si>
  <si>
    <t>GAAP Diluted EPS ($/share)</t>
  </si>
  <si>
    <t>Total Adjustments ($mm)</t>
  </si>
  <si>
    <t>Adjusted Net Income ($mm)</t>
  </si>
  <si>
    <t>Adjusted EPS ($/share)</t>
  </si>
  <si>
    <t>Cash</t>
  </si>
  <si>
    <t>Account Receivable</t>
  </si>
  <si>
    <t>Total Current Assets</t>
  </si>
  <si>
    <t>PP&amp;E</t>
  </si>
  <si>
    <t>Other Assets</t>
  </si>
  <si>
    <t>Total Assets</t>
  </si>
  <si>
    <t>Other</t>
  </si>
  <si>
    <t>Current Liabilities</t>
  </si>
  <si>
    <t>Total Noncurrent Liabilities</t>
  </si>
  <si>
    <t>Total Equity</t>
  </si>
  <si>
    <t>Total Liabilites and Equity</t>
  </si>
  <si>
    <t>Balance Sheet</t>
  </si>
  <si>
    <t>Days</t>
  </si>
  <si>
    <t>Accrued Expenses % of Revenue</t>
  </si>
  <si>
    <t>Cash Flow Statements</t>
  </si>
  <si>
    <t>Depreciation</t>
  </si>
  <si>
    <t>Accounts payable</t>
  </si>
  <si>
    <t>Net Cash from Operations</t>
  </si>
  <si>
    <t>Working Capital Adjustment</t>
  </si>
  <si>
    <t>Net Cash by Investing Act.</t>
  </si>
  <si>
    <t>Investing Activities</t>
  </si>
  <si>
    <t>Financing Activities</t>
  </si>
  <si>
    <t>Net Cash by Financing Act.</t>
  </si>
  <si>
    <t>Effect of exchage rate</t>
  </si>
  <si>
    <t>Cash, beginning</t>
  </si>
  <si>
    <t>Addition</t>
  </si>
  <si>
    <t>Cash, ending</t>
  </si>
  <si>
    <t>Mininum Cash on Balance Sheet ($mm)</t>
  </si>
  <si>
    <t>Other Drivers</t>
  </si>
  <si>
    <t>Share Buybacks</t>
  </si>
  <si>
    <t>Share Buyback Program ($mm)</t>
  </si>
  <si>
    <t>Current Price ($/share</t>
  </si>
  <si>
    <t>Discount / Premium (%)</t>
  </si>
  <si>
    <t>Acquisition Price ($/share)</t>
  </si>
  <si>
    <t>Shares Acquired (mm)</t>
  </si>
  <si>
    <t>% Revenue</t>
  </si>
  <si>
    <t>Shares Price ($/share)</t>
  </si>
  <si>
    <t>Debt ($mm)</t>
  </si>
  <si>
    <t>EV / EBITDA (x)</t>
  </si>
  <si>
    <t>EV / CFO (x)</t>
  </si>
  <si>
    <t>Net Debt / EBITDA (x)</t>
  </si>
  <si>
    <t>% Growth</t>
  </si>
  <si>
    <t>FCF Yield (%)</t>
  </si>
  <si>
    <t>Expected FCF Yield (%)</t>
  </si>
  <si>
    <t>Expected Stock Price ($/share)</t>
  </si>
  <si>
    <t>Implied Upside (%)</t>
  </si>
  <si>
    <t>FCF ($mm)</t>
  </si>
  <si>
    <t>Discount Period</t>
  </si>
  <si>
    <t>Discount Factor</t>
  </si>
  <si>
    <t>Discounted FCF ($mm)</t>
  </si>
  <si>
    <t>Implied Share Price ($/share)</t>
  </si>
  <si>
    <t>LT Growth</t>
  </si>
  <si>
    <t>Discount Rate</t>
  </si>
  <si>
    <t>Upside / Downside (%)</t>
  </si>
  <si>
    <t>EV / Revenue (x)</t>
  </si>
  <si>
    <t>Implied EV / EBITDA (x)</t>
  </si>
  <si>
    <t>Implied EV / CFO (x)</t>
  </si>
  <si>
    <t>Stock Compensation ($mm)</t>
  </si>
  <si>
    <t>EBIT Margin (%)</t>
  </si>
  <si>
    <t>Add: Equity Income of Investments ($mm)</t>
  </si>
  <si>
    <t>Less: Income associated with Non-controlling interest ($mm)</t>
  </si>
  <si>
    <t>Dividend Per Share ($/share)</t>
  </si>
  <si>
    <t>Less: Net Interest Expense ($mm)</t>
  </si>
  <si>
    <t>CFO Growth (%)</t>
  </si>
  <si>
    <t>D&amp;A</t>
  </si>
  <si>
    <t>Implied CFO Multiple (x)</t>
  </si>
  <si>
    <t>Adjusted EBITDA ($mm)</t>
  </si>
  <si>
    <t>Adjusted EBITDA Margin (%)</t>
  </si>
  <si>
    <t>EBIT ($mm)</t>
  </si>
  <si>
    <t>Commercial Paper ($mm)</t>
  </si>
  <si>
    <t>Change in debt due to Exchange Rate ($mm)</t>
  </si>
  <si>
    <t>EPS Growth (%)</t>
  </si>
  <si>
    <t>Total Revenue ($mm)</t>
  </si>
  <si>
    <t>Revenue</t>
  </si>
  <si>
    <t>Revenue Breakdown:</t>
  </si>
  <si>
    <t>Growth YoY:</t>
  </si>
  <si>
    <t>Gross Profit ($mm)</t>
  </si>
  <si>
    <t>Gross Margin (%)</t>
  </si>
  <si>
    <t>Cost of Revenue ($mm)</t>
  </si>
  <si>
    <t>Guidance</t>
  </si>
  <si>
    <t>Growth YoY (%)</t>
  </si>
  <si>
    <t>Growth YoY ($mm)</t>
  </si>
  <si>
    <t>Revenue ($mm)</t>
  </si>
  <si>
    <t>% Gross Margin</t>
  </si>
  <si>
    <t>Cost of Goods / Services ($mm)</t>
  </si>
  <si>
    <t>FY2</t>
  </si>
  <si>
    <t>FY3</t>
  </si>
  <si>
    <t>Growth QoQ ($mm)</t>
  </si>
  <si>
    <t>2022 EPS ($)</t>
  </si>
  <si>
    <t>2023 EPS ($)</t>
  </si>
  <si>
    <t>Growth QoQ (%)</t>
  </si>
  <si>
    <t>Accrued Expenses</t>
  </si>
  <si>
    <t>Change in Cash Expenses ($mm)</t>
  </si>
  <si>
    <t>FCF to Enterprise Value (%)</t>
  </si>
  <si>
    <t>Asad Zafar</t>
  </si>
  <si>
    <t>Street</t>
  </si>
  <si>
    <t>Asad Zafar relative to Street (%)</t>
  </si>
  <si>
    <t>Adjusted EBIT ($mm)</t>
  </si>
  <si>
    <t>CFPS ($/share)</t>
  </si>
  <si>
    <t>WACC Calculation:</t>
  </si>
  <si>
    <t>Cost of Debt (%)</t>
  </si>
  <si>
    <t>Debt % Total Capital</t>
  </si>
  <si>
    <t>Risk Free Rate (%)</t>
  </si>
  <si>
    <t>Beta</t>
  </si>
  <si>
    <t>Risk Premium (%)</t>
  </si>
  <si>
    <t>Equity % Total Capital</t>
  </si>
  <si>
    <t>Cost of Equity</t>
  </si>
  <si>
    <t>WACC (%)</t>
  </si>
  <si>
    <t>2023 CFPS ($mm)</t>
  </si>
  <si>
    <t>Inventories</t>
  </si>
  <si>
    <t>Inventory Turns</t>
  </si>
  <si>
    <t>FCF Per Share ($/share)</t>
  </si>
  <si>
    <t>EV / Adjusted EBITDA (x)</t>
  </si>
  <si>
    <t>Capital Expenditure:</t>
  </si>
  <si>
    <t>Pension Obligations ($mm)</t>
  </si>
  <si>
    <t>Less: Dividend ($mm)</t>
  </si>
  <si>
    <t>Less: Share Buyback ($mm)</t>
  </si>
  <si>
    <t>Excess Free Cash Flow ($mm)</t>
  </si>
  <si>
    <t>CFO After WC ($mm)</t>
  </si>
  <si>
    <t>Depreciation Schedule:</t>
  </si>
  <si>
    <t>Gross PPE</t>
  </si>
  <si>
    <t>Accumulated Depreciation</t>
  </si>
  <si>
    <t>Net PPE ($mm)</t>
  </si>
  <si>
    <t>Beginning Gross PPE ($mm)</t>
  </si>
  <si>
    <t>Add Capex ($mm)</t>
  </si>
  <si>
    <t>Less: Retirement ($mm)</t>
  </si>
  <si>
    <t>Ending Gross PPE ($mm)</t>
  </si>
  <si>
    <t>Average Gross PPE ($mm)</t>
  </si>
  <si>
    <t>Depreciation Expense ($mm)</t>
  </si>
  <si>
    <t>Depreciation Life (years)</t>
  </si>
  <si>
    <t>Retirement (% of Beginning PPE)</t>
  </si>
  <si>
    <t>Less: Debt Payment ($mm)</t>
  </si>
  <si>
    <t>P/E Multiple</t>
  </si>
  <si>
    <t>Multiple</t>
  </si>
  <si>
    <t>Less: Investments ($mm)</t>
  </si>
  <si>
    <t>Expenses:</t>
  </si>
  <si>
    <t>Change YoY ($mm)</t>
  </si>
  <si>
    <t>Operating Expense ($mm)</t>
  </si>
  <si>
    <t>Operating Ratio (%)</t>
  </si>
  <si>
    <t>DCF at the end of 2024</t>
  </si>
  <si>
    <t>Other Current Liabilities</t>
  </si>
  <si>
    <t>MEAN</t>
  </si>
  <si>
    <t>1-2017</t>
  </si>
  <si>
    <t>1-2018</t>
  </si>
  <si>
    <t>2-2018</t>
  </si>
  <si>
    <t>3-2018</t>
  </si>
  <si>
    <t>4-2018</t>
  </si>
  <si>
    <t>2-2017</t>
  </si>
  <si>
    <t>3-2017</t>
  </si>
  <si>
    <t>4-2017</t>
  </si>
  <si>
    <t>1-2019</t>
  </si>
  <si>
    <t>2-2019</t>
  </si>
  <si>
    <t>3-2019</t>
  </si>
  <si>
    <t>4-2019</t>
  </si>
  <si>
    <t>1-2020</t>
  </si>
  <si>
    <t>2-2020</t>
  </si>
  <si>
    <t>3-2020</t>
  </si>
  <si>
    <t>4-2020</t>
  </si>
  <si>
    <t>1-2021</t>
  </si>
  <si>
    <t>2-2021</t>
  </si>
  <si>
    <t>3-2021</t>
  </si>
  <si>
    <t>4-2021</t>
  </si>
  <si>
    <t>Gross Margin ($mm)</t>
  </si>
  <si>
    <t>Change YoY (%)</t>
  </si>
  <si>
    <t>Growth ($mm)</t>
  </si>
  <si>
    <t>Q1 2022</t>
  </si>
  <si>
    <t>22Y</t>
  </si>
  <si>
    <t>23Y</t>
  </si>
  <si>
    <t>22Q1</t>
  </si>
  <si>
    <t>EPS</t>
  </si>
  <si>
    <t>Price</t>
  </si>
  <si>
    <t>IRR</t>
  </si>
  <si>
    <t>1-2022</t>
  </si>
  <si>
    <t>22Q2</t>
  </si>
  <si>
    <t>22Q3</t>
  </si>
  <si>
    <t>22Q4</t>
  </si>
  <si>
    <t>Q2 2022</t>
  </si>
  <si>
    <t>Q3 2022</t>
  </si>
  <si>
    <t>Q4 2022</t>
  </si>
  <si>
    <t>EV / FCF (x)</t>
  </si>
  <si>
    <t>2-2022</t>
  </si>
  <si>
    <t>KEX</t>
  </si>
  <si>
    <t>Term Loan Due 2024 ($mm)</t>
  </si>
  <si>
    <t>3.29% Senior Notes due Feb 2023 ($mm)</t>
  </si>
  <si>
    <t>4.2% Senior Notes due March 2028 ($mm)</t>
  </si>
  <si>
    <t>Others ($mm)</t>
  </si>
  <si>
    <t>SG&amp;A ($mm)</t>
  </si>
  <si>
    <t>24Y</t>
  </si>
  <si>
    <t>Expected FCF Yield to EV (%)</t>
  </si>
  <si>
    <t>23Q1</t>
  </si>
  <si>
    <t>Q1 2023</t>
  </si>
  <si>
    <t>23Q2</t>
  </si>
  <si>
    <t>23Q3</t>
  </si>
  <si>
    <t>23Q4</t>
  </si>
  <si>
    <t>Q2 2023</t>
  </si>
  <si>
    <t>Q3 2023</t>
  </si>
  <si>
    <t>Q4 2023</t>
  </si>
  <si>
    <t>25Y</t>
  </si>
  <si>
    <t>24Q1</t>
  </si>
  <si>
    <t>24Q2</t>
  </si>
  <si>
    <t>24Q3</t>
  </si>
  <si>
    <t>24Q4</t>
  </si>
  <si>
    <t>Q1 2024</t>
  </si>
  <si>
    <t>Q2 2024</t>
  </si>
  <si>
    <t>Q3 2024</t>
  </si>
  <si>
    <t>Q4 2024</t>
  </si>
  <si>
    <t>DCF at the end of 2025</t>
  </si>
  <si>
    <t>26Y</t>
  </si>
  <si>
    <t>Period</t>
  </si>
  <si>
    <t>FY</t>
  </si>
  <si>
    <t>Namespace</t>
  </si>
  <si>
    <t>SecurityID</t>
  </si>
  <si>
    <t>Full metric name in model</t>
  </si>
  <si>
    <t>Metric name in MW database</t>
  </si>
  <si>
    <t>AZAFAR</t>
  </si>
  <si>
    <t>Investment thesis</t>
  </si>
  <si>
    <t>THESIS</t>
  </si>
  <si>
    <t>SALES</t>
  </si>
  <si>
    <t>Company</t>
  </si>
  <si>
    <t>BBTicker</t>
  </si>
  <si>
    <t>Gross profit</t>
  </si>
  <si>
    <t>GP</t>
  </si>
  <si>
    <t>EBITDA</t>
  </si>
  <si>
    <t>Operating profit</t>
  </si>
  <si>
    <t>EBIT</t>
  </si>
  <si>
    <t>Adjusted operating profit</t>
  </si>
  <si>
    <t>AEBIT</t>
  </si>
  <si>
    <t>PBT</t>
  </si>
  <si>
    <t>PAT</t>
  </si>
  <si>
    <t>Diluted weighted average shares</t>
  </si>
  <si>
    <t>WAS</t>
  </si>
  <si>
    <t>Reported diluted EPS</t>
  </si>
  <si>
    <t>Adjusted diluted EPS</t>
  </si>
  <si>
    <t>AEPS</t>
  </si>
  <si>
    <t>Dividend per share</t>
  </si>
  <si>
    <t>DPS</t>
  </si>
  <si>
    <t>Free Cash Flow</t>
  </si>
  <si>
    <t>FCF</t>
  </si>
  <si>
    <t>Net debt including lease liabilities</t>
  </si>
  <si>
    <t>ND</t>
  </si>
  <si>
    <t>Net debt ex lease liabilities</t>
  </si>
  <si>
    <t>NDXL</t>
  </si>
  <si>
    <t>Shareholders' funds</t>
  </si>
  <si>
    <t>EQUITY</t>
  </si>
  <si>
    <t>M&amp;A sales growth</t>
  </si>
  <si>
    <t>MAG</t>
  </si>
  <si>
    <t>Organic sales growth</t>
  </si>
  <si>
    <t>OSG</t>
  </si>
  <si>
    <t>Adj gross profit</t>
  </si>
  <si>
    <t>GPA</t>
  </si>
  <si>
    <t>Share of adj assocs in EBIT</t>
  </si>
  <si>
    <t>JVEBIT</t>
  </si>
  <si>
    <t>Other income/expense in EBIT</t>
  </si>
  <si>
    <t>OTHEREBIT</t>
  </si>
  <si>
    <t>Total one-offs in EBIT</t>
  </si>
  <si>
    <t>EXINEBIT</t>
  </si>
  <si>
    <t>Net interest on debt</t>
  </si>
  <si>
    <t>NINT</t>
  </si>
  <si>
    <t>Net finance charge</t>
  </si>
  <si>
    <t>NFC</t>
  </si>
  <si>
    <t>Share of adj assocs below EBIT</t>
  </si>
  <si>
    <t>JVPBTA</t>
  </si>
  <si>
    <t>Other income/expense below EBIT</t>
  </si>
  <si>
    <t>OTHERPBT</t>
  </si>
  <si>
    <t>Other one-offs below EBIT</t>
  </si>
  <si>
    <t>EXINPBT</t>
  </si>
  <si>
    <t>Adj PBTA</t>
  </si>
  <si>
    <t>PBTA</t>
  </si>
  <si>
    <t>Share of adj assocs below PBT</t>
  </si>
  <si>
    <t>JVPAT</t>
  </si>
  <si>
    <t>Share of adj PAT to minorities</t>
  </si>
  <si>
    <t>MIN</t>
  </si>
  <si>
    <t>Adj PAT</t>
  </si>
  <si>
    <t>Reported PAT</t>
  </si>
  <si>
    <t>RPAT</t>
  </si>
  <si>
    <t>Net capex</t>
  </si>
  <si>
    <t>CAPEX</t>
  </si>
  <si>
    <t>Change in WC</t>
  </si>
  <si>
    <t>DWC</t>
  </si>
  <si>
    <t>New capitalised leases</t>
  </si>
  <si>
    <t>CFLEASE</t>
  </si>
  <si>
    <t>Acquisitions</t>
  </si>
  <si>
    <t>ACQS</t>
  </si>
  <si>
    <t>Disposals</t>
  </si>
  <si>
    <t>DISP</t>
  </si>
  <si>
    <t>Dividends paid</t>
  </si>
  <si>
    <t>DIVP</t>
  </si>
  <si>
    <t>Net equity issues/buy-backs</t>
  </si>
  <si>
    <t>SBB</t>
  </si>
  <si>
    <t>Property, plant and equipment</t>
  </si>
  <si>
    <t>PPE</t>
  </si>
  <si>
    <t>Intangible fixed assets</t>
  </si>
  <si>
    <t>INTANGIBLES</t>
  </si>
  <si>
    <t>Operating net working capital</t>
  </si>
  <si>
    <t>OWC</t>
  </si>
  <si>
    <t>Invested capital</t>
  </si>
  <si>
    <t>IC</t>
  </si>
  <si>
    <t>OD</t>
  </si>
  <si>
    <t>CFO</t>
  </si>
  <si>
    <t>ADJEBITDA</t>
  </si>
  <si>
    <t>CFPS</t>
  </si>
  <si>
    <t>Dividend</t>
  </si>
  <si>
    <t>Oratioo</t>
  </si>
  <si>
    <t>Intermodal</t>
  </si>
  <si>
    <t>Coal</t>
  </si>
  <si>
    <t>Grains</t>
  </si>
  <si>
    <t>MM</t>
  </si>
  <si>
    <t>Auto</t>
  </si>
  <si>
    <t>Chemicals</t>
  </si>
  <si>
    <t>Volumes</t>
  </si>
  <si>
    <t>Pricing</t>
  </si>
  <si>
    <t>Implied EBITDA Multiple (x)</t>
  </si>
  <si>
    <t>Uploaded 244/244 values at 12/18/2024, 1:44:13 PM</t>
  </si>
  <si>
    <t>Construction Industries</t>
  </si>
  <si>
    <t>Energy &amp; Transportation</t>
  </si>
  <si>
    <t>NA</t>
  </si>
  <si>
    <t>LATAM</t>
  </si>
  <si>
    <t>EAME</t>
  </si>
  <si>
    <t>APAC</t>
  </si>
  <si>
    <t>Intersegment</t>
  </si>
  <si>
    <t>Check</t>
  </si>
  <si>
    <t>Revenue Buildup:</t>
  </si>
  <si>
    <t>Regional Revenue Growth YoY (%)</t>
  </si>
  <si>
    <t>Total Growth Rate</t>
  </si>
  <si>
    <t>Regional Revenue Mix (%)</t>
  </si>
  <si>
    <t>Total Mix</t>
  </si>
  <si>
    <t>Revenue by Application</t>
  </si>
  <si>
    <t>Oil and Gas</t>
  </si>
  <si>
    <t>Power Generation</t>
  </si>
  <si>
    <t>Industrial</t>
  </si>
  <si>
    <t>Transportation</t>
  </si>
  <si>
    <t>Application Revenue Growth YoY (%)</t>
  </si>
  <si>
    <t>Application Revenue Mix (%)</t>
  </si>
  <si>
    <t>Cost of Goods Sold ($mm)</t>
  </si>
  <si>
    <t>R&amp;D Expenses ($mm)</t>
  </si>
  <si>
    <t>Interest expense of Financial Products ($mm)</t>
  </si>
  <si>
    <t>Goodwill impairment charge ($mm)</t>
  </si>
  <si>
    <t>Other operating (income) expenses ($mm)</t>
  </si>
  <si>
    <t>ME&amp;T</t>
  </si>
  <si>
    <t>Financial Products</t>
  </si>
  <si>
    <t>a</t>
  </si>
  <si>
    <t>b</t>
  </si>
  <si>
    <t>c</t>
  </si>
  <si>
    <t>Resource Industries</t>
  </si>
  <si>
    <t>ME&amp;T Segment Summary</t>
  </si>
  <si>
    <t>Reported D&amp;A</t>
  </si>
  <si>
    <t>Financial Products Segment Summary</t>
  </si>
  <si>
    <t>3-2022</t>
  </si>
  <si>
    <t>4-2022</t>
  </si>
  <si>
    <t>1-2023</t>
  </si>
  <si>
    <t>2-2023</t>
  </si>
  <si>
    <t>3-2023</t>
  </si>
  <si>
    <t>4-2023</t>
  </si>
  <si>
    <t>1-2024</t>
  </si>
  <si>
    <t>2-2024</t>
  </si>
  <si>
    <t>3-2024</t>
  </si>
  <si>
    <t>All other, Corporate, &amp; Eliminations</t>
  </si>
  <si>
    <t>Total Margin (%)</t>
  </si>
  <si>
    <t>Intersegment Eliminations</t>
  </si>
  <si>
    <t>Overhead Costs</t>
  </si>
  <si>
    <t>CAT US EQUITY</t>
  </si>
  <si>
    <t>(+) D&amp;A</t>
  </si>
  <si>
    <t>Other Income (expense)</t>
  </si>
  <si>
    <t>Net Interest Expense</t>
  </si>
  <si>
    <t>Account Receivable - Trade &amp; other</t>
  </si>
  <si>
    <t>Account Receivable - Finance</t>
  </si>
  <si>
    <t>LT Receivables - Trade &amp; Other</t>
  </si>
  <si>
    <t>LT Receivables - Finance</t>
  </si>
  <si>
    <t>Prepaid expenses &amp; Other Current Assets</t>
  </si>
  <si>
    <t>Intangible Assets &amp; Goodwill</t>
  </si>
  <si>
    <t>ST Borrowings - Financial Products</t>
  </si>
  <si>
    <t>Accounts Payable</t>
  </si>
  <si>
    <t>Accrued Wages/Salaries/Employee Benefits</t>
  </si>
  <si>
    <t>Customer Advances</t>
  </si>
  <si>
    <t>Dividends Payable</t>
  </si>
  <si>
    <t>Current Portion of LT Debt</t>
  </si>
  <si>
    <t>Pension Obligations</t>
  </si>
  <si>
    <t>LT Debt</t>
  </si>
  <si>
    <t>Other Noncurrent Liabilities</t>
  </si>
  <si>
    <t>Common stock</t>
  </si>
  <si>
    <t>Treasury stock</t>
  </si>
  <si>
    <t>Profit Employed in the Business</t>
  </si>
  <si>
    <t>Accumulated Other Comprehensive Income</t>
  </si>
  <si>
    <t>Noncontrolling Interests</t>
  </si>
  <si>
    <t>B/S Check</t>
  </si>
  <si>
    <t>Net Working Capital</t>
  </si>
  <si>
    <t>(Gain) Loss on Divestment</t>
  </si>
  <si>
    <t>Accrued Wages, Salaries, and Benefits</t>
  </si>
  <si>
    <t>Other Assets-- Net</t>
  </si>
  <si>
    <t>Other Liabilites -- Net</t>
  </si>
  <si>
    <t>Plug</t>
  </si>
  <si>
    <t>Interest Expense</t>
  </si>
  <si>
    <t>Other Income/Expenses from I/S</t>
  </si>
  <si>
    <t>Equity Income of Investments</t>
  </si>
  <si>
    <t>Net Gain on Pension</t>
  </si>
  <si>
    <t>Goodwill Impairment</t>
  </si>
  <si>
    <t>Capital expenditures - excluding equipment leased to others</t>
  </si>
  <si>
    <t>Expenditures for equipment leased to others</t>
  </si>
  <si>
    <t>Proceeds from disposals of leased assets and property, plant and equipment</t>
  </si>
  <si>
    <t>Additions to finance receivables</t>
  </si>
  <si>
    <t>Collections of finance receivables</t>
  </si>
  <si>
    <t>Proceeds from sale of finance receivables</t>
  </si>
  <si>
    <t>Investments and acquisitions (net of cash acquired)</t>
  </si>
  <si>
    <t>Proceeds from sale of businesses and investments (net of cash sold)</t>
  </si>
  <si>
    <t>Proceeds from sale of securities</t>
  </si>
  <si>
    <t>Investments in securities</t>
  </si>
  <si>
    <t>Other - net</t>
  </si>
  <si>
    <t>Net cash provided by (used for) investing activities</t>
  </si>
  <si>
    <t>Expenditures for Equipment Leased to Others</t>
  </si>
  <si>
    <t>Proceeds from sale of lease assets and PP&amp;E</t>
  </si>
  <si>
    <t>Investments and acquisitions</t>
  </si>
  <si>
    <t xml:space="preserve">Proceeds from sale of businesses </t>
  </si>
  <si>
    <t>Common stock issued, including treasury shares reissued</t>
  </si>
  <si>
    <t>Common shares repurchased</t>
  </si>
  <si>
    <t>Change in ME&amp;T Debt</t>
  </si>
  <si>
    <t>Change in Financial Products Debt</t>
  </si>
  <si>
    <t>Change in ST Debt</t>
  </si>
  <si>
    <t>Total Change in Debt</t>
  </si>
  <si>
    <t>Other (Including Distributions to NCI)</t>
  </si>
  <si>
    <t>Common stock issued</t>
  </si>
  <si>
    <t>Net Buybacks</t>
  </si>
  <si>
    <t>Cashflow Statement Check</t>
  </si>
  <si>
    <t>Other RX</t>
  </si>
  <si>
    <t>RX - Divestment Related</t>
  </si>
  <si>
    <t>Pension M2M</t>
  </si>
  <si>
    <t>Mgmt. Defined Adjustments</t>
  </si>
  <si>
    <t>Adj. EBIT ($mm)</t>
  </si>
  <si>
    <t>Adj. EBIT Margin (%)</t>
  </si>
  <si>
    <t>RX/ Gains/ Impairment Adjustments</t>
  </si>
  <si>
    <t>Net Income to Shareholder ($mm)</t>
  </si>
  <si>
    <t>Source</t>
  </si>
  <si>
    <t>Cash and short-term investments and restricted cash at end of period</t>
  </si>
  <si>
    <t>Cash and short-term investments and restricted cash at beginning of period</t>
  </si>
  <si>
    <t>Increase (decrease) in cash and short-term investments and restricted cash</t>
  </si>
  <si>
    <t>Effect of exchange rate changes on cash</t>
  </si>
  <si>
    <t>Net cash provided by (used for) financing activities</t>
  </si>
  <si>
    <t>Machinery, Energy &amp; Transportation</t>
  </si>
  <si>
    <t>Payments on debt (original maturities greater than three months):</t>
  </si>
  <si>
    <t>Proceeds from debt issued (original maturities greater than three months):</t>
  </si>
  <si>
    <t>Cash flow from financing activities:</t>
  </si>
  <si>
    <t>Cash flow from investing activities:</t>
  </si>
  <si>
    <t>Net cash provided by (used for) operating activities</t>
  </si>
  <si>
    <t>Other liabilities - net</t>
  </si>
  <si>
    <t>Other assets - net</t>
  </si>
  <si>
    <t>Customer advances</t>
  </si>
  <si>
    <t>Accrued wages, salaries and employee benefits</t>
  </si>
  <si>
    <t>Accrued expenses</t>
  </si>
  <si>
    <t>Receivables - trade and other</t>
  </si>
  <si>
    <t>Changes in assets and liabilities, net of acquisitions and divestitures:</t>
  </si>
  <si>
    <t>Goodwill impairment charge</t>
  </si>
  <si>
    <t>Loss on divestiture</t>
  </si>
  <si>
    <t>Net gain on remeasurement of pension obligations</t>
  </si>
  <si>
    <t>Depreciation and amortization</t>
  </si>
  <si>
    <t>Adjustments to reconcile profit to net cash provided by operating activities:</t>
  </si>
  <si>
    <t>Adjustments for non-cash items:</t>
  </si>
  <si>
    <t>Profit of consolidated and affiliated companies</t>
  </si>
  <si>
    <t>Cash flow from operating activities:</t>
  </si>
  <si>
    <t>Nine Months Ended September 30,</t>
  </si>
  <si>
    <t>Six Months Ended June 30,</t>
  </si>
  <si>
    <t>Three Months Ended March 31,</t>
  </si>
  <si>
    <t>Six Months Ended June 30</t>
  </si>
  <si>
    <t>Three Months Ended March 31</t>
  </si>
  <si>
    <t>Nine Months Ended September 30</t>
  </si>
  <si>
    <t>EBIT Growth (%)</t>
  </si>
  <si>
    <t>Add: Equity Income of Investments</t>
  </si>
  <si>
    <t>Add: Other Income from I/S</t>
  </si>
  <si>
    <t>Add: Other</t>
  </si>
  <si>
    <t>Add: WC Changes</t>
  </si>
  <si>
    <t>Add: Plug (Differences in WC Calcs vs. Reported)</t>
  </si>
  <si>
    <t>Less: Net Organic Capex ($mm)</t>
  </si>
  <si>
    <t>Recurring Free Cash Flow ($mm)</t>
  </si>
  <si>
    <t>NCI</t>
  </si>
  <si>
    <t>Adj. P / E (x)</t>
  </si>
  <si>
    <t>LT/ Stabilized</t>
  </si>
  <si>
    <t>USA Housing Slowdown + EMEA improving + LATAM Eroding + China Deteriorating</t>
  </si>
  <si>
    <t>Slight slowdown globally &amp; ramp back to LT rate on mining tailwind</t>
  </si>
  <si>
    <t>4-2024</t>
  </si>
  <si>
    <t>1-2025</t>
  </si>
  <si>
    <t>Data Center Boom first in USA then in EAME/APAC before stabilizing at a higher rate than other segments</t>
  </si>
  <si>
    <t>Incremental Margin (%)</t>
  </si>
  <si>
    <t>Capacity Expansion CAPEX</t>
  </si>
  <si>
    <t>Less: Income Tax ($mm)</t>
  </si>
  <si>
    <t>Tax % of EBT</t>
  </si>
  <si>
    <t>Provision (Benefit) for Deferred Income Tax</t>
  </si>
  <si>
    <t>Corp Expenses % of Sales</t>
  </si>
  <si>
    <t>Tax Paid</t>
  </si>
  <si>
    <t>Deferred Tax Valuation Allowance Adj.</t>
  </si>
  <si>
    <t>Provision (Benefit) for Income Tax</t>
  </si>
  <si>
    <t>US Tax Reform Impact</t>
  </si>
  <si>
    <t>Less: Cash Tax ($mm)</t>
  </si>
  <si>
    <t>Tax Rate (%)</t>
  </si>
  <si>
    <t>After Tax Cost of Debt (%)</t>
  </si>
  <si>
    <t>Provision (benefit) for deferred income taxes</t>
  </si>
  <si>
    <t>Noncurrent Deferred/Refundable Income Tax</t>
  </si>
  <si>
    <t>Accounting Book Tax</t>
  </si>
  <si>
    <t>Pre-tax profit</t>
  </si>
  <si>
    <t>Post-tax profit</t>
  </si>
  <si>
    <t>Adj tax</t>
  </si>
  <si>
    <t>Tax</t>
  </si>
  <si>
    <t>AR ST Trade &amp; Other Days</t>
  </si>
  <si>
    <t>AR LT Trade &amp; Other Days</t>
  </si>
  <si>
    <t>Accounts Payable Days</t>
  </si>
  <si>
    <t>Accrued Wages % of Revenue</t>
  </si>
  <si>
    <t>Customer Advances % of Revenue</t>
  </si>
  <si>
    <t>Other Assets % of Revenue</t>
  </si>
  <si>
    <t>Other Liabilites % of Revenue</t>
  </si>
  <si>
    <t>Add/Less: Gains/Losses/Impairments</t>
  </si>
  <si>
    <t>ME&amp;T Only Debt</t>
  </si>
  <si>
    <t>ST Debt</t>
  </si>
  <si>
    <t>Total Debt</t>
  </si>
  <si>
    <t>7.9% due 2018</t>
  </si>
  <si>
    <t>9.375% due 2021</t>
  </si>
  <si>
    <t>2.6% due 2022</t>
  </si>
  <si>
    <t>8.000% due 2023</t>
  </si>
  <si>
    <t>6.625% due 2028</t>
  </si>
  <si>
    <t>7.300% due 2031</t>
  </si>
  <si>
    <t>5.300% due 2035</t>
  </si>
  <si>
    <t>6.05% due 2036</t>
  </si>
  <si>
    <t>8.25% due 2038</t>
  </si>
  <si>
    <t>6.950% due 2042</t>
  </si>
  <si>
    <t>3.803% due 2042</t>
  </si>
  <si>
    <t>7.375% due 2097</t>
  </si>
  <si>
    <t>3.90% due 2021</t>
  </si>
  <si>
    <t>5.20% due 2041</t>
  </si>
  <si>
    <t>Capital Lease</t>
  </si>
  <si>
    <t>3.4% due 2024</t>
  </si>
  <si>
    <t>4.3% due 2044</t>
  </si>
  <si>
    <t>4.75% due 2064</t>
  </si>
  <si>
    <t>2.6% due 2029</t>
  </si>
  <si>
    <t>3.25% due 2049</t>
  </si>
  <si>
    <t>2.6% due 2030</t>
  </si>
  <si>
    <t>3.25% due 2050</t>
  </si>
  <si>
    <t>1.9% due 2031</t>
  </si>
  <si>
    <t>0.4% due 2012</t>
  </si>
  <si>
    <t>0.37% due 2013</t>
  </si>
  <si>
    <t>1.38% due 2014</t>
  </si>
  <si>
    <t>LT Debt itemized</t>
  </si>
  <si>
    <t>B/S Debt</t>
  </si>
  <si>
    <t>Avg Interest Rate Reported</t>
  </si>
  <si>
    <t>Avg Interest Rate Calculated</t>
  </si>
  <si>
    <t>% of Shares</t>
  </si>
  <si>
    <t>(-) CAPEX</t>
  </si>
  <si>
    <t>(-) Dividend</t>
  </si>
  <si>
    <t>Excess FCF</t>
  </si>
  <si>
    <t>(-) Change in Debt</t>
  </si>
  <si>
    <t>Buybacks % of FCF</t>
  </si>
  <si>
    <t>Total Shareholder Return</t>
  </si>
  <si>
    <t>% of FCF</t>
  </si>
  <si>
    <t>Cumulative Buybacks</t>
  </si>
  <si>
    <t>Projected Revenue</t>
  </si>
  <si>
    <t>Projected EBIT</t>
  </si>
  <si>
    <t>Tami</t>
  </si>
  <si>
    <t>Incremental Margin</t>
  </si>
  <si>
    <t>EBIT Margin %</t>
  </si>
  <si>
    <t>RV</t>
  </si>
  <si>
    <t>Revenue Growth %</t>
  </si>
  <si>
    <t>Delta Revenue</t>
  </si>
  <si>
    <t>Delta EBIT</t>
  </si>
  <si>
    <t>Delta Incremental Margin</t>
  </si>
  <si>
    <t>E&amp;T</t>
  </si>
  <si>
    <t>Steve (uses External Sales)</t>
  </si>
  <si>
    <t>Basically my model is running a more delayed construction/resource recovery than street. i.e. I have a rebound in 2026 whereas street is assuming 2H25 recovery</t>
  </si>
  <si>
    <t>I am more aggressive on 1) Ramp in data center generators (capacity expansion planned -- need to estimate the precise CAPEX and capacity output and dollar impact but the company is televising it as huge) 2) Operating leverage and margin ramp based on scaling the E&amp;T business more</t>
  </si>
  <si>
    <t>Asset Sale / M&amp;A ($mm) (For Reference)</t>
  </si>
  <si>
    <t>FCF Including M&amp;A Costs ($mm)</t>
  </si>
  <si>
    <t>Change in NWC Sequentially ($mm)</t>
  </si>
  <si>
    <t>CAPEX Expected ~$2bn for 2024 full year</t>
  </si>
  <si>
    <t>Approx. $2bn for FY24</t>
  </si>
  <si>
    <t>Expect Adj EBIT Margin modestly higher in 4Q24 than 4Q23 but below 3Q24 due to seasonality</t>
  </si>
  <si>
    <t>Expect 4Q 2024 sales and revenues to be slightly lower compared to 4Q 2023</t>
  </si>
  <si>
    <t>CAT US</t>
  </si>
  <si>
    <t>TO Fix this sheet --&gt; TEV does it include Finco? Likely need to edit it out of debt assuming street does not count it.</t>
  </si>
  <si>
    <t>Exclude Finco Debt for comparability purposes? This has total B/S Debt for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</si>
</sst>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0.0%"/>
    <numFmt numFmtId="166" formatCode="#,##0.000_);\(#,##0.000\)"/>
    <numFmt numFmtId="167" formatCode="0.000%"/>
    <numFmt numFmtId="168" formatCode="_(\$* #,##0_);_(\$* \(#,##0\);_(\$* &quot;-&quot;_);_(@_)"/>
    <numFmt numFmtId="169" formatCode="_(#,##0_);_(\(#,##0\);_(&quot;-&quot;_);_(@_)"/>
    <numFmt numFmtId="170" formatCode="_(* #,##0_);_(* \(#,##0\);_(* &quot;-&quot;??_);_(@_)"/>
    <numFmt numFmtId="171" formatCode="_(0_);_(\(0\);_(&quot;-&quot;_);@_)"/>
    <numFmt numFmtId="172" formatCode="yyyy\-mm\-dd"/>
    <numFmt numFmtId="173" formatCode="_(* #,##0.0_);_(* \(#,##0.0\);_(* &quot;-&quot;??_);_(@_)"/>
  </numFmts>
  <fonts count="5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u/>
      <sz val="10"/>
      <color theme="1"/>
      <name val="Calibri"/>
      <family val="2"/>
      <scheme val="minor"/>
    </font>
    <font>
      <sz val="9"/>
      <name val="Helv"/>
    </font>
    <font>
      <i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4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4"/>
      <name val="Calibri"/>
      <family val="2"/>
      <scheme val="minor"/>
    </font>
    <font>
      <sz val="1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9"/>
      <color theme="4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10"/>
      <name val="Calibri"/>
      <family val="2"/>
      <scheme val="minor"/>
    </font>
    <font>
      <u/>
      <sz val="10"/>
      <color theme="4"/>
      <name val="Calibri"/>
      <family val="2"/>
      <scheme val="minor"/>
    </font>
    <font>
      <b/>
      <sz val="10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8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8"/>
      <color theme="4"/>
      <name val="Calibri"/>
      <family val="2"/>
      <scheme val="minor"/>
    </font>
    <font>
      <i/>
      <u/>
      <sz val="8"/>
      <color theme="1"/>
      <name val="Calibri"/>
      <family val="2"/>
      <scheme val="minor"/>
    </font>
    <font>
      <i/>
      <sz val="10"/>
      <color rgb="FF00B05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i/>
      <sz val="10"/>
      <color rgb="FF0070C0"/>
      <name val="Calibri"/>
      <family val="2"/>
      <scheme val="minor"/>
    </font>
    <font>
      <sz val="10"/>
      <color rgb="FF00B050"/>
      <name val="Calibri"/>
      <family val="2"/>
      <scheme val="minor"/>
    </font>
    <font>
      <sz val="11"/>
      <name val="Calibri"/>
      <family val="2"/>
    </font>
    <font>
      <b/>
      <sz val="10"/>
      <color rgb="FF0070C0"/>
      <name val="Calibri"/>
      <family val="2"/>
      <scheme val="minor"/>
    </font>
    <font>
      <b/>
      <u/>
      <sz val="11"/>
      <color rgb="FF0000FF"/>
      <name val="Calibri"/>
      <family val="2"/>
    </font>
    <font>
      <b/>
      <sz val="11"/>
      <name val="Calibri"/>
      <family val="2"/>
    </font>
    <font>
      <b/>
      <sz val="10"/>
      <color rgb="FF00B050"/>
      <name val="Calibri"/>
      <family val="2"/>
      <scheme val="minor"/>
    </font>
    <font>
      <b/>
      <i/>
      <sz val="10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indexed="8"/>
      <name val="Arial Narrow"/>
      <family val="2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9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Dashed">
        <color auto="1"/>
      </right>
      <top/>
      <bottom/>
      <diagonal/>
    </border>
    <border>
      <left/>
      <right style="mediumDashed">
        <color auto="1"/>
      </right>
      <top/>
      <bottom style="medium">
        <color auto="1"/>
      </bottom>
      <diagonal/>
    </border>
    <border>
      <left/>
      <right style="mediumDashed">
        <color auto="1"/>
      </right>
      <top style="thin">
        <color auto="1"/>
      </top>
      <bottom/>
      <diagonal/>
    </border>
    <border>
      <left style="thin">
        <color auto="1"/>
      </left>
      <right style="mediumDashed">
        <color auto="1"/>
      </right>
      <top style="thin">
        <color auto="1"/>
      </top>
      <bottom style="thin">
        <color auto="1"/>
      </bottom>
      <diagonal/>
    </border>
    <border>
      <left/>
      <right style="mediumDashed">
        <color auto="1"/>
      </right>
      <top style="thin">
        <color auto="1"/>
      </top>
      <bottom style="thin">
        <color auto="1"/>
      </bottom>
      <diagonal/>
    </border>
    <border>
      <left style="mediumDashed">
        <color auto="1"/>
      </left>
      <right style="mediumDashed">
        <color auto="1"/>
      </right>
      <top/>
      <bottom/>
      <diagonal/>
    </border>
    <border>
      <left/>
      <right/>
      <top style="mediumDashed">
        <color auto="1"/>
      </top>
      <bottom/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 style="mediumDashed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Dashed">
        <color auto="1"/>
      </left>
      <right style="mediumDashed">
        <color auto="1"/>
      </right>
      <top style="medium">
        <color auto="1"/>
      </top>
      <bottom/>
      <diagonal/>
    </border>
    <border>
      <left style="mediumDashed">
        <color auto="1"/>
      </left>
      <right style="mediumDashed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 style="medium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Dashed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Dashed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 style="medium">
        <color auto="1"/>
      </bottom>
      <diagonal/>
    </border>
    <border>
      <left/>
      <right style="thick">
        <color auto="1"/>
      </right>
      <top style="mediumDashed">
        <color auto="1"/>
      </top>
      <bottom/>
      <diagonal/>
    </border>
    <border>
      <left/>
      <right style="thick">
        <color auto="1"/>
      </right>
      <top/>
      <bottom style="mediumDashed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Dashed">
        <color auto="1"/>
      </left>
      <right/>
      <top/>
      <bottom style="thin">
        <color auto="1"/>
      </bottom>
      <diagonal/>
    </border>
    <border>
      <left style="mediumDashed">
        <color auto="1"/>
      </left>
      <right/>
      <top style="thin">
        <color auto="1"/>
      </top>
      <bottom style="thin">
        <color auto="1"/>
      </bottom>
      <diagonal/>
    </border>
    <border>
      <left style="mediumDashed">
        <color auto="1"/>
      </left>
      <right/>
      <top style="thin">
        <color auto="1"/>
      </top>
      <bottom/>
      <diagonal/>
    </border>
    <border>
      <left style="mediumDashed">
        <color auto="1"/>
      </left>
      <right style="thin">
        <color auto="1"/>
      </right>
      <top style="thin">
        <color auto="1"/>
      </top>
      <bottom/>
      <diagonal/>
    </border>
    <border>
      <left style="mediumDash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Dashed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Dashed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3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4" fontId="28" fillId="0" borderId="0" applyFont="0" applyFill="0" applyBorder="0" applyAlignment="0" applyProtection="0"/>
  </cellStyleXfs>
  <cellXfs count="67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39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65" fontId="4" fillId="2" borderId="2" xfId="0" applyNumberFormat="1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4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6" fillId="0" borderId="4" xfId="0" applyFont="1" applyBorder="1" applyAlignment="1">
      <alignment vertical="center"/>
    </xf>
    <xf numFmtId="164" fontId="6" fillId="0" borderId="4" xfId="0" applyNumberFormat="1" applyFont="1" applyBorder="1" applyAlignment="1">
      <alignment vertical="center"/>
    </xf>
    <xf numFmtId="166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0" fontId="4" fillId="0" borderId="0" xfId="0" applyNumberFormat="1" applyFont="1" applyAlignment="1">
      <alignment vertical="center"/>
    </xf>
    <xf numFmtId="0" fontId="1" fillId="0" borderId="5" xfId="0" applyFont="1" applyBorder="1" applyAlignment="1">
      <alignment vertical="center"/>
    </xf>
    <xf numFmtId="37" fontId="1" fillId="0" borderId="0" xfId="0" applyNumberFormat="1" applyFont="1" applyAlignment="1">
      <alignment vertical="center"/>
    </xf>
    <xf numFmtId="37" fontId="1" fillId="0" borderId="5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39" fontId="4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165" fontId="8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164" fontId="8" fillId="0" borderId="4" xfId="0" applyNumberFormat="1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4" fontId="12" fillId="0" borderId="4" xfId="0" applyNumberFormat="1" applyFont="1" applyBorder="1" applyAlignment="1">
      <alignment vertical="center"/>
    </xf>
    <xf numFmtId="164" fontId="7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39" fontId="10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6" fontId="1" fillId="0" borderId="4" xfId="0" applyNumberFormat="1" applyFont="1" applyBorder="1" applyAlignment="1">
      <alignment vertical="center"/>
    </xf>
    <xf numFmtId="37" fontId="1" fillId="0" borderId="4" xfId="0" applyNumberFormat="1" applyFont="1" applyBorder="1" applyAlignment="1">
      <alignment vertical="center"/>
    </xf>
    <xf numFmtId="37" fontId="6" fillId="0" borderId="1" xfId="0" applyNumberFormat="1" applyFont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164" fontId="1" fillId="3" borderId="6" xfId="0" applyNumberFormat="1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0" fontId="1" fillId="3" borderId="7" xfId="0" applyFont="1" applyFill="1" applyBorder="1" applyAlignment="1">
      <alignment vertical="center"/>
    </xf>
    <xf numFmtId="165" fontId="1" fillId="3" borderId="7" xfId="0" applyNumberFormat="1" applyFont="1" applyFill="1" applyBorder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 indent="1"/>
    </xf>
    <xf numFmtId="165" fontId="13" fillId="0" borderId="0" xfId="0" applyNumberFormat="1" applyFont="1" applyAlignment="1">
      <alignment vertical="center"/>
    </xf>
    <xf numFmtId="9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64" fontId="1" fillId="0" borderId="13" xfId="0" applyNumberFormat="1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39" fontId="1" fillId="0" borderId="14" xfId="0" applyNumberFormat="1" applyFont="1" applyBorder="1" applyAlignment="1">
      <alignment vertical="center"/>
    </xf>
    <xf numFmtId="39" fontId="1" fillId="0" borderId="15" xfId="0" applyNumberFormat="1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164" fontId="1" fillId="0" borderId="16" xfId="0" applyNumberFormat="1" applyFont="1" applyBorder="1" applyAlignment="1">
      <alignment vertical="center"/>
    </xf>
    <xf numFmtId="164" fontId="1" fillId="0" borderId="17" xfId="0" applyNumberFormat="1" applyFont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65" fontId="4" fillId="0" borderId="0" xfId="0" applyNumberFormat="1" applyFont="1" applyAlignment="1">
      <alignment horizontal="right" vertical="center"/>
    </xf>
    <xf numFmtId="39" fontId="1" fillId="2" borderId="2" xfId="0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165" fontId="13" fillId="0" borderId="13" xfId="0" applyNumberFormat="1" applyFont="1" applyBorder="1" applyAlignment="1">
      <alignment vertical="center"/>
    </xf>
    <xf numFmtId="37" fontId="1" fillId="0" borderId="0" xfId="0" applyNumberFormat="1" applyFont="1" applyAlignment="1">
      <alignment horizontal="right" vertical="center"/>
    </xf>
    <xf numFmtId="37" fontId="1" fillId="0" borderId="1" xfId="0" applyNumberFormat="1" applyFont="1" applyBorder="1" applyAlignment="1">
      <alignment vertical="center"/>
    </xf>
    <xf numFmtId="37" fontId="6" fillId="0" borderId="1" xfId="0" applyNumberFormat="1" applyFont="1" applyBorder="1" applyAlignment="1">
      <alignment horizontal="right" vertical="center"/>
    </xf>
    <xf numFmtId="37" fontId="8" fillId="0" borderId="0" xfId="0" applyNumberFormat="1" applyFont="1" applyAlignment="1">
      <alignment vertical="center"/>
    </xf>
    <xf numFmtId="37" fontId="14" fillId="0" borderId="0" xfId="0" applyNumberFormat="1" applyFont="1" applyAlignment="1">
      <alignment vertical="center"/>
    </xf>
    <xf numFmtId="37" fontId="6" fillId="0" borderId="0" xfId="0" applyNumberFormat="1" applyFont="1" applyAlignment="1">
      <alignment vertical="center"/>
    </xf>
    <xf numFmtId="37" fontId="6" fillId="0" borderId="4" xfId="0" applyNumberFormat="1" applyFont="1" applyBorder="1" applyAlignment="1">
      <alignment vertical="center"/>
    </xf>
    <xf numFmtId="37" fontId="7" fillId="0" borderId="0" xfId="0" applyNumberFormat="1" applyFont="1" applyAlignment="1">
      <alignment vertical="center"/>
    </xf>
    <xf numFmtId="37" fontId="7" fillId="0" borderId="4" xfId="0" applyNumberFormat="1" applyFont="1" applyBorder="1" applyAlignment="1">
      <alignment vertical="center"/>
    </xf>
    <xf numFmtId="37" fontId="7" fillId="0" borderId="1" xfId="0" applyNumberFormat="1" applyFont="1" applyBorder="1" applyAlignment="1">
      <alignment vertical="center"/>
    </xf>
    <xf numFmtId="37" fontId="6" fillId="3" borderId="1" xfId="0" applyNumberFormat="1" applyFont="1" applyFill="1" applyBorder="1" applyAlignment="1">
      <alignment vertical="center"/>
    </xf>
    <xf numFmtId="0" fontId="15" fillId="2" borderId="2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8" xfId="0" applyFont="1" applyBorder="1" applyAlignment="1">
      <alignment horizontal="right" vertical="center"/>
    </xf>
    <xf numFmtId="0" fontId="16" fillId="0" borderId="4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167" fontId="16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4" fontId="16" fillId="0" borderId="4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166" fontId="16" fillId="0" borderId="8" xfId="0" applyNumberFormat="1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164" fontId="16" fillId="0" borderId="1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37" fontId="16" fillId="0" borderId="0" xfId="0" applyNumberFormat="1" applyFont="1" applyAlignment="1">
      <alignment horizontal="center" vertical="center"/>
    </xf>
    <xf numFmtId="39" fontId="16" fillId="0" borderId="0" xfId="0" applyNumberFormat="1" applyFont="1" applyAlignment="1">
      <alignment horizontal="center" vertical="center"/>
    </xf>
    <xf numFmtId="37" fontId="17" fillId="0" borderId="10" xfId="0" applyNumberFormat="1" applyFont="1" applyBorder="1" applyAlignment="1">
      <alignment vertical="center"/>
    </xf>
    <xf numFmtId="37" fontId="17" fillId="0" borderId="12" xfId="0" applyNumberFormat="1" applyFont="1" applyBorder="1" applyAlignment="1">
      <alignment vertical="center"/>
    </xf>
    <xf numFmtId="37" fontId="12" fillId="0" borderId="0" xfId="0" applyNumberFormat="1" applyFont="1" applyAlignment="1">
      <alignment vertical="center"/>
    </xf>
    <xf numFmtId="37" fontId="12" fillId="0" borderId="4" xfId="0" applyNumberFormat="1" applyFont="1" applyBorder="1" applyAlignment="1">
      <alignment vertical="center"/>
    </xf>
    <xf numFmtId="165" fontId="1" fillId="0" borderId="4" xfId="0" applyNumberFormat="1" applyFont="1" applyBorder="1" applyAlignment="1">
      <alignment vertical="center"/>
    </xf>
    <xf numFmtId="165" fontId="4" fillId="0" borderId="4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65" fontId="4" fillId="0" borderId="8" xfId="0" applyNumberFormat="1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37" fontId="13" fillId="0" borderId="0" xfId="0" applyNumberFormat="1" applyFont="1" applyAlignment="1">
      <alignment vertical="center"/>
    </xf>
    <xf numFmtId="0" fontId="6" fillId="0" borderId="4" xfId="0" applyFont="1" applyBorder="1" applyAlignment="1">
      <alignment horizontal="center" vertical="center"/>
    </xf>
    <xf numFmtId="37" fontId="6" fillId="0" borderId="4" xfId="0" applyNumberFormat="1" applyFont="1" applyBorder="1" applyAlignment="1">
      <alignment horizontal="right" vertical="center"/>
    </xf>
    <xf numFmtId="10" fontId="1" fillId="2" borderId="2" xfId="0" applyNumberFormat="1" applyFont="1" applyFill="1" applyBorder="1" applyAlignment="1">
      <alignment horizontal="center" vertical="center"/>
    </xf>
    <xf numFmtId="164" fontId="6" fillId="3" borderId="0" xfId="0" applyNumberFormat="1" applyFont="1" applyFill="1" applyAlignment="1">
      <alignment vertical="center"/>
    </xf>
    <xf numFmtId="0" fontId="1" fillId="0" borderId="13" xfId="0" applyFont="1" applyBorder="1" applyAlignment="1">
      <alignment vertical="center"/>
    </xf>
    <xf numFmtId="165" fontId="16" fillId="0" borderId="0" xfId="0" applyNumberFormat="1" applyFont="1" applyAlignment="1">
      <alignment horizontal="center" vertical="center"/>
    </xf>
    <xf numFmtId="165" fontId="6" fillId="3" borderId="7" xfId="0" applyNumberFormat="1" applyFont="1" applyFill="1" applyBorder="1" applyAlignment="1">
      <alignment vertical="center"/>
    </xf>
    <xf numFmtId="37" fontId="19" fillId="0" borderId="8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37" fontId="8" fillId="0" borderId="0" xfId="0" applyNumberFormat="1" applyFont="1" applyAlignment="1">
      <alignment horizontal="right" vertical="center"/>
    </xf>
    <xf numFmtId="0" fontId="21" fillId="0" borderId="1" xfId="0" applyFont="1" applyBorder="1" applyAlignment="1">
      <alignment horizontal="center" vertical="center"/>
    </xf>
    <xf numFmtId="37" fontId="4" fillId="0" borderId="0" xfId="0" applyNumberFormat="1" applyFont="1" applyAlignment="1">
      <alignment horizontal="right" vertical="center"/>
    </xf>
    <xf numFmtId="0" fontId="1" fillId="0" borderId="6" xfId="0" applyFont="1" applyBorder="1" applyAlignment="1">
      <alignment vertical="center"/>
    </xf>
    <xf numFmtId="37" fontId="4" fillId="0" borderId="0" xfId="0" applyNumberFormat="1" applyFont="1" applyAlignment="1">
      <alignment vertical="center"/>
    </xf>
    <xf numFmtId="0" fontId="1" fillId="0" borderId="7" xfId="0" applyFont="1" applyBorder="1" applyAlignment="1">
      <alignment vertical="center"/>
    </xf>
    <xf numFmtId="165" fontId="22" fillId="0" borderId="0" xfId="0" applyNumberFormat="1" applyFont="1" applyAlignment="1">
      <alignment vertical="center"/>
    </xf>
    <xf numFmtId="164" fontId="4" fillId="2" borderId="2" xfId="0" applyNumberFormat="1" applyFont="1" applyFill="1" applyBorder="1" applyAlignment="1">
      <alignment vertical="center"/>
    </xf>
    <xf numFmtId="164" fontId="4" fillId="0" borderId="0" xfId="0" applyNumberFormat="1" applyFont="1" applyAlignment="1">
      <alignment vertical="center"/>
    </xf>
    <xf numFmtId="165" fontId="22" fillId="0" borderId="8" xfId="0" applyNumberFormat="1" applyFont="1" applyBorder="1" applyAlignment="1">
      <alignment vertical="center"/>
    </xf>
    <xf numFmtId="0" fontId="18" fillId="0" borderId="8" xfId="0" applyFont="1" applyBorder="1" applyAlignment="1">
      <alignment horizontal="center" vertical="center"/>
    </xf>
    <xf numFmtId="37" fontId="16" fillId="0" borderId="8" xfId="0" applyNumberFormat="1" applyFont="1" applyBorder="1" applyAlignment="1">
      <alignment horizontal="center" vertical="center"/>
    </xf>
    <xf numFmtId="39" fontId="16" fillId="0" borderId="8" xfId="0" applyNumberFormat="1" applyFont="1" applyBorder="1" applyAlignment="1">
      <alignment horizontal="center" vertical="center"/>
    </xf>
    <xf numFmtId="165" fontId="13" fillId="4" borderId="19" xfId="0" applyNumberFormat="1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left" vertical="center" indent="1"/>
    </xf>
    <xf numFmtId="0" fontId="12" fillId="0" borderId="0" xfId="0" applyFont="1" applyAlignment="1">
      <alignment vertical="center"/>
    </xf>
    <xf numFmtId="165" fontId="22" fillId="0" borderId="4" xfId="0" applyNumberFormat="1" applyFont="1" applyBorder="1" applyAlignment="1">
      <alignment vertical="center"/>
    </xf>
    <xf numFmtId="37" fontId="22" fillId="0" borderId="0" xfId="0" applyNumberFormat="1" applyFont="1" applyAlignment="1">
      <alignment vertical="center"/>
    </xf>
    <xf numFmtId="39" fontId="13" fillId="0" borderId="0" xfId="0" applyNumberFormat="1" applyFont="1" applyAlignment="1">
      <alignment vertical="center"/>
    </xf>
    <xf numFmtId="165" fontId="23" fillId="0" borderId="0" xfId="0" applyNumberFormat="1" applyFont="1" applyAlignment="1">
      <alignment vertical="center"/>
    </xf>
    <xf numFmtId="165" fontId="1" fillId="3" borderId="0" xfId="0" applyNumberFormat="1" applyFont="1" applyFill="1" applyAlignment="1">
      <alignment vertical="center"/>
    </xf>
    <xf numFmtId="165" fontId="6" fillId="3" borderId="0" xfId="0" applyNumberFormat="1" applyFont="1" applyFill="1" applyAlignment="1">
      <alignment vertical="center"/>
    </xf>
    <xf numFmtId="0" fontId="21" fillId="0" borderId="7" xfId="0" applyFont="1" applyBorder="1" applyAlignment="1">
      <alignment horizontal="center" vertical="center"/>
    </xf>
    <xf numFmtId="0" fontId="24" fillId="5" borderId="0" xfId="0" applyFont="1" applyFill="1" applyAlignment="1">
      <alignment vertical="center"/>
    </xf>
    <xf numFmtId="165" fontId="25" fillId="5" borderId="0" xfId="0" applyNumberFormat="1" applyFont="1" applyFill="1" applyAlignment="1">
      <alignment vertical="center"/>
    </xf>
    <xf numFmtId="0" fontId="24" fillId="0" borderId="0" xfId="0" applyFont="1" applyAlignment="1">
      <alignment vertical="center"/>
    </xf>
    <xf numFmtId="165" fontId="25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/>
    </xf>
    <xf numFmtId="165" fontId="1" fillId="2" borderId="2" xfId="0" applyNumberFormat="1" applyFont="1" applyFill="1" applyBorder="1" applyAlignment="1">
      <alignment vertical="center"/>
    </xf>
    <xf numFmtId="0" fontId="6" fillId="0" borderId="24" xfId="0" applyFont="1" applyBorder="1" applyAlignment="1">
      <alignment vertical="center"/>
    </xf>
    <xf numFmtId="164" fontId="17" fillId="0" borderId="4" xfId="0" applyNumberFormat="1" applyFont="1" applyBorder="1" applyAlignment="1">
      <alignment horizontal="center" vertical="center"/>
    </xf>
    <xf numFmtId="37" fontId="1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5" fontId="13" fillId="0" borderId="0" xfId="0" applyNumberFormat="1" applyFont="1" applyAlignment="1">
      <alignment horizontal="right" vertical="center"/>
    </xf>
    <xf numFmtId="164" fontId="6" fillId="3" borderId="6" xfId="0" applyNumberFormat="1" applyFont="1" applyFill="1" applyBorder="1" applyAlignment="1">
      <alignment vertical="center"/>
    </xf>
    <xf numFmtId="37" fontId="1" fillId="0" borderId="25" xfId="0" applyNumberFormat="1" applyFont="1" applyBorder="1" applyAlignment="1">
      <alignment vertical="center"/>
    </xf>
    <xf numFmtId="165" fontId="4" fillId="2" borderId="23" xfId="0" applyNumberFormat="1" applyFont="1" applyFill="1" applyBorder="1" applyAlignment="1">
      <alignment vertical="center"/>
    </xf>
    <xf numFmtId="165" fontId="4" fillId="0" borderId="25" xfId="0" applyNumberFormat="1" applyFont="1" applyBorder="1" applyAlignment="1">
      <alignment vertical="center"/>
    </xf>
    <xf numFmtId="2" fontId="6" fillId="0" borderId="4" xfId="0" applyNumberFormat="1" applyFont="1" applyBorder="1" applyAlignment="1">
      <alignment vertical="center"/>
    </xf>
    <xf numFmtId="39" fontId="23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indent="1"/>
    </xf>
    <xf numFmtId="164" fontId="1" fillId="0" borderId="25" xfId="0" applyNumberFormat="1" applyFont="1" applyBorder="1" applyAlignment="1">
      <alignment vertical="center"/>
    </xf>
    <xf numFmtId="0" fontId="13" fillId="0" borderId="0" xfId="0" quotePrefix="1" applyFont="1" applyAlignment="1">
      <alignment vertical="center"/>
    </xf>
    <xf numFmtId="37" fontId="1" fillId="2" borderId="2" xfId="0" applyNumberFormat="1" applyFont="1" applyFill="1" applyBorder="1" applyAlignment="1">
      <alignment vertical="center"/>
    </xf>
    <xf numFmtId="9" fontId="4" fillId="0" borderId="0" xfId="0" applyNumberFormat="1" applyFont="1" applyAlignment="1">
      <alignment vertical="center"/>
    </xf>
    <xf numFmtId="39" fontId="8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164" fontId="17" fillId="0" borderId="0" xfId="0" applyNumberFormat="1" applyFont="1" applyAlignment="1">
      <alignment horizontal="center" vertical="center"/>
    </xf>
    <xf numFmtId="9" fontId="16" fillId="0" borderId="0" xfId="0" applyNumberFormat="1" applyFont="1" applyAlignment="1">
      <alignment horizontal="center" vertical="center"/>
    </xf>
    <xf numFmtId="9" fontId="4" fillId="3" borderId="0" xfId="0" applyNumberFormat="1" applyFont="1" applyFill="1" applyAlignment="1">
      <alignment vertical="center"/>
    </xf>
    <xf numFmtId="9" fontId="10" fillId="3" borderId="0" xfId="0" applyNumberFormat="1" applyFont="1" applyFill="1" applyAlignment="1">
      <alignment vertical="center"/>
    </xf>
    <xf numFmtId="37" fontId="4" fillId="0" borderId="8" xfId="0" applyNumberFormat="1" applyFont="1" applyBorder="1" applyAlignment="1">
      <alignment vertical="center"/>
    </xf>
    <xf numFmtId="37" fontId="1" fillId="0" borderId="0" xfId="0" quotePrefix="1" applyNumberFormat="1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37" fontId="4" fillId="0" borderId="6" xfId="0" applyNumberFormat="1" applyFont="1" applyBorder="1" applyAlignment="1">
      <alignment horizontal="right" vertical="center"/>
    </xf>
    <xf numFmtId="165" fontId="4" fillId="0" borderId="6" xfId="0" applyNumberFormat="1" applyFont="1" applyBorder="1" applyAlignment="1">
      <alignment horizontal="right" vertical="center"/>
    </xf>
    <xf numFmtId="165" fontId="13" fillId="0" borderId="6" xfId="0" applyNumberFormat="1" applyFont="1" applyBorder="1" applyAlignment="1">
      <alignment horizontal="right" vertical="center"/>
    </xf>
    <xf numFmtId="165" fontId="22" fillId="0" borderId="7" xfId="0" applyNumberFormat="1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9" fontId="1" fillId="0" borderId="0" xfId="2" applyFont="1" applyAlignment="1">
      <alignment vertical="center"/>
    </xf>
    <xf numFmtId="37" fontId="5" fillId="0" borderId="0" xfId="0" applyNumberFormat="1" applyFont="1" applyAlignment="1">
      <alignment horizontal="center" vertical="center"/>
    </xf>
    <xf numFmtId="0" fontId="1" fillId="0" borderId="8" xfId="0" applyFont="1" applyBorder="1" applyAlignment="1">
      <alignment vertical="center"/>
    </xf>
    <xf numFmtId="37" fontId="1" fillId="0" borderId="8" xfId="0" applyNumberFormat="1" applyFont="1" applyBorder="1" applyAlignment="1">
      <alignment vertical="center"/>
    </xf>
    <xf numFmtId="39" fontId="1" fillId="0" borderId="8" xfId="0" applyNumberFormat="1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165" fontId="13" fillId="0" borderId="8" xfId="0" applyNumberFormat="1" applyFont="1" applyBorder="1" applyAlignment="1">
      <alignment vertical="center"/>
    </xf>
    <xf numFmtId="0" fontId="9" fillId="0" borderId="6" xfId="0" applyFont="1" applyBorder="1" applyAlignment="1">
      <alignment horizontal="left" vertical="center"/>
    </xf>
    <xf numFmtId="39" fontId="1" fillId="2" borderId="11" xfId="0" applyNumberFormat="1" applyFont="1" applyFill="1" applyBorder="1" applyAlignment="1">
      <alignment vertical="center"/>
    </xf>
    <xf numFmtId="10" fontId="6" fillId="0" borderId="24" xfId="0" applyNumberFormat="1" applyFont="1" applyBorder="1" applyAlignment="1">
      <alignment vertical="center"/>
    </xf>
    <xf numFmtId="39" fontId="20" fillId="0" borderId="0" xfId="0" applyNumberFormat="1" applyFont="1" applyAlignment="1">
      <alignment horizontal="center" vertical="center"/>
    </xf>
    <xf numFmtId="39" fontId="6" fillId="0" borderId="0" xfId="0" applyNumberFormat="1" applyFont="1" applyAlignment="1">
      <alignment vertical="center"/>
    </xf>
    <xf numFmtId="9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37" fontId="12" fillId="0" borderId="25" xfId="0" applyNumberFormat="1" applyFont="1" applyBorder="1" applyAlignment="1">
      <alignment vertical="center"/>
    </xf>
    <xf numFmtId="37" fontId="30" fillId="0" borderId="0" xfId="0" applyNumberFormat="1" applyFont="1" applyAlignment="1">
      <alignment horizontal="center" vertical="center"/>
    </xf>
    <xf numFmtId="164" fontId="22" fillId="0" borderId="0" xfId="0" applyNumberFormat="1" applyFont="1" applyAlignment="1">
      <alignment horizontal="right" vertical="center"/>
    </xf>
    <xf numFmtId="37" fontId="31" fillId="0" borderId="1" xfId="0" applyNumberFormat="1" applyFont="1" applyBorder="1" applyAlignment="1">
      <alignment horizontal="right" vertical="center"/>
    </xf>
    <xf numFmtId="37" fontId="20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37" fontId="21" fillId="0" borderId="1" xfId="0" applyNumberFormat="1" applyFont="1" applyBorder="1" applyAlignment="1">
      <alignment horizontal="center" vertical="center"/>
    </xf>
    <xf numFmtId="37" fontId="12" fillId="0" borderId="5" xfId="0" applyNumberFormat="1" applyFont="1" applyBorder="1" applyAlignment="1">
      <alignment horizontal="right" vertical="center"/>
    </xf>
    <xf numFmtId="0" fontId="5" fillId="0" borderId="7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6" xfId="0" applyFont="1" applyBorder="1" applyAlignment="1">
      <alignment vertical="center"/>
    </xf>
    <xf numFmtId="0" fontId="29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left" vertical="center" indent="1"/>
    </xf>
    <xf numFmtId="0" fontId="12" fillId="0" borderId="7" xfId="0" applyFont="1" applyBorder="1" applyAlignment="1">
      <alignment vertical="center"/>
    </xf>
    <xf numFmtId="0" fontId="29" fillId="0" borderId="7" xfId="0" applyFont="1" applyBorder="1" applyAlignment="1">
      <alignment horizontal="center" vertical="center"/>
    </xf>
    <xf numFmtId="0" fontId="20" fillId="0" borderId="6" xfId="0" applyFont="1" applyBorder="1" applyAlignment="1">
      <alignment horizontal="left" vertical="center"/>
    </xf>
    <xf numFmtId="37" fontId="20" fillId="0" borderId="6" xfId="0" applyNumberFormat="1" applyFont="1" applyBorder="1" applyAlignment="1">
      <alignment vertical="center"/>
    </xf>
    <xf numFmtId="37" fontId="6" fillId="0" borderId="24" xfId="0" applyNumberFormat="1" applyFont="1" applyBorder="1" applyAlignment="1">
      <alignment vertical="center"/>
    </xf>
    <xf numFmtId="37" fontId="21" fillId="0" borderId="24" xfId="0" applyNumberFormat="1" applyFont="1" applyBorder="1" applyAlignment="1">
      <alignment horizontal="center" vertical="center"/>
    </xf>
    <xf numFmtId="165" fontId="4" fillId="2" borderId="20" xfId="0" applyNumberFormat="1" applyFont="1" applyFill="1" applyBorder="1" applyAlignment="1">
      <alignment vertical="center"/>
    </xf>
    <xf numFmtId="165" fontId="13" fillId="0" borderId="7" xfId="0" applyNumberFormat="1" applyFont="1" applyBorder="1" applyAlignment="1">
      <alignment horizontal="right" vertical="center"/>
    </xf>
    <xf numFmtId="164" fontId="4" fillId="2" borderId="1" xfId="0" applyNumberFormat="1" applyFont="1" applyFill="1" applyBorder="1" applyAlignment="1">
      <alignment vertical="center"/>
    </xf>
    <xf numFmtId="165" fontId="4" fillId="2" borderId="1" xfId="0" applyNumberFormat="1" applyFont="1" applyFill="1" applyBorder="1" applyAlignment="1">
      <alignment vertical="center"/>
    </xf>
    <xf numFmtId="0" fontId="1" fillId="0" borderId="25" xfId="0" applyFont="1" applyBorder="1" applyAlignment="1">
      <alignment vertical="center"/>
    </xf>
    <xf numFmtId="39" fontId="1" fillId="0" borderId="25" xfId="0" applyNumberFormat="1" applyFont="1" applyBorder="1" applyAlignment="1">
      <alignment vertical="center"/>
    </xf>
    <xf numFmtId="0" fontId="5" fillId="0" borderId="25" xfId="0" applyFont="1" applyBorder="1" applyAlignment="1">
      <alignment horizontal="center" vertical="center"/>
    </xf>
    <xf numFmtId="0" fontId="13" fillId="0" borderId="0" xfId="0" quotePrefix="1" applyFont="1" applyAlignment="1">
      <alignment horizontal="right" vertical="center"/>
    </xf>
    <xf numFmtId="164" fontId="4" fillId="2" borderId="20" xfId="0" applyNumberFormat="1" applyFont="1" applyFill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165" fontId="25" fillId="5" borderId="25" xfId="0" applyNumberFormat="1" applyFont="1" applyFill="1" applyBorder="1" applyAlignment="1">
      <alignment vertical="center"/>
    </xf>
    <xf numFmtId="165" fontId="25" fillId="0" borderId="25" xfId="0" applyNumberFormat="1" applyFont="1" applyBorder="1" applyAlignment="1">
      <alignment vertical="center"/>
    </xf>
    <xf numFmtId="165" fontId="22" fillId="0" borderId="25" xfId="0" applyNumberFormat="1" applyFont="1" applyBorder="1" applyAlignment="1">
      <alignment vertical="center"/>
    </xf>
    <xf numFmtId="164" fontId="12" fillId="0" borderId="25" xfId="0" applyNumberFormat="1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39" fontId="1" fillId="0" borderId="27" xfId="0" applyNumberFormat="1" applyFont="1" applyBorder="1" applyAlignment="1">
      <alignment vertical="center"/>
    </xf>
    <xf numFmtId="164" fontId="1" fillId="0" borderId="28" xfId="0" applyNumberFormat="1" applyFont="1" applyBorder="1" applyAlignment="1">
      <alignment vertical="center"/>
    </xf>
    <xf numFmtId="164" fontId="8" fillId="0" borderId="8" xfId="0" applyNumberFormat="1" applyFont="1" applyBorder="1" applyAlignment="1">
      <alignment vertical="center"/>
    </xf>
    <xf numFmtId="37" fontId="1" fillId="0" borderId="0" xfId="0" applyNumberFormat="1" applyFont="1" applyBorder="1" applyAlignment="1">
      <alignment vertical="center"/>
    </xf>
    <xf numFmtId="37" fontId="1" fillId="0" borderId="0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37" fontId="8" fillId="0" borderId="0" xfId="0" applyNumberFormat="1" applyFont="1" applyBorder="1" applyAlignment="1">
      <alignment horizontal="right" vertical="center"/>
    </xf>
    <xf numFmtId="165" fontId="4" fillId="0" borderId="0" xfId="0" applyNumberFormat="1" applyFont="1" applyBorder="1" applyAlignment="1">
      <alignment horizontal="right" vertical="center"/>
    </xf>
    <xf numFmtId="37" fontId="4" fillId="0" borderId="0" xfId="0" applyNumberFormat="1" applyFont="1" applyBorder="1" applyAlignment="1">
      <alignment horizontal="right" vertical="center"/>
    </xf>
    <xf numFmtId="165" fontId="4" fillId="0" borderId="0" xfId="0" applyNumberFormat="1" applyFont="1" applyBorder="1" applyAlignment="1">
      <alignment vertical="center"/>
    </xf>
    <xf numFmtId="37" fontId="4" fillId="0" borderId="0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37" fontId="12" fillId="0" borderId="0" xfId="0" applyNumberFormat="1" applyFont="1" applyBorder="1" applyAlignment="1">
      <alignment horizontal="right" vertical="center"/>
    </xf>
    <xf numFmtId="165" fontId="13" fillId="0" borderId="0" xfId="0" applyNumberFormat="1" applyFont="1" applyBorder="1" applyAlignment="1">
      <alignment horizontal="right" vertical="center"/>
    </xf>
    <xf numFmtId="37" fontId="12" fillId="0" borderId="0" xfId="0" applyNumberFormat="1" applyFont="1" applyBorder="1" applyAlignment="1">
      <alignment vertical="center"/>
    </xf>
    <xf numFmtId="165" fontId="22" fillId="0" borderId="0" xfId="0" applyNumberFormat="1" applyFont="1" applyBorder="1" applyAlignment="1">
      <alignment vertical="center"/>
    </xf>
    <xf numFmtId="37" fontId="8" fillId="0" borderId="0" xfId="0" applyNumberFormat="1" applyFont="1" applyBorder="1" applyAlignment="1">
      <alignment vertical="center"/>
    </xf>
    <xf numFmtId="164" fontId="22" fillId="0" borderId="0" xfId="0" applyNumberFormat="1" applyFont="1" applyBorder="1" applyAlignment="1">
      <alignment horizontal="right" vertical="center"/>
    </xf>
    <xf numFmtId="37" fontId="31" fillId="0" borderId="0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165" fontId="1" fillId="0" borderId="0" xfId="0" applyNumberFormat="1" applyFont="1" applyBorder="1" applyAlignment="1">
      <alignment vertical="center"/>
    </xf>
    <xf numFmtId="37" fontId="6" fillId="0" borderId="0" xfId="0" applyNumberFormat="1" applyFont="1" applyBorder="1" applyAlignment="1">
      <alignment vertical="center"/>
    </xf>
    <xf numFmtId="37" fontId="14" fillId="0" borderId="0" xfId="0" applyNumberFormat="1" applyFont="1" applyBorder="1" applyAlignment="1">
      <alignment vertical="center"/>
    </xf>
    <xf numFmtId="39" fontId="4" fillId="0" borderId="0" xfId="0" applyNumberFormat="1" applyFont="1" applyBorder="1" applyAlignment="1">
      <alignment vertical="center"/>
    </xf>
    <xf numFmtId="39" fontId="10" fillId="0" borderId="0" xfId="0" applyNumberFormat="1" applyFont="1" applyBorder="1" applyAlignment="1">
      <alignment vertical="center"/>
    </xf>
    <xf numFmtId="39" fontId="1" fillId="0" borderId="0" xfId="0" applyNumberFormat="1" applyFont="1" applyBorder="1" applyAlignment="1">
      <alignment vertical="center"/>
    </xf>
    <xf numFmtId="164" fontId="8" fillId="0" borderId="0" xfId="0" applyNumberFormat="1" applyFont="1" applyBorder="1" applyAlignment="1">
      <alignment vertical="center"/>
    </xf>
    <xf numFmtId="164" fontId="7" fillId="0" borderId="0" xfId="0" applyNumberFormat="1" applyFont="1" applyBorder="1" applyAlignment="1">
      <alignment vertical="center"/>
    </xf>
    <xf numFmtId="10" fontId="4" fillId="0" borderId="0" xfId="0" applyNumberFormat="1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37" fontId="8" fillId="0" borderId="8" xfId="0" applyNumberFormat="1" applyFont="1" applyBorder="1" applyAlignment="1">
      <alignment horizontal="right" vertical="center"/>
    </xf>
    <xf numFmtId="165" fontId="4" fillId="0" borderId="8" xfId="0" applyNumberFormat="1" applyFont="1" applyBorder="1" applyAlignment="1">
      <alignment horizontal="right" vertical="center"/>
    </xf>
    <xf numFmtId="37" fontId="12" fillId="0" borderId="8" xfId="0" applyNumberFormat="1" applyFont="1" applyBorder="1" applyAlignment="1">
      <alignment vertical="center"/>
    </xf>
    <xf numFmtId="164" fontId="12" fillId="0" borderId="8" xfId="0" applyNumberFormat="1" applyFont="1" applyBorder="1" applyAlignment="1">
      <alignment vertical="center"/>
    </xf>
    <xf numFmtId="165" fontId="13" fillId="0" borderId="0" xfId="0" applyNumberFormat="1" applyFont="1" applyBorder="1" applyAlignment="1">
      <alignment vertical="center"/>
    </xf>
    <xf numFmtId="37" fontId="22" fillId="0" borderId="0" xfId="0" applyNumberFormat="1" applyFont="1" applyBorder="1" applyAlignment="1">
      <alignment vertical="center"/>
    </xf>
    <xf numFmtId="39" fontId="13" fillId="0" borderId="0" xfId="0" applyNumberFormat="1" applyFont="1" applyBorder="1" applyAlignment="1">
      <alignment vertical="center"/>
    </xf>
    <xf numFmtId="39" fontId="8" fillId="0" borderId="0" xfId="0" applyNumberFormat="1" applyFont="1" applyBorder="1" applyAlignment="1">
      <alignment vertical="center"/>
    </xf>
    <xf numFmtId="164" fontId="1" fillId="3" borderId="0" xfId="0" applyNumberFormat="1" applyFont="1" applyFill="1" applyBorder="1" applyAlignment="1">
      <alignment vertical="center"/>
    </xf>
    <xf numFmtId="9" fontId="4" fillId="3" borderId="0" xfId="0" applyNumberFormat="1" applyFont="1" applyFill="1" applyBorder="1" applyAlignment="1">
      <alignment vertical="center"/>
    </xf>
    <xf numFmtId="165" fontId="1" fillId="3" borderId="0" xfId="0" applyNumberFormat="1" applyFont="1" applyFill="1" applyBorder="1" applyAlignment="1">
      <alignment vertical="center"/>
    </xf>
    <xf numFmtId="167" fontId="1" fillId="0" borderId="0" xfId="0" applyNumberFormat="1" applyFont="1" applyBorder="1" applyAlignment="1">
      <alignment vertical="center"/>
    </xf>
    <xf numFmtId="164" fontId="8" fillId="0" borderId="13" xfId="0" applyNumberFormat="1" applyFont="1" applyBorder="1" applyAlignment="1">
      <alignment vertical="center"/>
    </xf>
    <xf numFmtId="37" fontId="7" fillId="0" borderId="0" xfId="0" applyNumberFormat="1" applyFont="1" applyBorder="1" applyAlignment="1">
      <alignment vertical="center"/>
    </xf>
    <xf numFmtId="0" fontId="21" fillId="0" borderId="9" xfId="0" applyFont="1" applyBorder="1" applyAlignment="1">
      <alignment horizontal="center" vertical="center"/>
    </xf>
    <xf numFmtId="165" fontId="25" fillId="5" borderId="0" xfId="0" applyNumberFormat="1" applyFont="1" applyFill="1" applyBorder="1" applyAlignment="1">
      <alignment vertical="center"/>
    </xf>
    <xf numFmtId="165" fontId="25" fillId="5" borderId="8" xfId="0" applyNumberFormat="1" applyFont="1" applyFill="1" applyBorder="1" applyAlignment="1">
      <alignment vertical="center"/>
    </xf>
    <xf numFmtId="165" fontId="25" fillId="0" borderId="0" xfId="0" applyNumberFormat="1" applyFont="1" applyBorder="1" applyAlignment="1">
      <alignment vertical="center"/>
    </xf>
    <xf numFmtId="165" fontId="25" fillId="0" borderId="8" xfId="0" applyNumberFormat="1" applyFont="1" applyBorder="1" applyAlignment="1">
      <alignment vertical="center"/>
    </xf>
    <xf numFmtId="164" fontId="12" fillId="0" borderId="0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5" fontId="5" fillId="0" borderId="0" xfId="0" applyNumberFormat="1" applyFont="1" applyBorder="1" applyAlignment="1">
      <alignment horizontal="center" vertical="center"/>
    </xf>
    <xf numFmtId="9" fontId="2" fillId="0" borderId="0" xfId="0" applyNumberFormat="1" applyFont="1" applyBorder="1" applyAlignment="1">
      <alignment horizontal="center" vertical="center"/>
    </xf>
    <xf numFmtId="37" fontId="6" fillId="0" borderId="0" xfId="0" applyNumberFormat="1" applyFont="1" applyBorder="1" applyAlignment="1">
      <alignment horizontal="right" vertical="center"/>
    </xf>
    <xf numFmtId="164" fontId="4" fillId="2" borderId="23" xfId="0" applyNumberFormat="1" applyFont="1" applyFill="1" applyBorder="1" applyAlignment="1">
      <alignment vertical="center"/>
    </xf>
    <xf numFmtId="9" fontId="4" fillId="0" borderId="0" xfId="0" applyNumberFormat="1" applyFont="1" applyBorder="1" applyAlignment="1">
      <alignment vertical="center"/>
    </xf>
    <xf numFmtId="164" fontId="22" fillId="0" borderId="8" xfId="0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0" fontId="0" fillId="6" borderId="0" xfId="0" applyFill="1" applyAlignment="1">
      <alignment vertical="center"/>
    </xf>
    <xf numFmtId="0" fontId="0" fillId="6" borderId="0" xfId="0" applyFill="1" applyAlignment="1">
      <alignment horizontal="right" vertical="center"/>
    </xf>
    <xf numFmtId="0" fontId="32" fillId="7" borderId="32" xfId="0" applyFont="1" applyFill="1" applyBorder="1" applyAlignment="1">
      <alignment vertical="center"/>
    </xf>
    <xf numFmtId="0" fontId="32" fillId="7" borderId="33" xfId="0" applyFont="1" applyFill="1" applyBorder="1" applyAlignment="1">
      <alignment vertical="center"/>
    </xf>
    <xf numFmtId="0" fontId="32" fillId="6" borderId="0" xfId="0" applyFont="1" applyFill="1" applyAlignment="1">
      <alignment vertical="center"/>
    </xf>
    <xf numFmtId="37" fontId="0" fillId="0" borderId="0" xfId="0" applyNumberFormat="1" applyAlignment="1">
      <alignment vertical="center"/>
    </xf>
    <xf numFmtId="0" fontId="32" fillId="7" borderId="34" xfId="0" applyFont="1" applyFill="1" applyBorder="1" applyAlignment="1">
      <alignment vertical="center"/>
    </xf>
    <xf numFmtId="0" fontId="0" fillId="0" borderId="35" xfId="0" applyBorder="1" applyAlignment="1">
      <alignment vertical="center"/>
    </xf>
    <xf numFmtId="0" fontId="32" fillId="6" borderId="35" xfId="0" applyFont="1" applyFill="1" applyBorder="1" applyAlignment="1">
      <alignment vertical="center"/>
    </xf>
    <xf numFmtId="165" fontId="0" fillId="0" borderId="0" xfId="0" applyNumberFormat="1" applyAlignment="1">
      <alignment vertical="center"/>
    </xf>
    <xf numFmtId="37" fontId="1" fillId="0" borderId="8" xfId="0" applyNumberFormat="1" applyFont="1" applyBorder="1" applyAlignment="1">
      <alignment horizontal="right" vertical="center"/>
    </xf>
    <xf numFmtId="37" fontId="6" fillId="0" borderId="36" xfId="0" applyNumberFormat="1" applyFont="1" applyBorder="1" applyAlignment="1">
      <alignment vertical="center"/>
    </xf>
    <xf numFmtId="37" fontId="4" fillId="0" borderId="8" xfId="0" applyNumberFormat="1" applyFont="1" applyBorder="1" applyAlignment="1">
      <alignment horizontal="right" vertical="center"/>
    </xf>
    <xf numFmtId="37" fontId="12" fillId="0" borderId="8" xfId="0" applyNumberFormat="1" applyFont="1" applyBorder="1" applyAlignment="1">
      <alignment horizontal="right" vertical="center"/>
    </xf>
    <xf numFmtId="165" fontId="13" fillId="0" borderId="8" xfId="0" applyNumberFormat="1" applyFont="1" applyBorder="1" applyAlignment="1">
      <alignment horizontal="right" vertical="center"/>
    </xf>
    <xf numFmtId="37" fontId="6" fillId="0" borderId="12" xfId="0" applyNumberFormat="1" applyFont="1" applyBorder="1" applyAlignment="1">
      <alignment horizontal="right" vertical="center"/>
    </xf>
    <xf numFmtId="165" fontId="4" fillId="0" borderId="26" xfId="0" applyNumberFormat="1" applyFont="1" applyBorder="1" applyAlignment="1">
      <alignment horizontal="right" vertical="center"/>
    </xf>
    <xf numFmtId="37" fontId="12" fillId="0" borderId="31" xfId="0" applyNumberFormat="1" applyFont="1" applyBorder="1" applyAlignment="1">
      <alignment horizontal="right" vertical="center"/>
    </xf>
    <xf numFmtId="37" fontId="20" fillId="0" borderId="26" xfId="0" applyNumberFormat="1" applyFont="1" applyBorder="1" applyAlignment="1">
      <alignment vertical="center"/>
    </xf>
    <xf numFmtId="165" fontId="22" fillId="0" borderId="9" xfId="0" applyNumberFormat="1" applyFont="1" applyBorder="1" applyAlignment="1">
      <alignment vertical="center"/>
    </xf>
    <xf numFmtId="37" fontId="20" fillId="0" borderId="12" xfId="0" applyNumberFormat="1" applyFont="1" applyBorder="1" applyAlignment="1">
      <alignment horizontal="right" vertical="center"/>
    </xf>
    <xf numFmtId="164" fontId="33" fillId="0" borderId="0" xfId="0" applyNumberFormat="1" applyFont="1" applyBorder="1" applyAlignment="1">
      <alignment vertical="center"/>
    </xf>
    <xf numFmtId="39" fontId="13" fillId="0" borderId="25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vertical="center"/>
    </xf>
    <xf numFmtId="164" fontId="6" fillId="3" borderId="26" xfId="0" applyNumberFormat="1" applyFont="1" applyFill="1" applyBorder="1" applyAlignment="1">
      <alignment vertical="center"/>
    </xf>
    <xf numFmtId="164" fontId="6" fillId="3" borderId="8" xfId="0" applyNumberFormat="1" applyFont="1" applyFill="1" applyBorder="1" applyAlignment="1">
      <alignment vertical="center"/>
    </xf>
    <xf numFmtId="9" fontId="10" fillId="3" borderId="8" xfId="0" applyNumberFormat="1" applyFont="1" applyFill="1" applyBorder="1" applyAlignment="1">
      <alignment vertical="center"/>
    </xf>
    <xf numFmtId="165" fontId="6" fillId="3" borderId="8" xfId="0" applyNumberFormat="1" applyFont="1" applyFill="1" applyBorder="1" applyAlignment="1">
      <alignment vertical="center"/>
    </xf>
    <xf numFmtId="165" fontId="6" fillId="3" borderId="9" xfId="0" applyNumberFormat="1" applyFont="1" applyFill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6" fillId="0" borderId="38" xfId="0" applyFont="1" applyBorder="1" applyAlignment="1">
      <alignment horizontal="center" vertical="center"/>
    </xf>
    <xf numFmtId="37" fontId="1" fillId="0" borderId="37" xfId="0" applyNumberFormat="1" applyFont="1" applyBorder="1" applyAlignment="1">
      <alignment vertical="center"/>
    </xf>
    <xf numFmtId="165" fontId="4" fillId="0" borderId="37" xfId="0" applyNumberFormat="1" applyFont="1" applyBorder="1" applyAlignment="1">
      <alignment vertical="center"/>
    </xf>
    <xf numFmtId="165" fontId="22" fillId="0" borderId="37" xfId="0" applyNumberFormat="1" applyFont="1" applyBorder="1" applyAlignment="1">
      <alignment vertical="center"/>
    </xf>
    <xf numFmtId="37" fontId="6" fillId="0" borderId="38" xfId="0" applyNumberFormat="1" applyFont="1" applyBorder="1" applyAlignment="1">
      <alignment vertical="center"/>
    </xf>
    <xf numFmtId="37" fontId="4" fillId="0" borderId="37" xfId="0" applyNumberFormat="1" applyFont="1" applyBorder="1" applyAlignment="1">
      <alignment vertical="center"/>
    </xf>
    <xf numFmtId="165" fontId="13" fillId="0" borderId="37" xfId="0" applyNumberFormat="1" applyFont="1" applyBorder="1" applyAlignment="1">
      <alignment vertical="center"/>
    </xf>
    <xf numFmtId="37" fontId="22" fillId="0" borderId="37" xfId="0" applyNumberFormat="1" applyFont="1" applyBorder="1" applyAlignment="1">
      <alignment vertical="center"/>
    </xf>
    <xf numFmtId="37" fontId="6" fillId="0" borderId="39" xfId="0" applyNumberFormat="1" applyFont="1" applyBorder="1" applyAlignment="1">
      <alignment vertical="center"/>
    </xf>
    <xf numFmtId="37" fontId="6" fillId="3" borderId="38" xfId="0" applyNumberFormat="1" applyFont="1" applyFill="1" applyBorder="1" applyAlignment="1">
      <alignment vertical="center"/>
    </xf>
    <xf numFmtId="39" fontId="13" fillId="0" borderId="37" xfId="0" applyNumberFormat="1" applyFont="1" applyBorder="1" applyAlignment="1">
      <alignment vertical="center"/>
    </xf>
    <xf numFmtId="39" fontId="1" fillId="0" borderId="37" xfId="0" applyNumberFormat="1" applyFont="1" applyBorder="1" applyAlignment="1">
      <alignment vertical="center"/>
    </xf>
    <xf numFmtId="164" fontId="1" fillId="0" borderId="37" xfId="0" applyNumberFormat="1" applyFont="1" applyBorder="1" applyAlignment="1">
      <alignment vertical="center"/>
    </xf>
    <xf numFmtId="37" fontId="1" fillId="0" borderId="39" xfId="0" applyNumberFormat="1" applyFont="1" applyBorder="1" applyAlignment="1">
      <alignment vertical="center"/>
    </xf>
    <xf numFmtId="164" fontId="1" fillId="3" borderId="40" xfId="0" applyNumberFormat="1" applyFont="1" applyFill="1" applyBorder="1" applyAlignment="1">
      <alignment vertical="center"/>
    </xf>
    <xf numFmtId="164" fontId="1" fillId="3" borderId="37" xfId="0" applyNumberFormat="1" applyFont="1" applyFill="1" applyBorder="1" applyAlignment="1">
      <alignment vertical="center"/>
    </xf>
    <xf numFmtId="9" fontId="4" fillId="3" borderId="37" xfId="0" applyNumberFormat="1" applyFont="1" applyFill="1" applyBorder="1" applyAlignment="1">
      <alignment vertical="center"/>
    </xf>
    <xf numFmtId="165" fontId="1" fillId="3" borderId="37" xfId="0" applyNumberFormat="1" applyFont="1" applyFill="1" applyBorder="1" applyAlignment="1">
      <alignment vertical="center"/>
    </xf>
    <xf numFmtId="165" fontId="1" fillId="3" borderId="41" xfId="0" applyNumberFormat="1" applyFont="1" applyFill="1" applyBorder="1" applyAlignment="1">
      <alignment vertical="center"/>
    </xf>
    <xf numFmtId="39" fontId="1" fillId="0" borderId="42" xfId="0" applyNumberFormat="1" applyFont="1" applyBorder="1" applyAlignment="1">
      <alignment vertical="center"/>
    </xf>
    <xf numFmtId="164" fontId="1" fillId="0" borderId="43" xfId="0" applyNumberFormat="1" applyFont="1" applyBorder="1" applyAlignment="1">
      <alignment vertical="center"/>
    </xf>
    <xf numFmtId="164" fontId="8" fillId="0" borderId="44" xfId="0" applyNumberFormat="1" applyFont="1" applyBorder="1" applyAlignment="1">
      <alignment vertical="center"/>
    </xf>
    <xf numFmtId="164" fontId="1" fillId="3" borderId="21" xfId="0" applyNumberFormat="1" applyFont="1" applyFill="1" applyBorder="1" applyAlignment="1">
      <alignment vertical="center"/>
    </xf>
    <xf numFmtId="164" fontId="1" fillId="3" borderId="13" xfId="0" applyNumberFormat="1" applyFont="1" applyFill="1" applyBorder="1" applyAlignment="1">
      <alignment vertical="center"/>
    </xf>
    <xf numFmtId="9" fontId="4" fillId="3" borderId="13" xfId="0" applyNumberFormat="1" applyFont="1" applyFill="1" applyBorder="1" applyAlignment="1">
      <alignment vertical="center"/>
    </xf>
    <xf numFmtId="165" fontId="1" fillId="3" borderId="13" xfId="0" applyNumberFormat="1" applyFont="1" applyFill="1" applyBorder="1" applyAlignment="1">
      <alignment vertical="center"/>
    </xf>
    <xf numFmtId="165" fontId="1" fillId="3" borderId="22" xfId="0" applyNumberFormat="1" applyFont="1" applyFill="1" applyBorder="1" applyAlignment="1">
      <alignment vertical="center"/>
    </xf>
    <xf numFmtId="0" fontId="1" fillId="0" borderId="25" xfId="0" applyFont="1" applyBorder="1" applyAlignment="1">
      <alignment horizontal="center" vertical="center"/>
    </xf>
    <xf numFmtId="165" fontId="1" fillId="0" borderId="25" xfId="0" applyNumberFormat="1" applyFont="1" applyBorder="1" applyAlignment="1">
      <alignment vertical="center"/>
    </xf>
    <xf numFmtId="165" fontId="4" fillId="0" borderId="25" xfId="0" applyNumberFormat="1" applyFont="1" applyBorder="1" applyAlignment="1">
      <alignment horizontal="right" vertical="center"/>
    </xf>
    <xf numFmtId="37" fontId="1" fillId="0" borderId="47" xfId="0" applyNumberFormat="1" applyFont="1" applyBorder="1" applyAlignment="1">
      <alignment vertical="center"/>
    </xf>
    <xf numFmtId="37" fontId="6" fillId="0" borderId="25" xfId="0" applyNumberFormat="1" applyFont="1" applyBorder="1" applyAlignment="1">
      <alignment vertical="center"/>
    </xf>
    <xf numFmtId="37" fontId="6" fillId="0" borderId="47" xfId="0" applyNumberFormat="1" applyFont="1" applyBorder="1" applyAlignment="1">
      <alignment vertical="center"/>
    </xf>
    <xf numFmtId="37" fontId="14" fillId="0" borderId="25" xfId="0" applyNumberFormat="1" applyFont="1" applyBorder="1" applyAlignment="1">
      <alignment vertical="center"/>
    </xf>
    <xf numFmtId="39" fontId="4" fillId="0" borderId="25" xfId="0" applyNumberFormat="1" applyFont="1" applyBorder="1" applyAlignment="1">
      <alignment vertical="center"/>
    </xf>
    <xf numFmtId="39" fontId="10" fillId="0" borderId="25" xfId="0" applyNumberFormat="1" applyFont="1" applyBorder="1" applyAlignment="1">
      <alignment vertical="center"/>
    </xf>
    <xf numFmtId="165" fontId="4" fillId="2" borderId="49" xfId="0" applyNumberFormat="1" applyFont="1" applyFill="1" applyBorder="1" applyAlignment="1">
      <alignment vertical="center"/>
    </xf>
    <xf numFmtId="164" fontId="8" fillId="0" borderId="25" xfId="0" applyNumberFormat="1" applyFont="1" applyBorder="1" applyAlignment="1">
      <alignment vertical="center"/>
    </xf>
    <xf numFmtId="37" fontId="1" fillId="2" borderId="49" xfId="0" applyNumberFormat="1" applyFont="1" applyFill="1" applyBorder="1" applyAlignment="1">
      <alignment vertical="center"/>
    </xf>
    <xf numFmtId="37" fontId="1" fillId="0" borderId="46" xfId="0" applyNumberFormat="1" applyFont="1" applyBorder="1" applyAlignment="1">
      <alignment vertical="center"/>
    </xf>
    <xf numFmtId="164" fontId="7" fillId="0" borderId="25" xfId="0" applyNumberFormat="1" applyFont="1" applyBorder="1" applyAlignment="1">
      <alignment vertical="center"/>
    </xf>
    <xf numFmtId="10" fontId="4" fillId="0" borderId="25" xfId="0" applyNumberFormat="1" applyFont="1" applyBorder="1" applyAlignment="1">
      <alignment vertical="center"/>
    </xf>
    <xf numFmtId="37" fontId="1" fillId="0" borderId="45" xfId="0" applyNumberFormat="1" applyFont="1" applyBorder="1" applyAlignment="1">
      <alignment vertical="center"/>
    </xf>
    <xf numFmtId="164" fontId="8" fillId="0" borderId="47" xfId="0" applyNumberFormat="1" applyFont="1" applyBorder="1" applyAlignment="1">
      <alignment vertical="center"/>
    </xf>
    <xf numFmtId="166" fontId="1" fillId="0" borderId="47" xfId="0" applyNumberFormat="1" applyFont="1" applyBorder="1" applyAlignment="1">
      <alignment vertical="center"/>
    </xf>
    <xf numFmtId="164" fontId="4" fillId="2" borderId="49" xfId="0" applyNumberFormat="1" applyFont="1" applyFill="1" applyBorder="1" applyAlignment="1">
      <alignment vertical="center"/>
    </xf>
    <xf numFmtId="37" fontId="0" fillId="0" borderId="0" xfId="0" applyNumberFormat="1" applyFill="1" applyAlignment="1">
      <alignment vertical="center"/>
    </xf>
    <xf numFmtId="9" fontId="0" fillId="0" borderId="0" xfId="0" applyNumberFormat="1" applyFill="1" applyAlignment="1">
      <alignment vertical="center"/>
    </xf>
    <xf numFmtId="39" fontId="0" fillId="0" borderId="0" xfId="0" applyNumberFormat="1" applyFill="1" applyAlignment="1">
      <alignment vertical="center"/>
    </xf>
    <xf numFmtId="165" fontId="0" fillId="0" borderId="0" xfId="0" applyNumberFormat="1" applyFill="1" applyAlignment="1">
      <alignment vertical="center"/>
    </xf>
    <xf numFmtId="14" fontId="34" fillId="0" borderId="0" xfId="0" applyNumberFormat="1" applyFont="1" applyAlignment="1">
      <alignment vertical="center"/>
    </xf>
    <xf numFmtId="14" fontId="35" fillId="0" borderId="0" xfId="0" applyNumberFormat="1" applyFont="1" applyAlignment="1">
      <alignment horizontal="right" vertical="center"/>
    </xf>
    <xf numFmtId="14" fontId="34" fillId="0" borderId="0" xfId="0" applyNumberFormat="1" applyFont="1" applyBorder="1" applyAlignment="1">
      <alignment vertical="center"/>
    </xf>
    <xf numFmtId="14" fontId="36" fillId="0" borderId="8" xfId="0" applyNumberFormat="1" applyFont="1" applyBorder="1" applyAlignment="1">
      <alignment horizontal="center" vertical="center"/>
    </xf>
    <xf numFmtId="37" fontId="8" fillId="0" borderId="31" xfId="0" applyNumberFormat="1" applyFont="1" applyBorder="1" applyAlignment="1">
      <alignment horizontal="right" vertical="center"/>
    </xf>
    <xf numFmtId="0" fontId="37" fillId="0" borderId="0" xfId="0" applyFont="1" applyAlignment="1">
      <alignment horizontal="left" vertical="center" indent="1"/>
    </xf>
    <xf numFmtId="0" fontId="37" fillId="0" borderId="0" xfId="0" applyFont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29" fillId="0" borderId="0" xfId="0" applyFont="1" applyBorder="1" applyAlignment="1">
      <alignment horizontal="center" vertical="center"/>
    </xf>
    <xf numFmtId="37" fontId="20" fillId="0" borderId="0" xfId="0" applyNumberFormat="1" applyFont="1" applyBorder="1" applyAlignment="1">
      <alignment vertical="center"/>
    </xf>
    <xf numFmtId="0" fontId="22" fillId="0" borderId="0" xfId="0" applyFont="1" applyBorder="1" applyAlignment="1">
      <alignment horizontal="left" vertical="center" indent="1"/>
    </xf>
    <xf numFmtId="0" fontId="38" fillId="8" borderId="24" xfId="0" applyFont="1" applyFill="1" applyBorder="1" applyAlignment="1">
      <alignment vertical="center"/>
    </xf>
    <xf numFmtId="0" fontId="39" fillId="8" borderId="24" xfId="0" applyFont="1" applyFill="1" applyBorder="1" applyAlignment="1">
      <alignment horizontal="center" vertical="center"/>
    </xf>
    <xf numFmtId="0" fontId="39" fillId="8" borderId="36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12" fillId="0" borderId="50" xfId="0" applyFont="1" applyBorder="1" applyAlignment="1">
      <alignment vertical="center"/>
    </xf>
    <xf numFmtId="37" fontId="12" fillId="0" borderId="50" xfId="0" applyNumberFormat="1" applyFont="1" applyBorder="1" applyAlignment="1">
      <alignment vertical="center"/>
    </xf>
    <xf numFmtId="0" fontId="29" fillId="0" borderId="50" xfId="0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right" vertical="center"/>
    </xf>
    <xf numFmtId="0" fontId="37" fillId="0" borderId="8" xfId="0" applyFont="1" applyBorder="1" applyAlignment="1">
      <alignment horizontal="center" vertical="center"/>
    </xf>
    <xf numFmtId="165" fontId="4" fillId="0" borderId="31" xfId="0" applyNumberFormat="1" applyFont="1" applyBorder="1" applyAlignment="1">
      <alignment horizontal="right" vertical="center"/>
    </xf>
    <xf numFmtId="0" fontId="22" fillId="0" borderId="8" xfId="0" applyFont="1" applyBorder="1" applyAlignment="1">
      <alignment horizontal="left" vertical="center" indent="1"/>
    </xf>
    <xf numFmtId="37" fontId="12" fillId="0" borderId="51" xfId="0" applyNumberFormat="1" applyFont="1" applyBorder="1" applyAlignment="1">
      <alignment vertical="center"/>
    </xf>
    <xf numFmtId="37" fontId="31" fillId="0" borderId="8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22" fillId="0" borderId="10" xfId="0" applyFont="1" applyBorder="1" applyAlignment="1">
      <alignment horizontal="left" vertical="center" indent="1"/>
    </xf>
    <xf numFmtId="165" fontId="4" fillId="0" borderId="12" xfId="0" applyNumberFormat="1" applyFont="1" applyBorder="1" applyAlignment="1">
      <alignment horizontal="right" vertical="center"/>
    </xf>
    <xf numFmtId="37" fontId="31" fillId="0" borderId="24" xfId="0" applyNumberFormat="1" applyFont="1" applyBorder="1" applyAlignment="1">
      <alignment vertical="center"/>
    </xf>
    <xf numFmtId="37" fontId="31" fillId="0" borderId="36" xfId="0" applyNumberFormat="1" applyFont="1" applyBorder="1" applyAlignment="1">
      <alignment vertical="center"/>
    </xf>
    <xf numFmtId="0" fontId="6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 indent="1"/>
    </xf>
    <xf numFmtId="0" fontId="1" fillId="0" borderId="0" xfId="0" applyFont="1" applyFill="1" applyAlignment="1">
      <alignment vertical="center"/>
    </xf>
    <xf numFmtId="165" fontId="13" fillId="0" borderId="0" xfId="0" applyNumberFormat="1" applyFont="1" applyFill="1" applyAlignment="1">
      <alignment horizontal="right" vertical="center"/>
    </xf>
    <xf numFmtId="0" fontId="6" fillId="10" borderId="19" xfId="0" applyFont="1" applyFill="1" applyBorder="1" applyAlignment="1">
      <alignment horizontal="center" vertical="center"/>
    </xf>
    <xf numFmtId="0" fontId="6" fillId="9" borderId="19" xfId="0" applyFont="1" applyFill="1" applyBorder="1" applyAlignment="1">
      <alignment horizontal="center" vertical="center"/>
    </xf>
    <xf numFmtId="0" fontId="6" fillId="9" borderId="52" xfId="0" applyFont="1" applyFill="1" applyBorder="1" applyAlignment="1">
      <alignment vertical="center"/>
    </xf>
    <xf numFmtId="0" fontId="1" fillId="9" borderId="7" xfId="0" applyFont="1" applyFill="1" applyBorder="1" applyAlignment="1">
      <alignment vertical="center"/>
    </xf>
    <xf numFmtId="165" fontId="13" fillId="0" borderId="9" xfId="0" applyNumberFormat="1" applyFont="1" applyBorder="1" applyAlignment="1">
      <alignment horizontal="right" vertical="center"/>
    </xf>
    <xf numFmtId="0" fontId="6" fillId="9" borderId="53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1"/>
    </xf>
    <xf numFmtId="0" fontId="6" fillId="9" borderId="30" xfId="0" applyFont="1" applyFill="1" applyBorder="1" applyAlignment="1">
      <alignment vertical="center"/>
    </xf>
    <xf numFmtId="0" fontId="1" fillId="9" borderId="54" xfId="0" applyFont="1" applyFill="1" applyBorder="1" applyAlignment="1">
      <alignment vertical="center"/>
    </xf>
    <xf numFmtId="0" fontId="20" fillId="0" borderId="0" xfId="0" applyFont="1" applyAlignment="1">
      <alignment horizontal="center" vertical="center"/>
    </xf>
    <xf numFmtId="37" fontId="37" fillId="0" borderId="8" xfId="0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165" fontId="13" fillId="0" borderId="24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37" fontId="12" fillId="0" borderId="7" xfId="0" applyNumberFormat="1" applyFont="1" applyBorder="1" applyAlignment="1">
      <alignment vertical="center"/>
    </xf>
    <xf numFmtId="37" fontId="12" fillId="0" borderId="9" xfId="0" applyNumberFormat="1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29" fillId="0" borderId="4" xfId="0" applyFont="1" applyBorder="1" applyAlignment="1">
      <alignment horizontal="center" vertical="center"/>
    </xf>
    <xf numFmtId="0" fontId="20" fillId="0" borderId="0" xfId="0" applyFont="1" applyBorder="1" applyAlignment="1">
      <alignment horizontal="left" vertical="center"/>
    </xf>
    <xf numFmtId="165" fontId="12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horizontal="left" vertical="center" indent="1"/>
    </xf>
    <xf numFmtId="0" fontId="20" fillId="0" borderId="7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24" xfId="0" applyFont="1" applyBorder="1" applyAlignment="1">
      <alignment vertical="center"/>
    </xf>
    <xf numFmtId="37" fontId="8" fillId="0" borderId="24" xfId="0" applyNumberFormat="1" applyFont="1" applyBorder="1" applyAlignment="1">
      <alignment horizontal="right" vertical="center"/>
    </xf>
    <xf numFmtId="37" fontId="12" fillId="0" borderId="24" xfId="0" applyNumberFormat="1" applyFont="1" applyBorder="1" applyAlignment="1">
      <alignment horizontal="right" vertical="center"/>
    </xf>
    <xf numFmtId="37" fontId="8" fillId="0" borderId="36" xfId="0" applyNumberFormat="1" applyFont="1" applyBorder="1" applyAlignment="1">
      <alignment horizontal="right" vertical="center"/>
    </xf>
    <xf numFmtId="37" fontId="20" fillId="0" borderId="7" xfId="0" applyNumberFormat="1" applyFont="1" applyBorder="1" applyAlignment="1">
      <alignment horizontal="right" vertical="center"/>
    </xf>
    <xf numFmtId="37" fontId="20" fillId="0" borderId="9" xfId="0" applyNumberFormat="1" applyFont="1" applyBorder="1" applyAlignment="1">
      <alignment horizontal="right" vertical="center"/>
    </xf>
    <xf numFmtId="0" fontId="12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37" fontId="12" fillId="0" borderId="0" xfId="0" applyNumberFormat="1" applyFont="1" applyFill="1" applyAlignment="1">
      <alignment vertical="center"/>
    </xf>
    <xf numFmtId="0" fontId="29" fillId="0" borderId="0" xfId="0" applyFont="1" applyFill="1" applyAlignment="1">
      <alignment horizontal="center" vertical="center"/>
    </xf>
    <xf numFmtId="37" fontId="8" fillId="0" borderId="0" xfId="0" applyNumberFormat="1" applyFont="1" applyFill="1" applyAlignment="1">
      <alignment horizontal="right" vertical="center"/>
    </xf>
    <xf numFmtId="37" fontId="8" fillId="0" borderId="0" xfId="0" applyNumberFormat="1" applyFont="1" applyFill="1" applyBorder="1" applyAlignment="1">
      <alignment horizontal="right" vertical="center"/>
    </xf>
    <xf numFmtId="37" fontId="12" fillId="0" borderId="0" xfId="0" applyNumberFormat="1" applyFont="1" applyFill="1" applyBorder="1" applyAlignment="1">
      <alignment horizontal="right" vertical="center"/>
    </xf>
    <xf numFmtId="37" fontId="12" fillId="0" borderId="0" xfId="0" applyNumberFormat="1" applyFont="1" applyFill="1" applyAlignment="1">
      <alignment horizontal="right" vertical="center"/>
    </xf>
    <xf numFmtId="37" fontId="12" fillId="0" borderId="8" xfId="0" applyNumberFormat="1" applyFont="1" applyFill="1" applyBorder="1" applyAlignment="1">
      <alignment horizontal="right" vertical="center"/>
    </xf>
    <xf numFmtId="165" fontId="22" fillId="0" borderId="0" xfId="0" applyNumberFormat="1" applyFont="1" applyFill="1" applyBorder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38" fillId="8" borderId="1" xfId="0" applyFont="1" applyFill="1" applyBorder="1" applyAlignment="1">
      <alignment vertical="center"/>
    </xf>
    <xf numFmtId="0" fontId="38" fillId="8" borderId="1" xfId="0" applyFont="1" applyFill="1" applyBorder="1" applyAlignment="1">
      <alignment horizontal="center" vertical="center"/>
    </xf>
    <xf numFmtId="0" fontId="38" fillId="8" borderId="46" xfId="0" applyFont="1" applyFill="1" applyBorder="1" applyAlignment="1">
      <alignment horizontal="center" vertical="center"/>
    </xf>
    <xf numFmtId="0" fontId="38" fillId="8" borderId="4" xfId="0" applyFont="1" applyFill="1" applyBorder="1" applyAlignment="1">
      <alignment vertical="center"/>
    </xf>
    <xf numFmtId="37" fontId="8" fillId="0" borderId="8" xfId="0" applyNumberFormat="1" applyFont="1" applyFill="1" applyBorder="1" applyAlignment="1">
      <alignment horizontal="right" vertical="center"/>
    </xf>
    <xf numFmtId="165" fontId="40" fillId="2" borderId="2" xfId="0" applyNumberFormat="1" applyFont="1" applyFill="1" applyBorder="1" applyAlignment="1">
      <alignment vertical="center"/>
    </xf>
    <xf numFmtId="37" fontId="20" fillId="0" borderId="24" xfId="0" applyNumberFormat="1" applyFont="1" applyBorder="1" applyAlignment="1">
      <alignment vertical="center"/>
    </xf>
    <xf numFmtId="37" fontId="37" fillId="0" borderId="0" xfId="0" applyNumberFormat="1" applyFont="1" applyFill="1" applyAlignment="1">
      <alignment horizontal="center" vertical="center"/>
    </xf>
    <xf numFmtId="168" fontId="42" fillId="0" borderId="0" xfId="0" applyNumberFormat="1" applyFont="1"/>
    <xf numFmtId="0" fontId="6" fillId="0" borderId="0" xfId="0" applyFont="1" applyBorder="1" applyAlignment="1">
      <alignment vertical="center"/>
    </xf>
    <xf numFmtId="165" fontId="4" fillId="0" borderId="0" xfId="0" applyNumberFormat="1" applyFont="1" applyFill="1" applyAlignment="1">
      <alignment vertical="center"/>
    </xf>
    <xf numFmtId="164" fontId="1" fillId="0" borderId="0" xfId="0" applyNumberFormat="1" applyFont="1" applyFill="1" applyAlignment="1">
      <alignment vertical="center"/>
    </xf>
    <xf numFmtId="164" fontId="8" fillId="0" borderId="0" xfId="0" applyNumberFormat="1" applyFont="1" applyFill="1" applyAlignment="1">
      <alignment vertical="center"/>
    </xf>
    <xf numFmtId="165" fontId="11" fillId="0" borderId="0" xfId="0" applyNumberFormat="1" applyFont="1" applyFill="1" applyAlignment="1">
      <alignment vertical="center"/>
    </xf>
    <xf numFmtId="165" fontId="8" fillId="0" borderId="0" xfId="0" applyNumberFormat="1" applyFont="1" applyFill="1" applyAlignment="1">
      <alignment vertical="center"/>
    </xf>
    <xf numFmtId="37" fontId="1" fillId="0" borderId="0" xfId="0" applyNumberFormat="1" applyFont="1" applyFill="1" applyBorder="1" applyAlignment="1">
      <alignment vertical="center"/>
    </xf>
    <xf numFmtId="37" fontId="1" fillId="0" borderId="0" xfId="0" applyNumberFormat="1" applyFont="1" applyFill="1" applyAlignment="1">
      <alignment vertical="center"/>
    </xf>
    <xf numFmtId="37" fontId="1" fillId="0" borderId="25" xfId="0" applyNumberFormat="1" applyFont="1" applyFill="1" applyBorder="1" applyAlignment="1">
      <alignment vertical="center"/>
    </xf>
    <xf numFmtId="0" fontId="37" fillId="0" borderId="0" xfId="0" applyFont="1" applyAlignment="1">
      <alignment vertical="center"/>
    </xf>
    <xf numFmtId="164" fontId="37" fillId="0" borderId="0" xfId="0" applyNumberFormat="1" applyFont="1" applyAlignment="1">
      <alignment horizontal="center" vertical="center"/>
    </xf>
    <xf numFmtId="164" fontId="22" fillId="0" borderId="0" xfId="0" applyNumberFormat="1" applyFont="1" applyBorder="1" applyAlignment="1">
      <alignment vertical="center"/>
    </xf>
    <xf numFmtId="37" fontId="43" fillId="0" borderId="0" xfId="0" applyNumberFormat="1" applyFont="1" applyAlignment="1">
      <alignment vertical="center"/>
    </xf>
    <xf numFmtId="37" fontId="37" fillId="0" borderId="0" xfId="0" applyNumberFormat="1" applyFont="1" applyAlignment="1">
      <alignment vertical="center"/>
    </xf>
    <xf numFmtId="169" fontId="42" fillId="0" borderId="0" xfId="0" applyNumberFormat="1" applyFont="1"/>
    <xf numFmtId="37" fontId="8" fillId="0" borderId="5" xfId="0" applyNumberFormat="1" applyFont="1" applyBorder="1" applyAlignment="1">
      <alignment vertical="center"/>
    </xf>
    <xf numFmtId="37" fontId="12" fillId="0" borderId="5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0" fillId="0" borderId="0" xfId="0" applyAlignment="1">
      <alignment horizontal="left"/>
    </xf>
    <xf numFmtId="37" fontId="14" fillId="0" borderId="5" xfId="0" applyNumberFormat="1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37" fontId="37" fillId="0" borderId="0" xfId="0" applyNumberFormat="1" applyFont="1" applyAlignment="1">
      <alignment horizontal="center" vertical="center"/>
    </xf>
    <xf numFmtId="170" fontId="8" fillId="0" borderId="0" xfId="0" applyNumberFormat="1" applyFont="1" applyAlignment="1">
      <alignment vertical="center"/>
    </xf>
    <xf numFmtId="170" fontId="14" fillId="0" borderId="0" xfId="0" applyNumberFormat="1" applyFont="1" applyAlignment="1">
      <alignment vertical="center"/>
    </xf>
    <xf numFmtId="170" fontId="8" fillId="0" borderId="0" xfId="0" applyNumberFormat="1" applyFont="1" applyBorder="1" applyAlignment="1">
      <alignment vertical="center"/>
    </xf>
    <xf numFmtId="170" fontId="12" fillId="0" borderId="0" xfId="0" applyNumberFormat="1" applyFont="1" applyBorder="1" applyAlignment="1">
      <alignment vertical="center"/>
    </xf>
    <xf numFmtId="170" fontId="1" fillId="0" borderId="0" xfId="0" applyNumberFormat="1" applyFont="1" applyBorder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20" fillId="11" borderId="1" xfId="0" applyFont="1" applyFill="1" applyBorder="1" applyAlignment="1">
      <alignment vertical="center"/>
    </xf>
    <xf numFmtId="37" fontId="20" fillId="11" borderId="1" xfId="0" applyNumberFormat="1" applyFont="1" applyFill="1" applyBorder="1" applyAlignment="1">
      <alignment horizontal="right" vertical="center"/>
    </xf>
    <xf numFmtId="0" fontId="20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vertical="center"/>
    </xf>
    <xf numFmtId="0" fontId="1" fillId="11" borderId="0" xfId="0" applyFont="1" applyFill="1" applyAlignment="1">
      <alignment horizontal="center" vertical="center"/>
    </xf>
    <xf numFmtId="0" fontId="6" fillId="11" borderId="1" xfId="0" applyFont="1" applyFill="1" applyBorder="1" applyAlignment="1">
      <alignment vertical="center"/>
    </xf>
    <xf numFmtId="37" fontId="6" fillId="11" borderId="1" xfId="0" applyNumberFormat="1" applyFont="1" applyFill="1" applyBorder="1" applyAlignment="1">
      <alignment horizontal="right" vertical="center"/>
    </xf>
    <xf numFmtId="0" fontId="6" fillId="11" borderId="1" xfId="0" applyFont="1" applyFill="1" applyBorder="1" applyAlignment="1">
      <alignment horizontal="center" vertical="center"/>
    </xf>
    <xf numFmtId="0" fontId="44" fillId="0" borderId="0" xfId="0" applyFont="1" applyAlignment="1">
      <alignment horizontal="right"/>
    </xf>
    <xf numFmtId="0" fontId="45" fillId="0" borderId="0" xfId="0" applyFont="1" applyAlignment="1">
      <alignment horizontal="left"/>
    </xf>
    <xf numFmtId="169" fontId="45" fillId="0" borderId="0" xfId="0" applyNumberFormat="1" applyFont="1"/>
    <xf numFmtId="171" fontId="42" fillId="0" borderId="0" xfId="0" applyNumberFormat="1" applyFont="1" applyAlignment="1">
      <alignment horizontal="right"/>
    </xf>
    <xf numFmtId="171" fontId="45" fillId="0" borderId="0" xfId="0" applyNumberFormat="1" applyFont="1" applyAlignment="1">
      <alignment horizontal="right"/>
    </xf>
    <xf numFmtId="172" fontId="0" fillId="0" borderId="0" xfId="0" applyNumberFormat="1" applyAlignment="1">
      <alignment horizontal="right"/>
    </xf>
    <xf numFmtId="170" fontId="14" fillId="0" borderId="5" xfId="0" applyNumberFormat="1" applyFont="1" applyBorder="1" applyAlignment="1">
      <alignment vertical="center"/>
    </xf>
    <xf numFmtId="170" fontId="12" fillId="0" borderId="0" xfId="0" applyNumberFormat="1" applyFont="1" applyAlignment="1">
      <alignment vertical="center"/>
    </xf>
    <xf numFmtId="37" fontId="8" fillId="0" borderId="0" xfId="0" applyNumberFormat="1" applyFont="1" applyAlignment="1">
      <alignment vertical="center" wrapText="1"/>
    </xf>
    <xf numFmtId="0" fontId="4" fillId="0" borderId="5" xfId="0" applyFont="1" applyBorder="1" applyAlignment="1">
      <alignment horizontal="left" vertical="center" indent="1"/>
    </xf>
    <xf numFmtId="165" fontId="4" fillId="0" borderId="5" xfId="0" applyNumberFormat="1" applyFont="1" applyBorder="1" applyAlignment="1">
      <alignment vertical="center"/>
    </xf>
    <xf numFmtId="165" fontId="4" fillId="0" borderId="44" xfId="0" applyNumberFormat="1" applyFont="1" applyBorder="1" applyAlignment="1">
      <alignment vertical="center"/>
    </xf>
    <xf numFmtId="37" fontId="14" fillId="12" borderId="0" xfId="0" applyNumberFormat="1" applyFont="1" applyFill="1" applyAlignment="1">
      <alignment vertical="center"/>
    </xf>
    <xf numFmtId="0" fontId="46" fillId="0" borderId="0" xfId="0" applyFont="1" applyAlignment="1">
      <alignment vertical="center"/>
    </xf>
    <xf numFmtId="165" fontId="37" fillId="0" borderId="0" xfId="0" applyNumberFormat="1" applyFont="1" applyAlignment="1">
      <alignment vertical="center"/>
    </xf>
    <xf numFmtId="165" fontId="37" fillId="0" borderId="0" xfId="0" applyNumberFormat="1" applyFont="1" applyBorder="1" applyAlignment="1">
      <alignment vertical="center"/>
    </xf>
    <xf numFmtId="165" fontId="37" fillId="0" borderId="37" xfId="0" applyNumberFormat="1" applyFont="1" applyBorder="1" applyAlignment="1">
      <alignment vertical="center"/>
    </xf>
    <xf numFmtId="39" fontId="37" fillId="0" borderId="0" xfId="0" applyNumberFormat="1" applyFont="1" applyAlignment="1">
      <alignment vertical="center"/>
    </xf>
    <xf numFmtId="39" fontId="37" fillId="0" borderId="0" xfId="0" applyNumberFormat="1" applyFont="1" applyBorder="1" applyAlignment="1">
      <alignment vertical="center"/>
    </xf>
    <xf numFmtId="39" fontId="37" fillId="0" borderId="37" xfId="0" applyNumberFormat="1" applyFont="1" applyBorder="1" applyAlignment="1">
      <alignment vertical="center"/>
    </xf>
    <xf numFmtId="39" fontId="47" fillId="0" borderId="0" xfId="0" applyNumberFormat="1" applyFont="1" applyAlignment="1">
      <alignment vertical="center"/>
    </xf>
    <xf numFmtId="0" fontId="37" fillId="13" borderId="0" xfId="0" applyFont="1" applyFill="1" applyAlignment="1">
      <alignment horizontal="left" vertical="center" indent="1"/>
    </xf>
    <xf numFmtId="0" fontId="41" fillId="13" borderId="0" xfId="0" applyFont="1" applyFill="1" applyAlignment="1">
      <alignment vertical="center"/>
    </xf>
    <xf numFmtId="165" fontId="37" fillId="13" borderId="0" xfId="0" applyNumberFormat="1" applyFont="1" applyFill="1" applyAlignment="1">
      <alignment vertical="center"/>
    </xf>
    <xf numFmtId="165" fontId="37" fillId="13" borderId="0" xfId="0" applyNumberFormat="1" applyFont="1" applyFill="1" applyBorder="1" applyAlignment="1">
      <alignment vertical="center"/>
    </xf>
    <xf numFmtId="165" fontId="37" fillId="13" borderId="37" xfId="0" applyNumberFormat="1" applyFont="1" applyFill="1" applyBorder="1" applyAlignment="1">
      <alignment vertical="center"/>
    </xf>
    <xf numFmtId="39" fontId="14" fillId="0" borderId="37" xfId="0" applyNumberFormat="1" applyFont="1" applyBorder="1" applyAlignment="1">
      <alignment vertical="center"/>
    </xf>
    <xf numFmtId="10" fontId="14" fillId="0" borderId="0" xfId="0" applyNumberFormat="1" applyFont="1" applyBorder="1" applyAlignment="1">
      <alignment vertical="center"/>
    </xf>
    <xf numFmtId="10" fontId="14" fillId="0" borderId="37" xfId="0" applyNumberFormat="1" applyFont="1" applyBorder="1" applyAlignment="1">
      <alignment vertical="center"/>
    </xf>
    <xf numFmtId="10" fontId="14" fillId="0" borderId="8" xfId="0" applyNumberFormat="1" applyFont="1" applyBorder="1" applyAlignment="1">
      <alignment vertical="center"/>
    </xf>
    <xf numFmtId="10" fontId="14" fillId="0" borderId="13" xfId="0" applyNumberFormat="1" applyFont="1" applyBorder="1" applyAlignment="1">
      <alignment vertical="center"/>
    </xf>
    <xf numFmtId="10" fontId="14" fillId="0" borderId="0" xfId="0" applyNumberFormat="1" applyFont="1" applyAlignment="1">
      <alignment vertical="center"/>
    </xf>
    <xf numFmtId="165" fontId="22" fillId="2" borderId="2" xfId="0" applyNumberFormat="1" applyFont="1" applyFill="1" applyBorder="1" applyAlignment="1">
      <alignment vertical="center"/>
    </xf>
    <xf numFmtId="41" fontId="14" fillId="2" borderId="2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12" fillId="0" borderId="7" xfId="0" applyFont="1" applyFill="1" applyBorder="1" applyAlignment="1">
      <alignment vertical="center"/>
    </xf>
    <xf numFmtId="0" fontId="1" fillId="0" borderId="7" xfId="0" applyFont="1" applyFill="1" applyBorder="1" applyAlignment="1">
      <alignment horizontal="left" vertical="center"/>
    </xf>
    <xf numFmtId="165" fontId="40" fillId="0" borderId="0" xfId="0" applyNumberFormat="1" applyFont="1" applyFill="1" applyBorder="1" applyAlignment="1">
      <alignment vertical="center"/>
    </xf>
    <xf numFmtId="41" fontId="12" fillId="2" borderId="2" xfId="0" applyNumberFormat="1" applyFont="1" applyFill="1" applyBorder="1" applyAlignment="1">
      <alignment vertical="center"/>
    </xf>
    <xf numFmtId="37" fontId="20" fillId="0" borderId="0" xfId="0" applyNumberFormat="1" applyFont="1" applyFill="1" applyAlignment="1">
      <alignment vertical="center"/>
    </xf>
    <xf numFmtId="37" fontId="6" fillId="0" borderId="6" xfId="0" applyNumberFormat="1" applyFont="1" applyBorder="1" applyAlignment="1">
      <alignment horizontal="right" vertical="center"/>
    </xf>
    <xf numFmtId="37" fontId="31" fillId="0" borderId="6" xfId="0" applyNumberFormat="1" applyFont="1" applyBorder="1" applyAlignment="1">
      <alignment horizontal="right" vertical="center"/>
    </xf>
    <xf numFmtId="37" fontId="20" fillId="0" borderId="6" xfId="0" applyNumberFormat="1" applyFont="1" applyBorder="1" applyAlignment="1">
      <alignment horizontal="right" vertical="center"/>
    </xf>
    <xf numFmtId="165" fontId="40" fillId="2" borderId="55" xfId="0" applyNumberFormat="1" applyFont="1" applyFill="1" applyBorder="1" applyAlignment="1">
      <alignment vertical="center"/>
    </xf>
    <xf numFmtId="165" fontId="40" fillId="2" borderId="20" xfId="0" applyNumberFormat="1" applyFont="1" applyFill="1" applyBorder="1" applyAlignment="1">
      <alignment vertical="center"/>
    </xf>
    <xf numFmtId="41" fontId="14" fillId="2" borderId="20" xfId="0" applyNumberFormat="1" applyFont="1" applyFill="1" applyBorder="1" applyAlignment="1">
      <alignment vertical="center"/>
    </xf>
    <xf numFmtId="41" fontId="12" fillId="2" borderId="20" xfId="0" applyNumberFormat="1" applyFont="1" applyFill="1" applyBorder="1" applyAlignment="1">
      <alignment vertical="center"/>
    </xf>
    <xf numFmtId="165" fontId="22" fillId="2" borderId="20" xfId="0" applyNumberFormat="1" applyFont="1" applyFill="1" applyBorder="1" applyAlignment="1">
      <alignment vertical="center"/>
    </xf>
    <xf numFmtId="165" fontId="40" fillId="2" borderId="56" xfId="0" applyNumberFormat="1" applyFont="1" applyFill="1" applyBorder="1" applyAlignment="1">
      <alignment vertical="center"/>
    </xf>
    <xf numFmtId="37" fontId="37" fillId="0" borderId="8" xfId="0" applyNumberFormat="1" applyFont="1" applyFill="1" applyBorder="1" applyAlignment="1">
      <alignment horizontal="center" vertical="center"/>
    </xf>
    <xf numFmtId="37" fontId="12" fillId="0" borderId="10" xfId="0" applyNumberFormat="1" applyFont="1" applyBorder="1" applyAlignment="1">
      <alignment vertical="center"/>
    </xf>
    <xf numFmtId="165" fontId="12" fillId="0" borderId="8" xfId="0" applyNumberFormat="1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29" fillId="0" borderId="1" xfId="0" applyFont="1" applyBorder="1" applyAlignment="1">
      <alignment horizontal="center" vertical="center"/>
    </xf>
    <xf numFmtId="37" fontId="31" fillId="0" borderId="12" xfId="0" applyNumberFormat="1" applyFont="1" applyBorder="1" applyAlignment="1">
      <alignment horizontal="right" vertical="center"/>
    </xf>
    <xf numFmtId="9" fontId="4" fillId="0" borderId="0" xfId="2" applyFont="1" applyBorder="1" applyAlignment="1">
      <alignment vertical="center"/>
    </xf>
    <xf numFmtId="39" fontId="1" fillId="0" borderId="0" xfId="0" applyNumberFormat="1" applyFont="1" applyFill="1" applyBorder="1" applyAlignment="1">
      <alignment vertical="center"/>
    </xf>
    <xf numFmtId="39" fontId="14" fillId="2" borderId="57" xfId="0" applyNumberFormat="1" applyFont="1" applyFill="1" applyBorder="1" applyAlignment="1">
      <alignment vertical="center"/>
    </xf>
    <xf numFmtId="39" fontId="1" fillId="0" borderId="58" xfId="0" applyNumberFormat="1" applyFont="1" applyBorder="1" applyAlignment="1">
      <alignment vertical="center"/>
    </xf>
    <xf numFmtId="39" fontId="1" fillId="0" borderId="45" xfId="0" applyNumberFormat="1" applyFont="1" applyBorder="1" applyAlignment="1">
      <alignment vertical="center"/>
    </xf>
    <xf numFmtId="170" fontId="14" fillId="2" borderId="57" xfId="0" applyNumberFormat="1" applyFont="1" applyFill="1" applyBorder="1" applyAlignment="1">
      <alignment vertical="center"/>
    </xf>
    <xf numFmtId="41" fontId="1" fillId="0" borderId="4" xfId="0" applyNumberFormat="1" applyFont="1" applyBorder="1" applyAlignment="1">
      <alignment vertical="center"/>
    </xf>
    <xf numFmtId="39" fontId="1" fillId="0" borderId="5" xfId="0" applyNumberFormat="1" applyFont="1" applyBorder="1" applyAlignment="1">
      <alignment vertical="center"/>
    </xf>
    <xf numFmtId="170" fontId="14" fillId="2" borderId="2" xfId="0" applyNumberFormat="1" applyFont="1" applyFill="1" applyBorder="1" applyAlignment="1">
      <alignment vertical="center"/>
    </xf>
    <xf numFmtId="37" fontId="20" fillId="0" borderId="0" xfId="0" applyNumberFormat="1" applyFont="1" applyAlignment="1">
      <alignment vertical="center"/>
    </xf>
    <xf numFmtId="37" fontId="14" fillId="2" borderId="2" xfId="0" applyNumberFormat="1" applyFont="1" applyFill="1" applyBorder="1" applyAlignment="1">
      <alignment vertical="center"/>
    </xf>
    <xf numFmtId="165" fontId="4" fillId="0" borderId="45" xfId="0" applyNumberFormat="1" applyFont="1" applyBorder="1" applyAlignment="1">
      <alignment vertical="center"/>
    </xf>
    <xf numFmtId="166" fontId="1" fillId="0" borderId="0" xfId="0" applyNumberFormat="1" applyFont="1" applyBorder="1" applyAlignment="1">
      <alignment vertical="center"/>
    </xf>
    <xf numFmtId="170" fontId="12" fillId="2" borderId="49" xfId="0" applyNumberFormat="1" applyFont="1" applyFill="1" applyBorder="1" applyAlignment="1">
      <alignment vertical="center"/>
    </xf>
    <xf numFmtId="170" fontId="12" fillId="2" borderId="2" xfId="0" applyNumberFormat="1" applyFont="1" applyFill="1" applyBorder="1" applyAlignment="1">
      <alignment vertical="center"/>
    </xf>
    <xf numFmtId="173" fontId="14" fillId="2" borderId="2" xfId="0" applyNumberFormat="1" applyFont="1" applyFill="1" applyBorder="1" applyAlignment="1">
      <alignment vertical="center"/>
    </xf>
    <xf numFmtId="9" fontId="14" fillId="2" borderId="2" xfId="2" applyFont="1" applyFill="1" applyBorder="1" applyAlignment="1">
      <alignment vertical="center"/>
    </xf>
    <xf numFmtId="170" fontId="14" fillId="2" borderId="49" xfId="0" applyNumberFormat="1" applyFont="1" applyFill="1" applyBorder="1" applyAlignment="1">
      <alignment vertical="center"/>
    </xf>
    <xf numFmtId="37" fontId="12" fillId="2" borderId="2" xfId="0" applyNumberFormat="1" applyFont="1" applyFill="1" applyBorder="1" applyAlignment="1">
      <alignment vertical="center"/>
    </xf>
    <xf numFmtId="37" fontId="37" fillId="0" borderId="0" xfId="0" applyNumberFormat="1" applyFont="1" applyBorder="1" applyAlignment="1">
      <alignment horizontal="center" vertical="center"/>
    </xf>
    <xf numFmtId="165" fontId="40" fillId="2" borderId="3" xfId="0" applyNumberFormat="1" applyFont="1" applyFill="1" applyBorder="1" applyAlignment="1">
      <alignment vertical="center"/>
    </xf>
    <xf numFmtId="37" fontId="6" fillId="0" borderId="37" xfId="0" applyNumberFormat="1" applyFont="1" applyBorder="1" applyAlignment="1">
      <alignment vertical="center"/>
    </xf>
    <xf numFmtId="10" fontId="1" fillId="0" borderId="0" xfId="2" applyNumberFormat="1" applyFont="1" applyAlignment="1">
      <alignment vertical="center"/>
    </xf>
    <xf numFmtId="9" fontId="4" fillId="0" borderId="0" xfId="2" applyFont="1" applyAlignment="1">
      <alignment vertical="center"/>
    </xf>
    <xf numFmtId="165" fontId="4" fillId="0" borderId="0" xfId="2" applyNumberFormat="1" applyFont="1" applyAlignment="1">
      <alignment vertical="center"/>
    </xf>
    <xf numFmtId="0" fontId="14" fillId="0" borderId="0" xfId="0" applyFont="1" applyAlignment="1">
      <alignment vertical="center"/>
    </xf>
    <xf numFmtId="39" fontId="14" fillId="0" borderId="0" xfId="0" applyNumberFormat="1" applyFont="1" applyAlignment="1">
      <alignment vertical="center"/>
    </xf>
    <xf numFmtId="39" fontId="14" fillId="0" borderId="0" xfId="0" applyNumberFormat="1" applyFont="1" applyBorder="1" applyAlignment="1">
      <alignment vertical="center"/>
    </xf>
    <xf numFmtId="10" fontId="4" fillId="0" borderId="0" xfId="2" applyNumberFormat="1" applyFont="1" applyAlignment="1">
      <alignment vertical="center"/>
    </xf>
    <xf numFmtId="44" fontId="14" fillId="2" borderId="2" xfId="4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9" fontId="1" fillId="0" borderId="25" xfId="0" applyNumberFormat="1" applyFont="1" applyBorder="1" applyAlignment="1">
      <alignment vertical="center"/>
    </xf>
    <xf numFmtId="165" fontId="4" fillId="0" borderId="25" xfId="2" applyNumberFormat="1" applyFont="1" applyBorder="1" applyAlignment="1">
      <alignment vertical="center"/>
    </xf>
    <xf numFmtId="44" fontId="14" fillId="2" borderId="49" xfId="4" applyFont="1" applyFill="1" applyBorder="1" applyAlignment="1">
      <alignment vertical="center"/>
    </xf>
    <xf numFmtId="10" fontId="4" fillId="0" borderId="25" xfId="2" applyNumberFormat="1" applyFont="1" applyBorder="1" applyAlignment="1">
      <alignment vertical="center"/>
    </xf>
    <xf numFmtId="164" fontId="14" fillId="2" borderId="49" xfId="0" applyNumberFormat="1" applyFont="1" applyFill="1" applyBorder="1" applyAlignment="1">
      <alignment vertical="center"/>
    </xf>
    <xf numFmtId="164" fontId="14" fillId="2" borderId="2" xfId="0" applyNumberFormat="1" applyFont="1" applyFill="1" applyBorder="1" applyAlignment="1">
      <alignment vertical="center"/>
    </xf>
    <xf numFmtId="165" fontId="4" fillId="0" borderId="0" xfId="2" applyNumberFormat="1" applyFont="1" applyBorder="1" applyAlignment="1">
      <alignment vertical="center"/>
    </xf>
    <xf numFmtId="10" fontId="4" fillId="0" borderId="0" xfId="2" applyNumberFormat="1" applyFont="1" applyBorder="1" applyAlignment="1">
      <alignment vertical="center"/>
    </xf>
    <xf numFmtId="39" fontId="14" fillId="2" borderId="5" xfId="0" applyNumberFormat="1" applyFont="1" applyFill="1" applyBorder="1" applyAlignment="1">
      <alignment vertical="center"/>
    </xf>
    <xf numFmtId="9" fontId="1" fillId="0" borderId="0" xfId="2" applyFont="1" applyBorder="1" applyAlignment="1">
      <alignment vertical="center"/>
    </xf>
    <xf numFmtId="164" fontId="37" fillId="0" borderId="0" xfId="0" applyNumberFormat="1" applyFont="1" applyBorder="1" applyAlignment="1">
      <alignment horizontal="center" vertical="center"/>
    </xf>
    <xf numFmtId="37" fontId="37" fillId="0" borderId="0" xfId="0" applyNumberFormat="1" applyFont="1" applyBorder="1" applyAlignment="1">
      <alignment vertical="center"/>
    </xf>
    <xf numFmtId="37" fontId="43" fillId="0" borderId="0" xfId="0" applyNumberFormat="1" applyFont="1" applyBorder="1" applyAlignment="1">
      <alignment vertical="center"/>
    </xf>
    <xf numFmtId="37" fontId="1" fillId="0" borderId="25" xfId="0" applyNumberFormat="1" applyFont="1" applyBorder="1" applyAlignment="1">
      <alignment horizontal="right" vertical="center"/>
    </xf>
    <xf numFmtId="37" fontId="6" fillId="0" borderId="46" xfId="0" applyNumberFormat="1" applyFont="1" applyBorder="1" applyAlignment="1">
      <alignment vertical="center"/>
    </xf>
    <xf numFmtId="165" fontId="1" fillId="0" borderId="47" xfId="0" applyNumberFormat="1" applyFont="1" applyBorder="1" applyAlignment="1">
      <alignment vertical="center"/>
    </xf>
    <xf numFmtId="165" fontId="4" fillId="0" borderId="47" xfId="0" applyNumberFormat="1" applyFont="1" applyBorder="1" applyAlignment="1">
      <alignment vertical="center"/>
    </xf>
    <xf numFmtId="37" fontId="6" fillId="0" borderId="47" xfId="0" applyNumberFormat="1" applyFont="1" applyBorder="1" applyAlignment="1">
      <alignment horizontal="right" vertical="center"/>
    </xf>
    <xf numFmtId="37" fontId="6" fillId="0" borderId="46" xfId="0" applyNumberFormat="1" applyFont="1" applyBorder="1" applyAlignment="1">
      <alignment horizontal="right" vertical="center"/>
    </xf>
    <xf numFmtId="170" fontId="1" fillId="0" borderId="25" xfId="0" applyNumberFormat="1" applyFont="1" applyBorder="1" applyAlignment="1">
      <alignment horizontal="center" vertical="center"/>
    </xf>
    <xf numFmtId="37" fontId="6" fillId="11" borderId="46" xfId="0" applyNumberFormat="1" applyFont="1" applyFill="1" applyBorder="1" applyAlignment="1">
      <alignment horizontal="right" vertical="center"/>
    </xf>
    <xf numFmtId="37" fontId="20" fillId="11" borderId="46" xfId="0" applyNumberFormat="1" applyFont="1" applyFill="1" applyBorder="1" applyAlignment="1">
      <alignment horizontal="right" vertical="center"/>
    </xf>
    <xf numFmtId="37" fontId="14" fillId="2" borderId="49" xfId="0" applyNumberFormat="1" applyFont="1" applyFill="1" applyBorder="1" applyAlignment="1">
      <alignment vertical="center"/>
    </xf>
    <xf numFmtId="165" fontId="40" fillId="2" borderId="48" xfId="0" applyNumberFormat="1" applyFont="1" applyFill="1" applyBorder="1" applyAlignment="1">
      <alignment vertical="center"/>
    </xf>
    <xf numFmtId="37" fontId="8" fillId="0" borderId="25" xfId="0" applyNumberFormat="1" applyFont="1" applyBorder="1" applyAlignment="1">
      <alignment vertical="center"/>
    </xf>
    <xf numFmtId="170" fontId="14" fillId="2" borderId="59" xfId="0" applyNumberFormat="1" applyFont="1" applyFill="1" applyBorder="1" applyAlignment="1">
      <alignment vertical="center"/>
    </xf>
    <xf numFmtId="41" fontId="1" fillId="0" borderId="47" xfId="0" applyNumberFormat="1" applyFont="1" applyBorder="1" applyAlignment="1">
      <alignment vertical="center"/>
    </xf>
    <xf numFmtId="0" fontId="1" fillId="0" borderId="45" xfId="0" applyFont="1" applyBorder="1" applyAlignment="1">
      <alignment vertical="center"/>
    </xf>
    <xf numFmtId="39" fontId="14" fillId="2" borderId="59" xfId="0" applyNumberFormat="1" applyFont="1" applyFill="1" applyBorder="1" applyAlignment="1">
      <alignment vertical="center"/>
    </xf>
    <xf numFmtId="173" fontId="14" fillId="2" borderId="59" xfId="0" applyNumberFormat="1" applyFont="1" applyFill="1" applyBorder="1" applyAlignment="1">
      <alignment vertical="center"/>
    </xf>
    <xf numFmtId="9" fontId="14" fillId="2" borderId="59" xfId="2" applyFont="1" applyFill="1" applyBorder="1" applyAlignment="1">
      <alignment vertical="center"/>
    </xf>
    <xf numFmtId="164" fontId="37" fillId="0" borderId="25" xfId="0" applyNumberFormat="1" applyFont="1" applyBorder="1" applyAlignment="1">
      <alignment horizontal="center" vertical="center"/>
    </xf>
    <xf numFmtId="164" fontId="22" fillId="0" borderId="25" xfId="0" applyNumberFormat="1" applyFont="1" applyBorder="1" applyAlignment="1">
      <alignment vertical="center"/>
    </xf>
    <xf numFmtId="37" fontId="8" fillId="0" borderId="45" xfId="0" applyNumberFormat="1" applyFont="1" applyBorder="1" applyAlignment="1">
      <alignment vertical="center"/>
    </xf>
    <xf numFmtId="37" fontId="22" fillId="0" borderId="25" xfId="0" applyNumberFormat="1" applyFont="1" applyBorder="1" applyAlignment="1">
      <alignment vertical="center"/>
    </xf>
    <xf numFmtId="37" fontId="20" fillId="0" borderId="25" xfId="0" applyNumberFormat="1" applyFont="1" applyBorder="1" applyAlignment="1">
      <alignment vertical="center"/>
    </xf>
    <xf numFmtId="164" fontId="6" fillId="0" borderId="47" xfId="0" applyNumberFormat="1" applyFont="1" applyBorder="1" applyAlignment="1">
      <alignment vertical="center"/>
    </xf>
    <xf numFmtId="37" fontId="12" fillId="2" borderId="49" xfId="0" applyNumberFormat="1" applyFont="1" applyFill="1" applyBorder="1" applyAlignment="1">
      <alignment vertical="center"/>
    </xf>
    <xf numFmtId="37" fontId="14" fillId="14" borderId="25" xfId="0" applyNumberFormat="1" applyFont="1" applyFill="1" applyBorder="1" applyAlignment="1">
      <alignment vertical="center"/>
    </xf>
    <xf numFmtId="37" fontId="14" fillId="14" borderId="45" xfId="0" applyNumberFormat="1" applyFont="1" applyFill="1" applyBorder="1" applyAlignment="1">
      <alignment vertical="center"/>
    </xf>
    <xf numFmtId="37" fontId="37" fillId="0" borderId="25" xfId="0" applyNumberFormat="1" applyFont="1" applyBorder="1" applyAlignment="1">
      <alignment horizontal="center" vertical="center"/>
    </xf>
    <xf numFmtId="10" fontId="1" fillId="0" borderId="25" xfId="2" applyNumberFormat="1" applyFont="1" applyBorder="1" applyAlignment="1">
      <alignment vertical="center"/>
    </xf>
    <xf numFmtId="0" fontId="48" fillId="0" borderId="0" xfId="0" applyFont="1"/>
    <xf numFmtId="0" fontId="49" fillId="0" borderId="0" xfId="0" applyFont="1"/>
    <xf numFmtId="37" fontId="0" fillId="0" borderId="0" xfId="0" applyNumberFormat="1"/>
    <xf numFmtId="9" fontId="48" fillId="0" borderId="0" xfId="2" applyFont="1"/>
    <xf numFmtId="37" fontId="50" fillId="0" borderId="0" xfId="3" applyNumberFormat="1" applyFont="1" applyFill="1" applyBorder="1" applyAlignment="1">
      <alignment vertical="center"/>
    </xf>
    <xf numFmtId="165" fontId="48" fillId="0" borderId="0" xfId="2" applyNumberFormat="1" applyFont="1"/>
    <xf numFmtId="165" fontId="48" fillId="0" borderId="0" xfId="0" applyNumberFormat="1" applyFont="1"/>
    <xf numFmtId="0" fontId="51" fillId="11" borderId="0" xfId="0" applyFont="1" applyFill="1"/>
    <xf numFmtId="0" fontId="52" fillId="0" borderId="0" xfId="0" applyFont="1"/>
    <xf numFmtId="165" fontId="52" fillId="0" borderId="0" xfId="0" applyNumberFormat="1" applyFont="1"/>
    <xf numFmtId="0" fontId="32" fillId="0" borderId="0" xfId="0" applyFont="1"/>
    <xf numFmtId="0" fontId="53" fillId="0" borderId="0" xfId="0" applyFont="1"/>
    <xf numFmtId="164" fontId="12" fillId="0" borderId="4" xfId="0" applyNumberFormat="1" applyFont="1" applyFill="1" applyBorder="1" applyAlignment="1">
      <alignment vertical="center"/>
    </xf>
    <xf numFmtId="164" fontId="12" fillId="0" borderId="39" xfId="0" applyNumberFormat="1" applyFont="1" applyFill="1" applyBorder="1" applyAlignment="1">
      <alignment vertical="center"/>
    </xf>
    <xf numFmtId="164" fontId="12" fillId="0" borderId="10" xfId="0" applyNumberFormat="1" applyFont="1" applyFill="1" applyBorder="1" applyAlignment="1">
      <alignment vertical="center"/>
    </xf>
    <xf numFmtId="164" fontId="12" fillId="0" borderId="18" xfId="0" applyNumberFormat="1" applyFont="1" applyFill="1" applyBorder="1" applyAlignment="1">
      <alignment vertical="center"/>
    </xf>
    <xf numFmtId="44" fontId="6" fillId="3" borderId="19" xfId="4" applyFont="1" applyFill="1" applyBorder="1" applyAlignment="1">
      <alignment vertical="center"/>
    </xf>
    <xf numFmtId="164" fontId="1" fillId="0" borderId="60" xfId="0" applyNumberFormat="1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5" fillId="0" borderId="60" xfId="0" applyFont="1" applyBorder="1" applyAlignment="1">
      <alignment vertical="center"/>
    </xf>
    <xf numFmtId="165" fontId="1" fillId="0" borderId="60" xfId="0" applyNumberFormat="1" applyFont="1" applyBorder="1" applyAlignment="1">
      <alignment vertical="center"/>
    </xf>
    <xf numFmtId="39" fontId="1" fillId="0" borderId="60" xfId="0" applyNumberFormat="1" applyFont="1" applyBorder="1" applyAlignment="1">
      <alignment vertical="center"/>
    </xf>
    <xf numFmtId="165" fontId="4" fillId="0" borderId="0" xfId="0" applyNumberFormat="1" applyFont="1" applyFill="1" applyBorder="1" applyAlignment="1">
      <alignment vertical="center"/>
    </xf>
    <xf numFmtId="0" fontId="6" fillId="0" borderId="2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/>
    </xf>
    <xf numFmtId="37" fontId="13" fillId="0" borderId="25" xfId="0" applyNumberFormat="1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37" fontId="1" fillId="0" borderId="8" xfId="0" applyNumberFormat="1" applyFont="1" applyFill="1" applyBorder="1" applyAlignment="1">
      <alignment vertical="center"/>
    </xf>
    <xf numFmtId="39" fontId="1" fillId="0" borderId="0" xfId="0" applyNumberFormat="1" applyFont="1" applyFill="1" applyAlignment="1">
      <alignment vertical="center"/>
    </xf>
    <xf numFmtId="37" fontId="12" fillId="0" borderId="25" xfId="0" applyNumberFormat="1" applyFont="1" applyFill="1" applyBorder="1" applyAlignment="1">
      <alignment vertical="center"/>
    </xf>
    <xf numFmtId="0" fontId="0" fillId="6" borderId="0" xfId="0" applyFill="1" applyBorder="1" applyAlignment="1">
      <alignment horizontal="right" vertical="center"/>
    </xf>
    <xf numFmtId="0" fontId="0" fillId="0" borderId="0" xfId="0" applyBorder="1" applyAlignment="1">
      <alignment vertical="center"/>
    </xf>
    <xf numFmtId="39" fontId="0" fillId="0" borderId="0" xfId="0" applyNumberFormat="1" applyFill="1" applyBorder="1" applyAlignment="1">
      <alignment vertical="center"/>
    </xf>
    <xf numFmtId="0" fontId="0" fillId="6" borderId="8" xfId="0" applyFill="1" applyBorder="1" applyAlignment="1">
      <alignment horizontal="right" vertical="center"/>
    </xf>
    <xf numFmtId="37" fontId="0" fillId="0" borderId="8" xfId="0" applyNumberFormat="1" applyFill="1" applyBorder="1" applyAlignment="1">
      <alignment vertical="center"/>
    </xf>
    <xf numFmtId="39" fontId="0" fillId="0" borderId="8" xfId="0" applyNumberFormat="1" applyFill="1" applyBorder="1" applyAlignment="1">
      <alignment vertical="center"/>
    </xf>
    <xf numFmtId="0" fontId="0" fillId="0" borderId="8" xfId="0" applyBorder="1" applyAlignment="1">
      <alignment vertical="center"/>
    </xf>
    <xf numFmtId="9" fontId="0" fillId="0" borderId="8" xfId="0" applyNumberFormat="1" applyFill="1" applyBorder="1" applyAlignment="1">
      <alignment vertical="center"/>
    </xf>
    <xf numFmtId="165" fontId="0" fillId="0" borderId="8" xfId="0" applyNumberFormat="1" applyFill="1" applyBorder="1" applyAlignment="1">
      <alignment vertical="center"/>
    </xf>
    <xf numFmtId="37" fontId="0" fillId="0" borderId="0" xfId="0" applyNumberForma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8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35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31" xfId="0" applyFill="1" applyBorder="1" applyAlignment="1">
      <alignment vertical="center"/>
    </xf>
    <xf numFmtId="165" fontId="0" fillId="0" borderId="8" xfId="0" applyNumberFormat="1" applyBorder="1" applyAlignment="1">
      <alignment vertical="center"/>
    </xf>
    <xf numFmtId="0" fontId="54" fillId="12" borderId="0" xfId="0" applyFont="1" applyFill="1" applyAlignment="1">
      <alignment vertical="center"/>
    </xf>
    <xf numFmtId="0" fontId="16" fillId="12" borderId="0" xfId="0" applyFont="1" applyFill="1" applyAlignment="1">
      <alignment vertical="center"/>
    </xf>
    <xf numFmtId="0" fontId="13" fillId="12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</cellXfs>
  <cellStyles count="5">
    <cellStyle name="Comma" xfId="3" builtinId="3"/>
    <cellStyle name="Currency" xfId="4" builtinId="4"/>
    <cellStyle name="Norm੎੎ 2 3" xfId="1" xr:uid="{E25286A0-8514-441C-A804-D0940437F1DA}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2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7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0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56" Type="http://schemas.openxmlformats.org/officeDocument/2006/relationships/externalLink" Target="externalLinks/externalLink45.xml"/><Relationship Id="rId64" Type="http://schemas.openxmlformats.org/officeDocument/2006/relationships/theme" Target="theme/theme1.xml"/><Relationship Id="rId6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48.xml"/><Relationship Id="rId67" Type="http://schemas.openxmlformats.org/officeDocument/2006/relationships/sheetMetadata" Target="metadata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54" Type="http://schemas.openxmlformats.org/officeDocument/2006/relationships/externalLink" Target="externalLinks/externalLink43.xml"/><Relationship Id="rId62" Type="http://schemas.openxmlformats.org/officeDocument/2006/relationships/externalLink" Target="externalLinks/externalLink5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38.xml"/><Relationship Id="rId57" Type="http://schemas.openxmlformats.org/officeDocument/2006/relationships/externalLink" Target="externalLinks/externalLink4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49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Relationship Id="rId34" Type="http://schemas.openxmlformats.org/officeDocument/2006/relationships/externalLink" Target="externalLinks/externalLink23.xml"/><Relationship Id="rId50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4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 Profit Mapping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'Operating Leverage'!$C$14:$C$28</c:f>
              <c:numCache>
                <c:formatCode>#,##0_);\(#,##0\)</c:formatCode>
                <c:ptCount val="15"/>
                <c:pt idx="0" formatCode="General">
                  <c:v>45462</c:v>
                </c:pt>
                <c:pt idx="1">
                  <c:v>54722</c:v>
                </c:pt>
                <c:pt idx="2">
                  <c:v>53800</c:v>
                </c:pt>
                <c:pt idx="3">
                  <c:v>41748</c:v>
                </c:pt>
                <c:pt idx="4">
                  <c:v>50971</c:v>
                </c:pt>
                <c:pt idx="5">
                  <c:v>59427</c:v>
                </c:pt>
                <c:pt idx="6">
                  <c:v>67060</c:v>
                </c:pt>
                <c:pt idx="7">
                  <c:v>65281.25</c:v>
                </c:pt>
                <c:pt idx="8">
                  <c:v>64977.724500000004</c:v>
                </c:pt>
                <c:pt idx="9">
                  <c:v>68040.728292802713</c:v>
                </c:pt>
                <c:pt idx="10">
                  <c:v>70834.322720358614</c:v>
                </c:pt>
                <c:pt idx="11">
                  <c:v>73747.556299474512</c:v>
                </c:pt>
                <c:pt idx="12">
                  <c:v>76785.725945698825</c:v>
                </c:pt>
                <c:pt idx="13">
                  <c:v>79954.369269448609</c:v>
                </c:pt>
                <c:pt idx="14">
                  <c:v>83259.275737306787</c:v>
                </c:pt>
              </c:numCache>
            </c:numRef>
          </c:xVal>
          <c:yVal>
            <c:numRef>
              <c:f>'Operating Leverage'!$D$14:$D$28</c:f>
              <c:numCache>
                <c:formatCode>General</c:formatCode>
                <c:ptCount val="15"/>
                <c:pt idx="0">
                  <c:v>9.8103910958602783E-2</c:v>
                </c:pt>
                <c:pt idx="1">
                  <c:v>0.15154782354446109</c:v>
                </c:pt>
                <c:pt idx="2">
                  <c:v>0.15408921933085501</c:v>
                </c:pt>
                <c:pt idx="3">
                  <c:v>0.10905911660438823</c:v>
                </c:pt>
                <c:pt idx="4">
                  <c:v>0.13493947538796572</c:v>
                </c:pt>
                <c:pt idx="5">
                  <c:v>0.13300351691991855</c:v>
                </c:pt>
                <c:pt idx="6">
                  <c:v>0.19334923948702654</c:v>
                </c:pt>
                <c:pt idx="7">
                  <c:v>0.20294022537395087</c:v>
                </c:pt>
                <c:pt idx="8">
                  <c:v>0.20020737803066876</c:v>
                </c:pt>
                <c:pt idx="9">
                  <c:v>0.20763306305420748</c:v>
                </c:pt>
                <c:pt idx="10">
                  <c:v>0.2112983293910243</c:v>
                </c:pt>
                <c:pt idx="11">
                  <c:v>0.21501182786443912</c:v>
                </c:pt>
                <c:pt idx="12">
                  <c:v>0.21857564103726684</c:v>
                </c:pt>
                <c:pt idx="13">
                  <c:v>0.22199516786803214</c:v>
                </c:pt>
                <c:pt idx="14">
                  <c:v>0.22555337363174666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1E-4AA8-935B-A498FBD41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959408"/>
        <c:axId val="697953648"/>
      </c:scatterChart>
      <c:valAx>
        <c:axId val="697959408"/>
        <c:scaling>
          <c:orientation val="minMax"/>
          <c:min val="4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lt;999950]0.0,&quot;B&quot;;[&lt;999950000]0.0,,&quot;M&quot;;0.0,,,&quot;B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953648"/>
        <c:crosses val="autoZero"/>
        <c:crossBetween val="midCat"/>
      </c:valAx>
      <c:valAx>
        <c:axId val="697953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959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411460</xdr:colOff>
      <xdr:row>11</xdr:row>
      <xdr:rowOff>121583</xdr:rowOff>
    </xdr:from>
    <xdr:to>
      <xdr:col>30</xdr:col>
      <xdr:colOff>242303</xdr:colOff>
      <xdr:row>32</xdr:row>
      <xdr:rowOff>102565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49E773-A0D5-41EB-87B3-7102A85A8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25019" y="4122083"/>
          <a:ext cx="6487137" cy="3981482"/>
        </a:xfrm>
        <a:prstGeom prst="rect">
          <a:avLst/>
        </a:prstGeom>
      </xdr:spPr>
    </xdr:pic>
    <xdr:clientData/>
  </xdr:twoCellAnchor>
  <xdr:twoCellAnchor>
    <xdr:from>
      <xdr:col>8</xdr:col>
      <xdr:colOff>599514</xdr:colOff>
      <xdr:row>19</xdr:row>
      <xdr:rowOff>34736</xdr:rowOff>
    </xdr:from>
    <xdr:to>
      <xdr:col>18</xdr:col>
      <xdr:colOff>246529</xdr:colOff>
      <xdr:row>34</xdr:row>
      <xdr:rowOff>100851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BB877E-29BA-8D63-B951-508AB10726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TEMP/data/excel/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DOUG/Modelware/Models%20-%20Pre%20Modelware/xo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Startup" Target="energy/scott/bankruptcy%20model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Startup" Target="doug/REFINE/TS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Startup" Target="DOUG/Modelware/CoPModelw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Startup" Target="doug/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Startup" Target="SEAN/MLP/Models/ETP-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Startup" Target="SEAN/MLP/Models/DPM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Startup" Target="SEAN/MLP/Models/EE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U-IB-CL01_DATA_SERVER\DATA\Houston%20Equity\Equity_Research\Dead_link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Energy\Company\SFY%20with%202007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General%20Securities\Michael\Security\Models\KRO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eneral%20Securities\Michael\Security\Models\KRO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A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deckelda\Desktop\Chkqtr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Startup" Target="SCOTT/companies/duk/Analysis/Fulcrum%20Power/Asset%20Valuation%20Matrix%20Duk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prdndfs01\ds_dfs\UTILITY\Nat%20Gas\Stocks\NBP\Models\NBP%20-%20Model_Working%20-%2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AAM\Surveyor%20Capital\SCE7\E&amp;P\E&amp;P%20Models\RRC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Startup" Target="energy/Donnelly/Canadian/stocks/models/aecmodeldd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Energy\Company\XTO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AAM\Surveyor%20Capital\SCE7\E&amp;P\E&amp;P%20Models\EQT%202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Startup" Target="scott/Pipelines/valuation/comps/stockperformance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hemicals\CHEM\COMPANY\DOW\DOW_MOD\Dow%20Chemical%20Mode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nergy\Energy%20Database\Coal\Supply&amp;Demand%20Overview\S&amp;D%20Overview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feathewi\Local%20Settings\Temporary%20Internet%20Files\OLK18\Other%20Models\Barrett\NAV-Brr-Proved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Startup" Target="SCOTT/Models/Final%20models/EPD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Startup" Target="scott/Pipelines/models/final%20models/EPD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Startup" Target="Transfer/Work/Apparel_Footwear/NKE/NKEQTRI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esearch\Metals%20and%20Mining\James's%20Work\Estimates\DRCO_MM_Estimate_S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HCVB002\energy\E&amp;P\UNIVERSE\BR\EXFILES\Br_POCO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steprich\Desktop\EPL%20PV10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Oil_E&amp;P2\XL\Models\PV10\APA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Startup" Target="mortfin/123/Mita/LAG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nergy\Company\CPE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Startup" Target="IBD_LIB/MISC/MCKOWN/nonengy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prdndfs01\ds_dfs\My%20Files\DYN%20-%20Model%20Working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Startup" Target="doug/DOCUME~1/mahers/LOCALS~1/Temp/DOCUME~1/mahers/LOCALS~1/Temp/TEMP/WINDOWS/Temporary%20Internet%20Files/Content.IE5/S3KVAHMJ/coc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ultipleSecuritie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Energy\Company\REXI062503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Startup" Target="transpor/wern/wernqq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prdndfs01\ds_dfs\Equity%20Research\Energy\Morris_R\PRICEDEK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nergy\Company\KCS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OILNGAS\Small%20cap%20E&amp;P\Plains%20Resources\Models\PLX%20-%20earn2_112102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eqdcl2_resdata_server\resdata\UTILITY\Nat%20Gas\Stocks\KSE\Models\KSE%20-%20Model%20Working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OILNGAS\Small%20cap%20E&amp;P\Tom%20Brown\Models\TBI_nav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Startup" Target="retail/MISSETT/EXCEL/MOD_BRU/BKS/oldmodelstuff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OILNGAS\Phillips\Companies\Valuation\E&amp;P%20Valuation%20Comps_CURREN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Startup" Target="SEAN/MLP/Models/Ep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Startup" Target="COSTGRP/1999/VOL&amp;REV/Sep/Revvar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Startup" Target="energy/LLOYD/E_&amp;_P/STOCKS/APA/Models/APAASSSG032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r-fs2\user$\Houston%20Equity\Equity_Research\Dead_links.xls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wam-my.sharepoint.com/personal/a_zafar_mwam_com/Documents/Transportation/Models/UNP%20Model.xlsx" TargetMode="External"/><Relationship Id="rId1" Type="http://schemas.openxmlformats.org/officeDocument/2006/relationships/externalLinkPath" Target="https://mwam-my.sharepoint.com/personal/a_zafar_mwam_com/Documents/Transportation/Models/UNP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P"/>
      <sheetName val="BS"/>
      <sheetName val="TOSCO"/>
      <sheetName val="Segment ROCE"/>
      <sheetName val="ROGIC"/>
      <sheetName val="E&amp;P"/>
      <sheetName val="NEPS"/>
      <sheetName val="RefineryMaint"/>
      <sheetName val="Hamaca"/>
      <sheetName val="Bohai"/>
      <sheetName val="Bayu Undan"/>
      <sheetName val="R&amp;M"/>
      <sheetName val="GPM"/>
      <sheetName val="Variance"/>
      <sheetName val="ARCO - Alaska"/>
      <sheetName val="Capex"/>
      <sheetName val="Reserves"/>
      <sheetName val="WACC"/>
      <sheetName val="Valuation"/>
      <sheetName val="NAV"/>
      <sheetName val="Chemical JV"/>
      <sheetName val="Chems"/>
      <sheetName val="EKOFISK"/>
      <sheetName val="PUDS"/>
      <sheetName val="GE Data"/>
      <sheetName val="IndexInformation"/>
      <sheetName val="MainCode"/>
      <sheetName val="NY UPLOAD"/>
      <sheetName val="NY UPLOAD Shadow"/>
      <sheetName val="Distribution"/>
      <sheetName val="A-Link Source"/>
      <sheetName val="Q-Link Source"/>
      <sheetName val="Income Statement"/>
      <sheetName val="Revenue&amp;EBIT"/>
      <sheetName val="Fin. Summary"/>
      <sheetName val="COP"/>
      <sheetName val="Inputs"/>
      <sheetName val="XOM"/>
      <sheetName val="New Source Charts"/>
      <sheetName val="Modelware"/>
      <sheetName val="R&amp;MIS"/>
      <sheetName val="E&amp;P Growth &amp; Returns"/>
      <sheetName val="Global Product Sum"/>
      <sheetName val="Scenario"/>
      <sheetName val="Quarter"/>
      <sheetName val="Annual"/>
      <sheetName val="AN"/>
      <sheetName val="COC"/>
      <sheetName val="ｾｸﾞﾒﾝﾄ"/>
      <sheetName val="単独"/>
      <sheetName val="Factset Profile"/>
      <sheetName val="cash"/>
      <sheetName val="RD"/>
      <sheetName val="Relative"/>
      <sheetName val="Quarterly"/>
      <sheetName val="NORM"/>
      <sheetName val="NY UPLOAD.bak"/>
      <sheetName val="NY UPLOAD Shadow.bak"/>
      <sheetName val="Normalized"/>
      <sheetName val="DDM"/>
      <sheetName val="B Sheet"/>
      <sheetName val="Ratios"/>
      <sheetName val="SOLP"/>
      <sheetName val="Liquids"/>
      <sheetName val="charts"/>
      <sheetName val="Apples-Ratios"/>
      <sheetName val="IS"/>
      <sheetName val="Quarterly Data"/>
      <sheetName val="Debt"/>
      <sheetName val="Sheet1"/>
      <sheetName val="US"/>
      <sheetName val="DL"/>
      <sheetName val="IBES"/>
      <sheetName val="Model"/>
      <sheetName val="Value-A"/>
      <sheetName val="Scenarios"/>
      <sheetName val="ACM"/>
      <sheetName val="MW Ratios"/>
      <sheetName val="Ratings"/>
      <sheetName val="Field"/>
      <sheetName val="REVS"/>
      <sheetName val="earnmodel"/>
      <sheetName val="O_fpage"/>
      <sheetName val="maturityprofile"/>
      <sheetName val="variables"/>
      <sheetName val="IP"/>
      <sheetName val="Vluation"/>
      <sheetName val="ChemiPal JV"/>
      <sheetName val="Old BKS"/>
      <sheetName val="Plants"/>
      <sheetName val="VeraSun"/>
      <sheetName val="Forecast Change"/>
      <sheetName val="CY Link"/>
      <sheetName val="New Source"/>
      <sheetName val="INFAnnual"/>
      <sheetName val="Balance Sheet"/>
      <sheetName val="HSCDS-Retail"/>
      <sheetName val="DVC"/>
      <sheetName val="Links"/>
      <sheetName val="SectorPSales"/>
      <sheetName val="BMW"/>
      <sheetName val="BalanceSheet"/>
      <sheetName val="Add"/>
      <sheetName val="Revenue Model"/>
      <sheetName val="LME 2010"/>
      <sheetName val="MERGER"/>
      <sheetName val="Input Income Statement"/>
      <sheetName val="Assumptions"/>
      <sheetName val="Qtrly P&amp;L and BalSheet"/>
      <sheetName val="GT"/>
      <sheetName val="3Q05 Variance"/>
      <sheetName val="Reserve"/>
      <sheetName val="synthgraph"/>
      <sheetName val="Ex3"/>
      <sheetName val="MW ROE Analyzer"/>
      <sheetName val="Master"/>
      <sheetName val="model &amp; valuation"/>
      <sheetName val="Budget summary 2011"/>
      <sheetName val="B"/>
      <sheetName val="Print"/>
      <sheetName val="Revenue at Risk"/>
      <sheetName val="ERPRO sheet"/>
      <sheetName val="New RGM"/>
      <sheetName val="c1"/>
      <sheetName val="SCF &amp; BS"/>
      <sheetName val="__FDSCACHE__"/>
      <sheetName val="Cover"/>
      <sheetName val="Summary"/>
      <sheetName val="NAV Valuation"/>
      <sheetName val="Sensitivity"/>
      <sheetName val="Workings"/>
      <sheetName val="Inventory_and_Backlog"/>
      <sheetName val="PoC Curves"/>
      <sheetName val="Source"/>
      <sheetName val="DCF Valuation"/>
      <sheetName val="CashFlow Curves"/>
      <sheetName val="MW"/>
      <sheetName val="MacroData"/>
      <sheetName val="MS Disclaimers"/>
      <sheetName val="MS Disclosures"/>
      <sheetName val="SummaryMW"/>
      <sheetName val="MWA RR"/>
      <sheetName val="HIDE&gt;&gt;&gt;"/>
      <sheetName val="Consensus"/>
      <sheetName val="Quarterly Results"/>
      <sheetName val="&gt;&gt;"/>
      <sheetName val="LinkSheet"/>
      <sheetName val="Audit"/>
      <sheetName val="MW-Cache"/>
      <sheetName val="CenarioCal"/>
      <sheetName val="CenarioUpdate"/>
      <sheetName val="Graphs"/>
      <sheetName val="mwareDates"/>
      <sheetName val="mwareSettings"/>
      <sheetName val="Segment_ROCE"/>
      <sheetName val="US CLECS Input"/>
      <sheetName val="YTD Summaries"/>
      <sheetName val="Headcount Input Scheudle"/>
      <sheetName val="Capital Expenses"/>
      <sheetName val="Output_Q"/>
      <sheetName val="Cash Flow Statement"/>
      <sheetName val="Output_A"/>
      <sheetName val="LBOSHELL"/>
      <sheetName val="Comps"/>
      <sheetName val="GROUP P&amp;L"/>
      <sheetName val="IQ_GEO_SEG_EARNINGS_OP"/>
      <sheetName val="RenewProb"/>
      <sheetName val="Sheet2"/>
      <sheetName val="Commodities"/>
      <sheetName val="Data"/>
      <sheetName val="Sputtering"/>
      <sheetName val="Capacity"/>
      <sheetName val="New main"/>
      <sheetName val="P&amp;L"/>
      <sheetName val="A"/>
      <sheetName val="Bayu_Undan"/>
      <sheetName val="ARCO_-_Alaska"/>
      <sheetName val="Chemical_JV"/>
      <sheetName val="GE_Data"/>
      <sheetName val="NY_UPLOAD"/>
      <sheetName val="NY_UPLOAD_shadow"/>
      <sheetName val="NY_UPLOAD_bak"/>
      <sheetName val="NY_UPLOAD_Shadow_bak"/>
      <sheetName val="B_Sheet"/>
      <sheetName val="Quarterly_Data"/>
      <sheetName val="A-Link_Source"/>
      <sheetName val="MW_Ratios"/>
      <sheetName val="CY_Link"/>
      <sheetName val="ChemiPal_JV"/>
      <sheetName val="Old_BKS"/>
      <sheetName val="Forecast_Change"/>
      <sheetName val="New_Source"/>
      <sheetName val="Balance_Sheet"/>
      <sheetName val="Income_Statement"/>
      <sheetName val="Fin__Summary"/>
      <sheetName val="P&amp;L by Yr"/>
      <sheetName val="P&amp;L by Qtr"/>
      <sheetName val="TRANSACTION"/>
      <sheetName val="Ranges"/>
      <sheetName val="Upstream"/>
      <sheetName val="Segment"/>
      <sheetName val="Reserves &amp; Capex"/>
      <sheetName val="TV"/>
      <sheetName val="Financial Overview ShortProfile"/>
      <sheetName val="Assumptions &amp; Switches"/>
      <sheetName val="KMB"/>
      <sheetName val="Power Plants"/>
      <sheetName val="Scene2"/>
      <sheetName val="Bridge"/>
      <sheetName val="AK"/>
      <sheetName val="Cyc"/>
      <sheetName val="WF G"/>
      <sheetName val="CF"/>
      <sheetName val="FX2"/>
      <sheetName val="KEY_FINANCIALS"/>
      <sheetName val="DATA_IMPORT"/>
      <sheetName val="DCF"/>
      <sheetName val="FX Impact"/>
      <sheetName val="Tracking --&gt;"/>
      <sheetName val="Model Inputs"/>
      <sheetName val="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 refreshError="1"/>
      <sheetData sheetId="2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OM"/>
      <sheetName val="BS"/>
      <sheetName val="ROCE"/>
      <sheetName val="E&amp;P"/>
      <sheetName val="Variance"/>
      <sheetName val="OPEBs"/>
      <sheetName val="CapEx"/>
      <sheetName val="NSOURCE"/>
      <sheetName val="EE&amp;P"/>
      <sheetName val="Global E&amp;P Field Percentages"/>
      <sheetName val="Chems"/>
      <sheetName val="Realtive"/>
      <sheetName val="WACC"/>
      <sheetName val="DCF"/>
      <sheetName val="DIVIS"/>
      <sheetName val="YUKOS"/>
      <sheetName val="MobilPurchase"/>
      <sheetName val="MKT"/>
      <sheetName val="I R&amp;M"/>
      <sheetName val="R&amp;M"/>
      <sheetName val="NEPS"/>
      <sheetName val="ROGIC"/>
      <sheetName val="Reserves"/>
      <sheetName val="MainCode"/>
      <sheetName val="RefineryMaint"/>
      <sheetName val="Pensions"/>
      <sheetName val="DEKA"/>
      <sheetName val="GE Data"/>
      <sheetName val="NY UPLOAD"/>
      <sheetName val="NY UPLOAD shadow"/>
    </sheetNames>
    <sheetDataSet>
      <sheetData sheetId="0" refreshError="1">
        <row r="31">
          <cell r="C31">
            <v>7064</v>
          </cell>
          <cell r="D31">
            <v>7039.5</v>
          </cell>
          <cell r="E31">
            <v>7040.75</v>
          </cell>
          <cell r="F31">
            <v>6906.75</v>
          </cell>
          <cell r="G31">
            <v>6797</v>
          </cell>
          <cell r="H31">
            <v>6671.25</v>
          </cell>
          <cell r="I31">
            <v>6582</v>
          </cell>
        </row>
        <row r="34">
          <cell r="C34">
            <v>1.246451641691686</v>
          </cell>
          <cell r="D34">
            <v>1.1903626623861252</v>
          </cell>
          <cell r="E34">
            <v>2.4109159489860934</v>
          </cell>
          <cell r="F34">
            <v>2.2682350154300286</v>
          </cell>
          <cell r="G34">
            <v>1.7098252534762466</v>
          </cell>
          <cell r="H34">
            <v>2.423082139074539</v>
          </cell>
          <cell r="I34">
            <v>2.3552248873707922</v>
          </cell>
        </row>
        <row r="35">
          <cell r="C35">
            <v>2.4658833522083805</v>
          </cell>
          <cell r="D35">
            <v>2.1600965977697282</v>
          </cell>
          <cell r="E35">
            <v>3.672904165039236</v>
          </cell>
          <cell r="F35">
            <v>3.5072935896043727</v>
          </cell>
          <cell r="G35">
            <v>2.9632190672355452</v>
          </cell>
          <cell r="H35">
            <v>3.816769918569372</v>
          </cell>
          <cell r="I35">
            <v>3.8979959674958278</v>
          </cell>
        </row>
      </sheetData>
      <sheetData sheetId="1" refreshError="1">
        <row r="5">
          <cell r="B5">
            <v>12097</v>
          </cell>
          <cell r="C5">
            <v>14580</v>
          </cell>
          <cell r="D5">
            <v>17211</v>
          </cell>
          <cell r="E5">
            <v>6360</v>
          </cell>
          <cell r="F5">
            <v>4255</v>
          </cell>
          <cell r="G5">
            <v>3519</v>
          </cell>
          <cell r="H5">
            <v>1940.8636807440762</v>
          </cell>
          <cell r="I5">
            <v>2794.9445226865373</v>
          </cell>
        </row>
        <row r="6">
          <cell r="B6">
            <v>4224</v>
          </cell>
          <cell r="C6">
            <v>3627</v>
          </cell>
          <cell r="D6">
            <v>3688</v>
          </cell>
          <cell r="F6">
            <v>2825</v>
          </cell>
          <cell r="G6">
            <v>2768</v>
          </cell>
          <cell r="H6">
            <v>2851.04</v>
          </cell>
          <cell r="I6">
            <v>2936.5711999999999</v>
          </cell>
        </row>
        <row r="8">
          <cell r="B8">
            <v>84527</v>
          </cell>
          <cell r="C8">
            <v>82763</v>
          </cell>
          <cell r="D8">
            <v>86126</v>
          </cell>
          <cell r="E8">
            <v>87428</v>
          </cell>
          <cell r="F8">
            <v>86788</v>
          </cell>
          <cell r="G8">
            <v>88113</v>
          </cell>
          <cell r="H8">
            <v>92086.374419255939</v>
          </cell>
          <cell r="I8">
            <v>96408.994308313471</v>
          </cell>
        </row>
        <row r="112">
          <cell r="C112">
            <v>318</v>
          </cell>
          <cell r="D112">
            <v>-1439</v>
          </cell>
          <cell r="E112">
            <v>10</v>
          </cell>
          <cell r="F112">
            <v>650</v>
          </cell>
          <cell r="G112">
            <v>297</v>
          </cell>
          <cell r="H112">
            <v>400</v>
          </cell>
          <cell r="I112">
            <v>400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Case"/>
      <sheetName val="Hist Data"/>
      <sheetName val="Other data"/>
      <sheetName val="DATA"/>
      <sheetName val="Forecast"/>
      <sheetName val="scf"/>
      <sheetName val="LTV"/>
      <sheetName val="Charts"/>
      <sheetName val="Reg Chart"/>
      <sheetName val="Chart"/>
      <sheetName val="Reg Data"/>
      <sheetName val="Reg 2"/>
      <sheetName val="Reg 1"/>
      <sheetName val="Lags"/>
      <sheetName val="Lag Formula"/>
    </sheetNames>
    <sheetDataSet>
      <sheetData sheetId="0" refreshError="1"/>
      <sheetData sheetId="1" refreshError="1"/>
      <sheetData sheetId="2" refreshError="1"/>
      <sheetData sheetId="3" refreshError="1">
        <row r="3">
          <cell r="A3">
            <v>2</v>
          </cell>
          <cell r="B3" t="str">
            <v>UST10 Yield</v>
          </cell>
          <cell r="C3" t="str">
            <v>Y/Y ^ UST10</v>
          </cell>
          <cell r="D3" t="str">
            <v>GDP</v>
          </cell>
          <cell r="E3" t="str">
            <v>Y/Y ^ GDP</v>
          </cell>
          <cell r="F3" t="str">
            <v>Per. Disp. Income</v>
          </cell>
          <cell r="G3" t="str">
            <v>Income Growth</v>
          </cell>
          <cell r="H3" t="str">
            <v>Income PC</v>
          </cell>
          <cell r="I3" t="str">
            <v>Y/Y ^ Income PC</v>
          </cell>
          <cell r="J3" t="str">
            <v>Income PC Gap</v>
          </cell>
          <cell r="K3" t="str">
            <v>Mortgage Debt</v>
          </cell>
          <cell r="L3" t="str">
            <v>Y/Y ^ Mortgage Debt</v>
          </cell>
          <cell r="M3" t="str">
            <v>Revolving Credit</v>
          </cell>
          <cell r="N3" t="str">
            <v>Rev. Credit PC</v>
          </cell>
          <cell r="O3" t="str">
            <v>Y/Y ^Rev. Credit PC</v>
          </cell>
          <cell r="P3" t="str">
            <v>Y/Y ^ Rev. Credit</v>
          </cell>
          <cell r="Q3" t="str">
            <v>Rev. Credit Gap</v>
          </cell>
          <cell r="R3" t="str">
            <v>Nonrev. Credit</v>
          </cell>
          <cell r="S3" t="str">
            <v>Y/Y Nonrev. Credit</v>
          </cell>
          <cell r="T3" t="str">
            <v>Total Consumer Credit</v>
          </cell>
          <cell r="U3" t="str">
            <v>Tot Credit/Inc</v>
          </cell>
          <cell r="V3" t="str">
            <v>Y/Y ^ Credit/Inc</v>
          </cell>
          <cell r="W3" t="str">
            <v>Tot Credit PC</v>
          </cell>
          <cell r="X3" t="str">
            <v>Y/Y ^ Total Credit</v>
          </cell>
          <cell r="Y3" t="str">
            <v>Y/Y^Tot Credit PC</v>
          </cell>
          <cell r="Z3" t="str">
            <v>Total Credit Gap</v>
          </cell>
          <cell r="AA3" t="str">
            <v>Y/Y ^ Credit</v>
          </cell>
          <cell r="AB3" t="str">
            <v>Bankruptcy</v>
          </cell>
          <cell r="AC3" t="str">
            <v>7-yr rolling cumulative</v>
          </cell>
          <cell r="AD3" t="str">
            <v>%Pop</v>
          </cell>
          <cell r="AE3" t="str">
            <v>Population</v>
          </cell>
          <cell r="AF3" t="str">
            <v>Bankruptcy PC</v>
          </cell>
          <cell r="AG3" t="str">
            <v>LN Bankruptcy PC</v>
          </cell>
          <cell r="AH3" t="str">
            <v>LN Y/Y Bankruptcy PC</v>
          </cell>
          <cell r="AI3" t="str">
            <v>Log Bnk PC</v>
          </cell>
          <cell r="AJ3" t="str">
            <v>Y/Y ^ Bankruptcy PC</v>
          </cell>
          <cell r="AK3" t="str">
            <v>In. Unemp. Claims</v>
          </cell>
          <cell r="AL3" t="str">
            <v>Unemp. Claims PC</v>
          </cell>
          <cell r="AM3" t="str">
            <v>Unemployment Rate</v>
          </cell>
          <cell r="AN3" t="str">
            <v>LN Y/Y Unemployment Rate</v>
          </cell>
          <cell r="AO3" t="str">
            <v>Y/Y ^ Unemployment Rate</v>
          </cell>
          <cell r="AP3" t="str">
            <v>House Price Index</v>
          </cell>
          <cell r="AQ3" t="str">
            <v>HPI Growth</v>
          </cell>
          <cell r="AR3" t="str">
            <v>Commercial C/O</v>
          </cell>
          <cell r="AS3" t="str">
            <v>Consumer C/O</v>
          </cell>
          <cell r="AT3" t="str">
            <v>Card C/O</v>
          </cell>
          <cell r="AU3" t="str">
            <v>Residential C/O</v>
          </cell>
          <cell r="AV3" t="str">
            <v>Card Delinq</v>
          </cell>
          <cell r="AW3" t="str">
            <v>Con. Conf.</v>
          </cell>
          <cell r="AX3" t="str">
            <v>LTV</v>
          </cell>
          <cell r="AY3" t="str">
            <v>Health Insurance</v>
          </cell>
          <cell r="AZ3" t="str">
            <v>Debt Svc Burden</v>
          </cell>
          <cell r="BA3" t="str">
            <v>Y/Y ^ Debt Svc Burden</v>
          </cell>
          <cell r="BB3" t="str">
            <v>LN Y/Y Debt Svc Brdn</v>
          </cell>
          <cell r="BC3" t="str">
            <v>Cons Debt Svc Burden</v>
          </cell>
          <cell r="BD3" t="str">
            <v>Y/Y ^ Cons Debt Svc Burden</v>
          </cell>
        </row>
        <row r="4">
          <cell r="A4" t="str">
            <v>1Q43</v>
          </cell>
          <cell r="T4">
            <v>6.2341999999999995</v>
          </cell>
        </row>
        <row r="5">
          <cell r="A5" t="str">
            <v>2Q43</v>
          </cell>
          <cell r="T5">
            <v>5.8221999999999996</v>
          </cell>
        </row>
        <row r="6">
          <cell r="A6" t="str">
            <v>3Q43</v>
          </cell>
          <cell r="T6">
            <v>5.6476000000000006</v>
          </cell>
        </row>
        <row r="7">
          <cell r="A7" t="str">
            <v>4Q43</v>
          </cell>
          <cell r="T7">
            <v>5.4625000000000004</v>
          </cell>
        </row>
        <row r="8">
          <cell r="A8" t="str">
            <v>1Q44</v>
          </cell>
          <cell r="T8">
            <v>5.3704000000000001</v>
          </cell>
        </row>
        <row r="9">
          <cell r="A9" t="str">
            <v>2Q44</v>
          </cell>
          <cell r="T9">
            <v>5.4678000000000004</v>
          </cell>
        </row>
        <row r="10">
          <cell r="A10" t="str">
            <v>3Q44</v>
          </cell>
          <cell r="T10">
            <v>5.5491999999999999</v>
          </cell>
        </row>
        <row r="11">
          <cell r="A11" t="str">
            <v>4Q44</v>
          </cell>
          <cell r="T11">
            <v>5.5857000000000001</v>
          </cell>
        </row>
        <row r="12">
          <cell r="A12" t="str">
            <v>1Q45</v>
          </cell>
          <cell r="T12">
            <v>5.6677</v>
          </cell>
        </row>
        <row r="13">
          <cell r="A13" t="str">
            <v>2Q45</v>
          </cell>
          <cell r="T13">
            <v>5.7045000000000003</v>
          </cell>
        </row>
        <row r="14">
          <cell r="A14" t="str">
            <v>3Q45</v>
          </cell>
          <cell r="T14">
            <v>5.7583000000000002</v>
          </cell>
        </row>
        <row r="15">
          <cell r="A15" t="str">
            <v>4Q45</v>
          </cell>
          <cell r="T15">
            <v>6.5670000000000002</v>
          </cell>
        </row>
        <row r="16">
          <cell r="A16" t="str">
            <v>1Q46</v>
          </cell>
          <cell r="T16">
            <v>7.0053999999999998</v>
          </cell>
        </row>
        <row r="17">
          <cell r="A17" t="str">
            <v>2Q46</v>
          </cell>
          <cell r="T17">
            <v>7.7021999999999995</v>
          </cell>
        </row>
        <row r="18">
          <cell r="A18" t="str">
            <v>3Q46</v>
          </cell>
          <cell r="T18">
            <v>8.5996000000000006</v>
          </cell>
        </row>
        <row r="19">
          <cell r="A19" t="str">
            <v>4Q46</v>
          </cell>
          <cell r="T19">
            <v>9.4443999999999999</v>
          </cell>
        </row>
        <row r="20">
          <cell r="A20" t="str">
            <v>1Q47</v>
          </cell>
          <cell r="T20">
            <v>10.3459</v>
          </cell>
        </row>
        <row r="21">
          <cell r="A21" t="str">
            <v>2Q47</v>
          </cell>
          <cell r="T21">
            <v>11.1356</v>
          </cell>
        </row>
        <row r="22">
          <cell r="A22" t="str">
            <v>3Q47</v>
          </cell>
          <cell r="T22">
            <v>11.860299999999999</v>
          </cell>
        </row>
        <row r="23">
          <cell r="A23" t="str">
            <v>4Q47</v>
          </cell>
          <cell r="T23">
            <v>12.855600000000001</v>
          </cell>
        </row>
        <row r="24">
          <cell r="A24" t="str">
            <v>1Q48</v>
          </cell>
          <cell r="T24">
            <v>13.921200000000001</v>
          </cell>
        </row>
        <row r="25">
          <cell r="A25" t="str">
            <v>2Q48</v>
          </cell>
          <cell r="T25">
            <v>14.7753</v>
          </cell>
        </row>
        <row r="26">
          <cell r="A26" t="str">
            <v>3Q48</v>
          </cell>
          <cell r="T26">
            <v>15.5151</v>
          </cell>
        </row>
        <row r="27">
          <cell r="A27" t="str">
            <v>4Q48</v>
          </cell>
          <cell r="T27">
            <v>15.8032</v>
          </cell>
        </row>
        <row r="28">
          <cell r="A28" t="str">
            <v>1Q49</v>
          </cell>
          <cell r="T28">
            <v>16.093</v>
          </cell>
        </row>
        <row r="29">
          <cell r="A29" t="str">
            <v>2Q49</v>
          </cell>
          <cell r="T29">
            <v>16.860900000000001</v>
          </cell>
        </row>
        <row r="30">
          <cell r="A30" t="str">
            <v>3Q49</v>
          </cell>
          <cell r="T30">
            <v>17.6952</v>
          </cell>
        </row>
        <row r="31">
          <cell r="A31" t="str">
            <v>4Q49</v>
          </cell>
          <cell r="T31">
            <v>18.772200000000002</v>
          </cell>
        </row>
        <row r="32">
          <cell r="A32" t="str">
            <v>1Q50</v>
          </cell>
          <cell r="T32">
            <v>19.7348</v>
          </cell>
        </row>
        <row r="33">
          <cell r="A33" t="str">
            <v>2Q50</v>
          </cell>
          <cell r="T33">
            <v>21.1188</v>
          </cell>
        </row>
        <row r="34">
          <cell r="A34" t="str">
            <v>3Q50</v>
          </cell>
          <cell r="T34">
            <v>23.171599999999998</v>
          </cell>
        </row>
        <row r="35">
          <cell r="A35" t="str">
            <v>4Q50</v>
          </cell>
          <cell r="T35">
            <v>23.229200000000002</v>
          </cell>
        </row>
        <row r="36">
          <cell r="A36" t="str">
            <v>1Q51</v>
          </cell>
          <cell r="T36">
            <v>24.280999999999999</v>
          </cell>
        </row>
        <row r="37">
          <cell r="A37" t="str">
            <v>2Q51</v>
          </cell>
          <cell r="T37">
            <v>23.841000000000001</v>
          </cell>
        </row>
        <row r="38">
          <cell r="A38" t="str">
            <v>3Q51</v>
          </cell>
          <cell r="T38">
            <v>24.098299999999998</v>
          </cell>
        </row>
        <row r="39">
          <cell r="A39" t="str">
            <v>4Q51</v>
          </cell>
          <cell r="T39">
            <v>24.628</v>
          </cell>
        </row>
        <row r="40">
          <cell r="A40" t="str">
            <v>1Q52</v>
          </cell>
          <cell r="T40">
            <v>25.195599999999999</v>
          </cell>
        </row>
        <row r="41">
          <cell r="A41" t="str">
            <v>2Q52</v>
          </cell>
          <cell r="T41">
            <v>26.762400000000003</v>
          </cell>
        </row>
        <row r="42">
          <cell r="A42" t="str">
            <v>3Q52</v>
          </cell>
          <cell r="T42">
            <v>27.869799999999998</v>
          </cell>
        </row>
        <row r="43">
          <cell r="A43" t="str">
            <v>4Q52</v>
          </cell>
          <cell r="T43">
            <v>29.685599999999997</v>
          </cell>
        </row>
        <row r="44">
          <cell r="A44" t="str">
            <v>1Q53</v>
          </cell>
          <cell r="T44">
            <v>31.639299999999999</v>
          </cell>
        </row>
        <row r="45">
          <cell r="A45" t="str">
            <v>2Q53</v>
          </cell>
          <cell r="T45">
            <v>32.501599999999996</v>
          </cell>
        </row>
        <row r="46">
          <cell r="A46" t="str">
            <v>3Q53</v>
          </cell>
          <cell r="T46">
            <v>33.255699999999997</v>
          </cell>
        </row>
        <row r="47">
          <cell r="A47" t="str">
            <v>4Q53</v>
          </cell>
          <cell r="T47">
            <v>33.696899999999999</v>
          </cell>
        </row>
        <row r="48">
          <cell r="A48" t="str">
            <v>1Q54</v>
          </cell>
          <cell r="T48">
            <v>33.5077</v>
          </cell>
        </row>
        <row r="49">
          <cell r="A49" t="str">
            <v>2Q54</v>
          </cell>
          <cell r="T49">
            <v>33.815400000000004</v>
          </cell>
        </row>
        <row r="50">
          <cell r="A50" t="str">
            <v>3Q54</v>
          </cell>
          <cell r="T50">
            <v>34.137300000000003</v>
          </cell>
        </row>
        <row r="51">
          <cell r="A51" t="str">
            <v>4Q54</v>
          </cell>
          <cell r="T51">
            <v>35.028300000000002</v>
          </cell>
        </row>
        <row r="52">
          <cell r="A52" t="str">
            <v>1Q55</v>
          </cell>
          <cell r="T52">
            <v>36.530300000000004</v>
          </cell>
        </row>
        <row r="53">
          <cell r="A53" t="str">
            <v>2Q55</v>
          </cell>
          <cell r="T53">
            <v>38.536699999999996</v>
          </cell>
        </row>
        <row r="54">
          <cell r="A54" t="str">
            <v>3Q55</v>
          </cell>
          <cell r="T54">
            <v>40.394199999999998</v>
          </cell>
        </row>
        <row r="55">
          <cell r="A55" t="str">
            <v>4Q55</v>
          </cell>
          <cell r="T55">
            <v>41.869</v>
          </cell>
        </row>
        <row r="56">
          <cell r="A56" t="str">
            <v>1Q56</v>
          </cell>
          <cell r="T56">
            <v>43.205199999999998</v>
          </cell>
        </row>
        <row r="57">
          <cell r="A57" t="str">
            <v>2Q56</v>
          </cell>
          <cell r="T57">
            <v>44.053599999999996</v>
          </cell>
        </row>
        <row r="58">
          <cell r="A58" t="str">
            <v>3Q56</v>
          </cell>
          <cell r="T58">
            <v>44.779000000000003</v>
          </cell>
        </row>
        <row r="59">
          <cell r="A59" t="str">
            <v>4Q56</v>
          </cell>
          <cell r="T59">
            <v>45.4482</v>
          </cell>
        </row>
        <row r="60">
          <cell r="A60" t="str">
            <v>1Q57</v>
          </cell>
          <cell r="T60">
            <v>46.2453</v>
          </cell>
        </row>
        <row r="61">
          <cell r="A61" t="str">
            <v>2Q57</v>
          </cell>
          <cell r="T61">
            <v>47.000300000000003</v>
          </cell>
        </row>
        <row r="62">
          <cell r="A62" t="str">
            <v>3Q57</v>
          </cell>
          <cell r="T62">
            <v>47.741500000000002</v>
          </cell>
        </row>
        <row r="63">
          <cell r="A63" t="str">
            <v>4Q57</v>
          </cell>
          <cell r="T63">
            <v>48.078300000000006</v>
          </cell>
        </row>
        <row r="64">
          <cell r="A64" t="str">
            <v>1Q58</v>
          </cell>
          <cell r="T64">
            <v>47.773400000000002</v>
          </cell>
        </row>
        <row r="65">
          <cell r="A65" t="str">
            <v>2Q58</v>
          </cell>
          <cell r="T65">
            <v>47.507400000000004</v>
          </cell>
        </row>
        <row r="66">
          <cell r="A66" t="str">
            <v>3Q58</v>
          </cell>
          <cell r="T66">
            <v>47.712900000000005</v>
          </cell>
        </row>
        <row r="67">
          <cell r="A67" t="str">
            <v>4Q58</v>
          </cell>
          <cell r="T67">
            <v>48.394300000000001</v>
          </cell>
        </row>
        <row r="68">
          <cell r="A68" t="str">
            <v>1Q59</v>
          </cell>
          <cell r="F68">
            <v>1582.25</v>
          </cell>
          <cell r="T68">
            <v>50.0077</v>
          </cell>
          <cell r="U68">
            <v>3.1605435297835362E-2</v>
          </cell>
        </row>
        <row r="69">
          <cell r="A69" t="str">
            <v>2Q59</v>
          </cell>
          <cell r="F69">
            <v>1612.02</v>
          </cell>
          <cell r="T69">
            <v>51.675400000000003</v>
          </cell>
          <cell r="U69">
            <v>3.2056302030992176E-2</v>
          </cell>
        </row>
        <row r="70">
          <cell r="A70" t="str">
            <v>3Q59</v>
          </cell>
          <cell r="F70">
            <v>1609.47</v>
          </cell>
          <cell r="T70">
            <v>53.683699999999995</v>
          </cell>
          <cell r="U70">
            <v>3.3354893225720265E-2</v>
          </cell>
        </row>
        <row r="71">
          <cell r="A71" t="str">
            <v>4Q59</v>
          </cell>
          <cell r="F71">
            <v>1621.43</v>
          </cell>
          <cell r="T71">
            <v>56.0107</v>
          </cell>
          <cell r="U71">
            <v>3.4544013617609143E-2</v>
          </cell>
        </row>
        <row r="72">
          <cell r="A72" t="str">
            <v>1Q60</v>
          </cell>
          <cell r="F72">
            <v>1639.65</v>
          </cell>
          <cell r="T72">
            <v>56.862900000000003</v>
          </cell>
          <cell r="U72">
            <v>3.4679901198426497E-2</v>
          </cell>
          <cell r="V72">
            <v>9.7276492844308393E-2</v>
          </cell>
        </row>
        <row r="73">
          <cell r="A73" t="str">
            <v>2Q60</v>
          </cell>
          <cell r="F73">
            <v>1648.48</v>
          </cell>
          <cell r="T73">
            <v>58.387099999999997</v>
          </cell>
          <cell r="U73">
            <v>3.5418749393380564E-2</v>
          </cell>
          <cell r="V73">
            <v>0.10489192917940304</v>
          </cell>
        </row>
        <row r="74">
          <cell r="A74" t="str">
            <v>3Q60</v>
          </cell>
          <cell r="F74">
            <v>1649.78</v>
          </cell>
          <cell r="T74">
            <v>59.364599999999996</v>
          </cell>
          <cell r="U74">
            <v>3.5983343233643272E-2</v>
          </cell>
          <cell r="V74">
            <v>7.8802531015035093E-2</v>
          </cell>
        </row>
        <row r="75">
          <cell r="A75" t="str">
            <v>4Q60</v>
          </cell>
          <cell r="F75">
            <v>1649.21</v>
          </cell>
          <cell r="T75">
            <v>60.025300000000001</v>
          </cell>
          <cell r="U75">
            <v>3.6396395850134308E-2</v>
          </cell>
          <cell r="V75">
            <v>5.3623827648704214E-2</v>
          </cell>
        </row>
        <row r="76">
          <cell r="A76" t="str">
            <v>1Q61</v>
          </cell>
          <cell r="F76">
            <v>1662.71</v>
          </cell>
          <cell r="T76">
            <v>60.455500000000001</v>
          </cell>
          <cell r="U76">
            <v>3.6359617732496949E-2</v>
          </cell>
          <cell r="V76">
            <v>4.8434870804841434E-2</v>
          </cell>
        </row>
        <row r="77">
          <cell r="A77" t="str">
            <v>2Q61</v>
          </cell>
          <cell r="F77">
            <v>1687.06</v>
          </cell>
          <cell r="T77">
            <v>60.334699999999998</v>
          </cell>
          <cell r="U77">
            <v>3.5763221225089799E-2</v>
          </cell>
          <cell r="V77">
            <v>9.7256915506342967E-3</v>
          </cell>
        </row>
        <row r="78">
          <cell r="A78" t="str">
            <v>3Q61</v>
          </cell>
          <cell r="F78">
            <v>1710.79</v>
          </cell>
          <cell r="T78">
            <v>60.883099999999999</v>
          </cell>
          <cell r="U78">
            <v>3.5587710940559625E-2</v>
          </cell>
          <cell r="V78">
            <v>-1.0994873114339887E-2</v>
          </cell>
        </row>
        <row r="79">
          <cell r="A79" t="str">
            <v>4Q61</v>
          </cell>
          <cell r="F79">
            <v>1745.16</v>
          </cell>
          <cell r="T79">
            <v>62.2485</v>
          </cell>
          <cell r="U79">
            <v>3.5669222306264181E-2</v>
          </cell>
          <cell r="V79">
            <v>-1.9979273411145804E-2</v>
          </cell>
        </row>
        <row r="80">
          <cell r="A80" t="str">
            <v>1Q62</v>
          </cell>
          <cell r="F80">
            <v>1758.57</v>
          </cell>
          <cell r="T80">
            <v>63.128599999999999</v>
          </cell>
          <cell r="U80">
            <v>3.5897689600072787E-2</v>
          </cell>
          <cell r="V80">
            <v>-1.2704427637898585E-2</v>
          </cell>
        </row>
        <row r="81">
          <cell r="A81" t="str">
            <v>2Q62</v>
          </cell>
          <cell r="F81">
            <v>1779.76</v>
          </cell>
          <cell r="T81">
            <v>65.1374</v>
          </cell>
          <cell r="U81">
            <v>3.6598979637703963E-2</v>
          </cell>
          <cell r="V81">
            <v>2.3369215187692083E-2</v>
          </cell>
        </row>
        <row r="82">
          <cell r="A82" t="str">
            <v>3Q62</v>
          </cell>
          <cell r="F82">
            <v>1791.73</v>
          </cell>
          <cell r="T82">
            <v>66.438299999999998</v>
          </cell>
          <cell r="U82">
            <v>3.7080531106807389E-2</v>
          </cell>
          <cell r="V82">
            <v>4.1947630988156126E-2</v>
          </cell>
        </row>
        <row r="83">
          <cell r="A83" t="str">
            <v>4Q62</v>
          </cell>
          <cell r="F83">
            <v>1805.65</v>
          </cell>
          <cell r="T83">
            <v>68.1267</v>
          </cell>
          <cell r="U83">
            <v>3.7729737213745743E-2</v>
          </cell>
          <cell r="V83">
            <v>5.7767306777521066E-2</v>
          </cell>
        </row>
        <row r="84">
          <cell r="A84" t="str">
            <v>1Q63</v>
          </cell>
          <cell r="F84">
            <v>1818.99</v>
          </cell>
          <cell r="T84">
            <v>70.073399999999992</v>
          </cell>
          <cell r="U84">
            <v>3.8523246416967652E-2</v>
          </cell>
          <cell r="V84">
            <v>7.3139994415950982E-2</v>
          </cell>
        </row>
        <row r="85">
          <cell r="A85" t="str">
            <v>2Q63</v>
          </cell>
          <cell r="F85">
            <v>1837.09</v>
          </cell>
          <cell r="T85">
            <v>71.875600000000006</v>
          </cell>
          <cell r="U85">
            <v>3.9124702654742015E-2</v>
          </cell>
          <cell r="V85">
            <v>6.9010749535652893E-2</v>
          </cell>
        </row>
        <row r="86">
          <cell r="A86" t="str">
            <v>3Q63</v>
          </cell>
          <cell r="F86">
            <v>1858.82</v>
          </cell>
          <cell r="T86">
            <v>74.169800000000009</v>
          </cell>
          <cell r="U86">
            <v>3.9901550445981863E-2</v>
          </cell>
          <cell r="V86">
            <v>7.6078180516043981E-2</v>
          </cell>
        </row>
        <row r="87">
          <cell r="A87" t="str">
            <v>4Q63</v>
          </cell>
          <cell r="F87">
            <v>1889.69</v>
          </cell>
          <cell r="T87">
            <v>76.581399999999988</v>
          </cell>
          <cell r="U87">
            <v>4.0525906365594347E-2</v>
          </cell>
          <cell r="V87">
            <v>7.411048574252721E-2</v>
          </cell>
        </row>
        <row r="88">
          <cell r="A88" t="str">
            <v>1Q64</v>
          </cell>
          <cell r="F88">
            <v>1926.46</v>
          </cell>
          <cell r="T88">
            <v>79.240399999999994</v>
          </cell>
          <cell r="U88">
            <v>4.1132647446611915E-2</v>
          </cell>
          <cell r="V88">
            <v>6.773575106834584E-2</v>
          </cell>
        </row>
        <row r="89">
          <cell r="A89" t="str">
            <v>2Q64</v>
          </cell>
          <cell r="F89">
            <v>1977.65</v>
          </cell>
          <cell r="T89">
            <v>81.428200000000004</v>
          </cell>
          <cell r="U89">
            <v>4.1174221930068519E-2</v>
          </cell>
          <cell r="V89">
            <v>5.2384277355730813E-2</v>
          </cell>
        </row>
        <row r="90">
          <cell r="A90" t="str">
            <v>3Q64</v>
          </cell>
          <cell r="F90">
            <v>2005.45</v>
          </cell>
          <cell r="T90">
            <v>83.921999999999997</v>
          </cell>
          <cell r="U90">
            <v>4.184696701488444E-2</v>
          </cell>
          <cell r="V90">
            <v>4.8755412939059939E-2</v>
          </cell>
        </row>
        <row r="91">
          <cell r="A91" t="str">
            <v>4Q64</v>
          </cell>
          <cell r="F91">
            <v>2029.75</v>
          </cell>
          <cell r="T91">
            <v>85.959600000000009</v>
          </cell>
          <cell r="U91">
            <v>4.2349846040152732E-2</v>
          </cell>
          <cell r="V91">
            <v>4.5006758346233466E-2</v>
          </cell>
        </row>
        <row r="92">
          <cell r="A92" t="str">
            <v>1Q65</v>
          </cell>
          <cell r="F92">
            <v>2048.84</v>
          </cell>
          <cell r="T92">
            <v>88.9161</v>
          </cell>
          <cell r="U92">
            <v>4.3398264383748851E-2</v>
          </cell>
          <cell r="V92">
            <v>5.5080746749345266E-2</v>
          </cell>
        </row>
        <row r="93">
          <cell r="A93" t="str">
            <v>2Q65</v>
          </cell>
          <cell r="F93">
            <v>2072.98</v>
          </cell>
          <cell r="T93">
            <v>91.830100000000002</v>
          </cell>
          <cell r="U93">
            <v>4.4298594294204477E-2</v>
          </cell>
          <cell r="V93">
            <v>7.5881758480888406E-2</v>
          </cell>
        </row>
        <row r="94">
          <cell r="A94" t="str">
            <v>3Q65</v>
          </cell>
          <cell r="F94">
            <v>2131.19</v>
          </cell>
          <cell r="T94">
            <v>94.126499999999993</v>
          </cell>
          <cell r="U94">
            <v>4.4166170073996217E-2</v>
          </cell>
          <cell r="V94">
            <v>5.5421054966465544E-2</v>
          </cell>
        </row>
        <row r="95">
          <cell r="A95" t="str">
            <v>4Q65</v>
          </cell>
          <cell r="F95">
            <v>2175.77</v>
          </cell>
          <cell r="T95">
            <v>95.954700000000003</v>
          </cell>
          <cell r="U95">
            <v>4.4101490506809088E-2</v>
          </cell>
          <cell r="V95">
            <v>4.1361294796575798E-2</v>
          </cell>
        </row>
        <row r="96">
          <cell r="A96" t="str">
            <v>1Q66</v>
          </cell>
          <cell r="F96">
            <v>2194.1999999999998</v>
          </cell>
          <cell r="T96">
            <v>98.446399999999997</v>
          </cell>
          <cell r="U96">
            <v>4.48666484367879E-2</v>
          </cell>
          <cell r="V96">
            <v>3.383508704529925E-2</v>
          </cell>
        </row>
        <row r="97">
          <cell r="A97" t="str">
            <v>2Q66</v>
          </cell>
          <cell r="F97">
            <v>2199.33</v>
          </cell>
          <cell r="T97">
            <v>99.788699999999992</v>
          </cell>
          <cell r="U97">
            <v>4.5372317933188744E-2</v>
          </cell>
          <cell r="V97">
            <v>2.4238323045946863E-2</v>
          </cell>
        </row>
        <row r="98">
          <cell r="A98" t="str">
            <v>3Q66</v>
          </cell>
          <cell r="F98">
            <v>2228.46</v>
          </cell>
          <cell r="T98">
            <v>100.6724</v>
          </cell>
          <cell r="U98">
            <v>4.5175771609093272E-2</v>
          </cell>
          <cell r="V98">
            <v>2.2859159700865161E-2</v>
          </cell>
        </row>
        <row r="99">
          <cell r="A99" t="str">
            <v>4Q66</v>
          </cell>
          <cell r="F99">
            <v>2254.71</v>
          </cell>
          <cell r="T99">
            <v>101.7882</v>
          </cell>
          <cell r="U99">
            <v>4.5144697100735792E-2</v>
          </cell>
          <cell r="V99">
            <v>2.3654678831447562E-2</v>
          </cell>
        </row>
        <row r="100">
          <cell r="A100" t="str">
            <v>1Q67</v>
          </cell>
          <cell r="F100">
            <v>2286.37</v>
          </cell>
          <cell r="T100">
            <v>102.73219999999999</v>
          </cell>
          <cell r="U100">
            <v>4.4932447504122251E-2</v>
          </cell>
          <cell r="V100">
            <v>1.466547416107078E-3</v>
          </cell>
        </row>
        <row r="101">
          <cell r="A101" t="str">
            <v>2Q67</v>
          </cell>
          <cell r="F101">
            <v>2303.4</v>
          </cell>
          <cell r="T101">
            <v>103.741</v>
          </cell>
          <cell r="U101">
            <v>4.5038204393505255E-2</v>
          </cell>
          <cell r="V101">
            <v>-7.3638190619988997E-3</v>
          </cell>
        </row>
        <row r="102">
          <cell r="A102" t="str">
            <v>3Q67</v>
          </cell>
          <cell r="F102">
            <v>2324.56</v>
          </cell>
          <cell r="T102">
            <v>105.17230000000001</v>
          </cell>
          <cell r="U102">
            <v>4.5243960147296695E-2</v>
          </cell>
          <cell r="V102">
            <v>1.5094050588324581E-3</v>
          </cell>
        </row>
        <row r="103">
          <cell r="A103" t="str">
            <v>4Q67</v>
          </cell>
          <cell r="F103">
            <v>2340.7199999999998</v>
          </cell>
          <cell r="T103">
            <v>106.8426</v>
          </cell>
          <cell r="U103">
            <v>4.5645186096585674E-2</v>
          </cell>
          <cell r="V103">
            <v>1.1086329690796148E-2</v>
          </cell>
        </row>
        <row r="104">
          <cell r="A104" t="str">
            <v>1Q68</v>
          </cell>
          <cell r="F104">
            <v>2381.4499999999998</v>
          </cell>
          <cell r="T104">
            <v>108.68910000000001</v>
          </cell>
          <cell r="U104">
            <v>4.5639883264397746E-2</v>
          </cell>
          <cell r="V104">
            <v>1.5744429684374284E-2</v>
          </cell>
        </row>
        <row r="105">
          <cell r="A105" t="str">
            <v>2Q68</v>
          </cell>
          <cell r="F105">
            <v>2422.6999999999998</v>
          </cell>
          <cell r="T105">
            <v>111.06780000000001</v>
          </cell>
          <cell r="U105">
            <v>4.5844636149750283E-2</v>
          </cell>
          <cell r="V105">
            <v>1.7905504162624153E-2</v>
          </cell>
        </row>
        <row r="106">
          <cell r="A106" t="str">
            <v>3Q68</v>
          </cell>
          <cell r="F106">
            <v>2429.5700000000002</v>
          </cell>
          <cell r="T106">
            <v>113.7542</v>
          </cell>
          <cell r="U106">
            <v>4.6820713130307008E-2</v>
          </cell>
          <cell r="V106">
            <v>3.485002148081251E-2</v>
          </cell>
        </row>
        <row r="107">
          <cell r="A107" t="str">
            <v>4Q68</v>
          </cell>
          <cell r="F107">
            <v>2446.34</v>
          </cell>
          <cell r="T107">
            <v>117.3991</v>
          </cell>
          <cell r="U107">
            <v>4.7989690721649485E-2</v>
          </cell>
          <cell r="V107">
            <v>5.1363677652727979E-2</v>
          </cell>
        </row>
        <row r="108">
          <cell r="A108" t="str">
            <v>1Q69</v>
          </cell>
          <cell r="F108">
            <v>2450.7199999999998</v>
          </cell>
          <cell r="T108">
            <v>120.4315</v>
          </cell>
          <cell r="U108">
            <v>4.9141272768818967E-2</v>
          </cell>
          <cell r="V108">
            <v>7.6717757671228348E-2</v>
          </cell>
        </row>
        <row r="109">
          <cell r="A109" t="str">
            <v>2Q69</v>
          </cell>
          <cell r="F109">
            <v>2475.29</v>
          </cell>
          <cell r="T109">
            <v>123.38069999999999</v>
          </cell>
          <cell r="U109">
            <v>4.9844947460701568E-2</v>
          </cell>
          <cell r="V109">
            <v>8.7258001086198522E-2</v>
          </cell>
        </row>
        <row r="110">
          <cell r="A110" t="str">
            <v>3Q69</v>
          </cell>
          <cell r="F110">
            <v>2524.04</v>
          </cell>
          <cell r="T110">
            <v>125.31910000000001</v>
          </cell>
          <cell r="U110">
            <v>4.9650203641780639E-2</v>
          </cell>
          <cell r="V110">
            <v>6.0432452269551185E-2</v>
          </cell>
        </row>
        <row r="111">
          <cell r="A111" t="str">
            <v>4Q69</v>
          </cell>
          <cell r="F111">
            <v>2542.02</v>
          </cell>
          <cell r="T111">
            <v>127.1562</v>
          </cell>
          <cell r="U111">
            <v>5.0021715014043948E-2</v>
          </cell>
          <cell r="V111">
            <v>4.2342933697586016E-2</v>
          </cell>
        </row>
        <row r="112">
          <cell r="A112" t="str">
            <v>1Q70</v>
          </cell>
          <cell r="F112">
            <v>2555.7800000000002</v>
          </cell>
          <cell r="T112">
            <v>128.28</v>
          </cell>
          <cell r="U112">
            <v>5.0192113562200186E-2</v>
          </cell>
          <cell r="V112">
            <v>2.1384077663694434E-2</v>
          </cell>
        </row>
        <row r="113">
          <cell r="A113" t="str">
            <v>2Q70</v>
          </cell>
          <cell r="F113">
            <v>2598.9899999999998</v>
          </cell>
          <cell r="T113">
            <v>129.18539999999999</v>
          </cell>
          <cell r="U113">
            <v>4.9706001177380443E-2</v>
          </cell>
          <cell r="V113">
            <v>-2.7875700627565392E-3</v>
          </cell>
        </row>
        <row r="114">
          <cell r="A114" t="str">
            <v>3Q70</v>
          </cell>
          <cell r="F114">
            <v>2632.72</v>
          </cell>
          <cell r="T114">
            <v>130.85079999999999</v>
          </cell>
          <cell r="U114">
            <v>4.9701753319760553E-2</v>
          </cell>
          <cell r="V114">
            <v>1.0382571308635846E-3</v>
          </cell>
        </row>
        <row r="115">
          <cell r="A115" t="str">
            <v>4Q70</v>
          </cell>
          <cell r="F115">
            <v>2621.2399999999998</v>
          </cell>
          <cell r="T115">
            <v>131.55159</v>
          </cell>
          <cell r="U115">
            <v>5.0186778013459284E-2</v>
          </cell>
          <cell r="V115">
            <v>3.2998268725690227E-3</v>
          </cell>
        </row>
        <row r="116">
          <cell r="A116" t="str">
            <v>1Q71</v>
          </cell>
          <cell r="F116">
            <v>2670.52</v>
          </cell>
          <cell r="T116">
            <v>135.7363</v>
          </cell>
          <cell r="U116">
            <v>5.082766652187589E-2</v>
          </cell>
          <cell r="V116">
            <v>1.2662406792017356E-2</v>
          </cell>
        </row>
        <row r="117">
          <cell r="A117" t="str">
            <v>2Q71</v>
          </cell>
          <cell r="F117">
            <v>2707.29</v>
          </cell>
          <cell r="T117">
            <v>138.76891000000001</v>
          </cell>
          <cell r="U117">
            <v>5.1257497349748278E-2</v>
          </cell>
          <cell r="V117">
            <v>3.1213457844480041E-2</v>
          </cell>
        </row>
        <row r="118">
          <cell r="A118" t="str">
            <v>3Q71</v>
          </cell>
          <cell r="F118">
            <v>2715.79</v>
          </cell>
          <cell r="T118">
            <v>142.76659000000001</v>
          </cell>
          <cell r="U118">
            <v>5.2569083029247482E-2</v>
          </cell>
          <cell r="V118">
            <v>5.7690715477172638E-2</v>
          </cell>
        </row>
        <row r="119">
          <cell r="A119" t="str">
            <v>4Q71</v>
          </cell>
          <cell r="F119">
            <v>2743.21</v>
          </cell>
          <cell r="T119">
            <v>146.93020000000001</v>
          </cell>
          <cell r="U119">
            <v>5.3561411630899572E-2</v>
          </cell>
          <cell r="V119">
            <v>6.7241487718842308E-2</v>
          </cell>
        </row>
        <row r="120">
          <cell r="A120" t="str">
            <v>1Q72</v>
          </cell>
          <cell r="F120">
            <v>2758.3</v>
          </cell>
          <cell r="T120">
            <v>150.77108999999999</v>
          </cell>
          <cell r="U120">
            <v>5.4660874451654996E-2</v>
          </cell>
          <cell r="V120">
            <v>7.5415776329793127E-2</v>
          </cell>
        </row>
        <row r="121">
          <cell r="A121" t="str">
            <v>2Q72</v>
          </cell>
          <cell r="F121">
            <v>2782.31</v>
          </cell>
          <cell r="T121">
            <v>156.15299999999999</v>
          </cell>
          <cell r="U121">
            <v>5.6123508882906646E-2</v>
          </cell>
          <cell r="V121">
            <v>9.4932678822686745E-2</v>
          </cell>
        </row>
        <row r="122">
          <cell r="A122" t="str">
            <v>3Q72</v>
          </cell>
          <cell r="F122">
            <v>2841</v>
          </cell>
          <cell r="T122">
            <v>160.55329999999998</v>
          </cell>
          <cell r="U122">
            <v>5.6512953185498059E-2</v>
          </cell>
          <cell r="V122">
            <v>7.5022616507431916E-2</v>
          </cell>
        </row>
        <row r="123">
          <cell r="A123" t="str">
            <v>4Q72</v>
          </cell>
          <cell r="F123">
            <v>2947.53</v>
          </cell>
          <cell r="T123">
            <v>166.18908999999999</v>
          </cell>
          <cell r="U123">
            <v>5.6382493138322588E-2</v>
          </cell>
          <cell r="V123">
            <v>5.2670036534203879E-2</v>
          </cell>
        </row>
        <row r="124">
          <cell r="A124" t="str">
            <v>1Q73</v>
          </cell>
          <cell r="F124">
            <v>2983.07</v>
          </cell>
          <cell r="T124">
            <v>173.90890999999999</v>
          </cell>
          <cell r="U124">
            <v>5.8298635298534726E-2</v>
          </cell>
          <cell r="V124">
            <v>6.6551457205412223E-2</v>
          </cell>
        </row>
        <row r="125">
          <cell r="A125" t="str">
            <v>2Q73</v>
          </cell>
          <cell r="F125">
            <v>3010.23</v>
          </cell>
          <cell r="T125">
            <v>180.42929999999998</v>
          </cell>
          <cell r="U125">
            <v>5.9938709002302144E-2</v>
          </cell>
          <cell r="V125">
            <v>6.7978645586029618E-2</v>
          </cell>
        </row>
        <row r="126">
          <cell r="A126" t="str">
            <v>3Q73</v>
          </cell>
          <cell r="F126">
            <v>3031.06</v>
          </cell>
          <cell r="T126">
            <v>185.34549999999999</v>
          </cell>
          <cell r="U126">
            <v>6.1148740044736818E-2</v>
          </cell>
          <cell r="V126">
            <v>8.2030518632113525E-2</v>
          </cell>
        </row>
        <row r="127">
          <cell r="A127" t="str">
            <v>4Q73</v>
          </cell>
          <cell r="F127">
            <v>3072.13</v>
          </cell>
          <cell r="T127">
            <v>190.08629999999999</v>
          </cell>
          <cell r="U127">
            <v>6.1874432397066526E-2</v>
          </cell>
          <cell r="V127">
            <v>9.7405044599049972E-2</v>
          </cell>
        </row>
        <row r="128">
          <cell r="A128" t="str">
            <v>1Q74</v>
          </cell>
          <cell r="F128">
            <v>3031.91</v>
          </cell>
          <cell r="T128">
            <v>193.358</v>
          </cell>
          <cell r="U128">
            <v>6.3774320477850602E-2</v>
          </cell>
          <cell r="V128">
            <v>9.3924757436877782E-2</v>
          </cell>
        </row>
        <row r="129">
          <cell r="A129" t="str">
            <v>2Q74</v>
          </cell>
          <cell r="F129">
            <v>3008.57</v>
          </cell>
          <cell r="T129">
            <v>196.8878</v>
          </cell>
          <cell r="U129">
            <v>6.5442319773181282E-2</v>
          </cell>
          <cell r="V129">
            <v>9.1820642494448101E-2</v>
          </cell>
        </row>
        <row r="130">
          <cell r="A130" t="str">
            <v>3Q74</v>
          </cell>
          <cell r="F130">
            <v>3018.72</v>
          </cell>
          <cell r="T130">
            <v>199.61708999999999</v>
          </cell>
          <cell r="U130">
            <v>6.6126401256161552E-2</v>
          </cell>
          <cell r="V130">
            <v>8.1402514717115126E-2</v>
          </cell>
        </row>
        <row r="131">
          <cell r="A131" t="str">
            <v>4Q74</v>
          </cell>
          <cell r="F131">
            <v>3003.98</v>
          </cell>
          <cell r="T131">
            <v>198.9178</v>
          </cell>
          <cell r="U131">
            <v>6.6218084008548658E-2</v>
          </cell>
          <cell r="V131">
            <v>7.020107406574061E-2</v>
          </cell>
        </row>
        <row r="132">
          <cell r="A132" t="str">
            <v>1Q75</v>
          </cell>
          <cell r="F132">
            <v>2983.76</v>
          </cell>
          <cell r="T132">
            <v>199.10991000000001</v>
          </cell>
          <cell r="U132">
            <v>6.6731208274123918E-2</v>
          </cell>
          <cell r="V132">
            <v>4.6364865577835035E-2</v>
          </cell>
        </row>
        <row r="133">
          <cell r="A133" t="str">
            <v>2Q75</v>
          </cell>
          <cell r="F133">
            <v>3123.59</v>
          </cell>
          <cell r="T133">
            <v>196.04340999999999</v>
          </cell>
          <cell r="U133">
            <v>6.2762209508930425E-2</v>
          </cell>
          <cell r="V133">
            <v>-4.0953778434810073E-2</v>
          </cell>
        </row>
        <row r="134">
          <cell r="A134" t="str">
            <v>3Q75</v>
          </cell>
          <cell r="F134">
            <v>3080.57</v>
          </cell>
          <cell r="T134">
            <v>199.429</v>
          </cell>
          <cell r="U134">
            <v>6.4737694647419144E-2</v>
          </cell>
          <cell r="V134">
            <v>-2.1000789130544262E-2</v>
          </cell>
        </row>
        <row r="135">
          <cell r="A135" t="str">
            <v>4Q75</v>
          </cell>
          <cell r="F135">
            <v>3110.65</v>
          </cell>
          <cell r="T135">
            <v>204.00200000000001</v>
          </cell>
          <cell r="U135">
            <v>6.558179158696735E-2</v>
          </cell>
          <cell r="V135">
            <v>-9.6090430749878886E-3</v>
          </cell>
        </row>
        <row r="136">
          <cell r="A136" t="str">
            <v>1Q76</v>
          </cell>
          <cell r="F136">
            <v>3159.09</v>
          </cell>
          <cell r="T136">
            <v>208.33859000000001</v>
          </cell>
          <cell r="U136">
            <v>6.5948925165158323E-2</v>
          </cell>
          <cell r="V136">
            <v>-1.1722897414835787E-2</v>
          </cell>
        </row>
        <row r="137">
          <cell r="A137" t="str">
            <v>2Q76</v>
          </cell>
          <cell r="F137">
            <v>3182.4</v>
          </cell>
          <cell r="T137">
            <v>213.24009000000001</v>
          </cell>
          <cell r="U137">
            <v>6.7006061463046759E-2</v>
          </cell>
          <cell r="V137">
            <v>6.7617950153786133E-2</v>
          </cell>
        </row>
        <row r="138">
          <cell r="A138" t="str">
            <v>3Q76</v>
          </cell>
          <cell r="F138">
            <v>3209.8</v>
          </cell>
          <cell r="T138">
            <v>218.7088</v>
          </cell>
          <cell r="U138">
            <v>6.8137827902049961E-2</v>
          </cell>
          <cell r="V138">
            <v>5.2521691931554759E-2</v>
          </cell>
        </row>
        <row r="139">
          <cell r="A139" t="str">
            <v>4Q76</v>
          </cell>
          <cell r="F139">
            <v>3231.07</v>
          </cell>
          <cell r="T139">
            <v>225.72158999999999</v>
          </cell>
          <cell r="U139">
            <v>6.9859702822903866E-2</v>
          </cell>
          <cell r="V139">
            <v>6.5230167282996909E-2</v>
          </cell>
        </row>
        <row r="140">
          <cell r="A140" t="str">
            <v>1Q77</v>
          </cell>
          <cell r="F140">
            <v>3252.05</v>
          </cell>
          <cell r="T140">
            <v>231.9307</v>
          </cell>
          <cell r="U140">
            <v>7.1318306914100335E-2</v>
          </cell>
          <cell r="V140">
            <v>8.141727458780057E-2</v>
          </cell>
        </row>
        <row r="141">
          <cell r="A141" t="str">
            <v>2Q77</v>
          </cell>
          <cell r="F141">
            <v>3272.71</v>
          </cell>
          <cell r="T141">
            <v>241.97891000000001</v>
          </cell>
          <cell r="U141">
            <v>7.3938390508172136E-2</v>
          </cell>
          <cell r="V141">
            <v>0.1034582378632789</v>
          </cell>
        </row>
        <row r="142">
          <cell r="A142" t="str">
            <v>3Q77</v>
          </cell>
          <cell r="F142">
            <v>3322.02</v>
          </cell>
          <cell r="T142">
            <v>250.75758999999999</v>
          </cell>
          <cell r="U142">
            <v>7.5483467890018724E-2</v>
          </cell>
          <cell r="V142">
            <v>0.10780560834032338</v>
          </cell>
        </row>
        <row r="143">
          <cell r="A143" t="str">
            <v>4Q77</v>
          </cell>
          <cell r="F143">
            <v>3379.71</v>
          </cell>
          <cell r="T143">
            <v>260.05329999999998</v>
          </cell>
          <cell r="U143">
            <v>7.6945447982223317E-2</v>
          </cell>
          <cell r="V143">
            <v>0.1014282178852377</v>
          </cell>
        </row>
        <row r="144">
          <cell r="A144" t="str">
            <v>1Q78</v>
          </cell>
          <cell r="F144">
            <v>3414.85</v>
          </cell>
          <cell r="T144">
            <v>269.66290999999995</v>
          </cell>
          <cell r="U144">
            <v>7.8967717469288531E-2</v>
          </cell>
          <cell r="V144">
            <v>0.1072573212429393</v>
          </cell>
        </row>
        <row r="145">
          <cell r="A145" t="str">
            <v>2Q78</v>
          </cell>
          <cell r="F145">
            <v>3463.36</v>
          </cell>
          <cell r="T145">
            <v>284.411</v>
          </cell>
          <cell r="U145">
            <v>8.2119964427607869E-2</v>
          </cell>
          <cell r="V145">
            <v>0.11065393584042726</v>
          </cell>
        </row>
        <row r="146">
          <cell r="A146" t="str">
            <v>3Q78</v>
          </cell>
          <cell r="F146">
            <v>3500.42</v>
          </cell>
          <cell r="T146">
            <v>295.4425</v>
          </cell>
          <cell r="U146">
            <v>8.4402014615389001E-2</v>
          </cell>
          <cell r="V146">
            <v>0.11815231831114081</v>
          </cell>
        </row>
        <row r="147">
          <cell r="A147" t="str">
            <v>4Q78</v>
          </cell>
          <cell r="F147">
            <v>3537.1</v>
          </cell>
          <cell r="T147">
            <v>305.19440999999995</v>
          </cell>
          <cell r="U147">
            <v>8.6283794634022207E-2</v>
          </cell>
          <cell r="V147">
            <v>0.12136321116690785</v>
          </cell>
        </row>
        <row r="148">
          <cell r="A148" t="str">
            <v>1Q79</v>
          </cell>
          <cell r="F148">
            <v>3576.21</v>
          </cell>
          <cell r="T148">
            <v>316.15618999999998</v>
          </cell>
          <cell r="U148">
            <v>8.8405376082500736E-2</v>
          </cell>
          <cell r="V148">
            <v>0.11951287077384021</v>
          </cell>
        </row>
        <row r="149">
          <cell r="A149" t="str">
            <v>2Q79</v>
          </cell>
          <cell r="F149">
            <v>3565.76</v>
          </cell>
          <cell r="T149">
            <v>327.03280999999998</v>
          </cell>
          <cell r="U149">
            <v>9.1714756461455618E-2</v>
          </cell>
          <cell r="V149">
            <v>0.11683872613347202</v>
          </cell>
        </row>
        <row r="150">
          <cell r="A150" t="str">
            <v>3Q79</v>
          </cell>
          <cell r="F150">
            <v>3590.58</v>
          </cell>
          <cell r="T150">
            <v>338.18759</v>
          </cell>
          <cell r="U150">
            <v>9.4187454394554643E-2</v>
          </cell>
          <cell r="V150">
            <v>0.11593846217719861</v>
          </cell>
        </row>
        <row r="151">
          <cell r="A151" t="str">
            <v>4Q79</v>
          </cell>
          <cell r="F151">
            <v>3622.48</v>
          </cell>
          <cell r="T151">
            <v>347.09769</v>
          </cell>
          <cell r="U151">
            <v>9.5817696716061926E-2</v>
          </cell>
          <cell r="V151">
            <v>0.11049470091664748</v>
          </cell>
        </row>
        <row r="152">
          <cell r="A152" t="str">
            <v>1Q80</v>
          </cell>
          <cell r="B152">
            <v>0.1275</v>
          </cell>
          <cell r="D152">
            <v>4958.8999999999996</v>
          </cell>
          <cell r="F152">
            <v>3648.05</v>
          </cell>
          <cell r="H152">
            <v>21155.756542797775</v>
          </cell>
          <cell r="K152">
            <v>891.96</v>
          </cell>
          <cell r="M152">
            <v>54.139099999999999</v>
          </cell>
          <cell r="N152">
            <v>313.96324585632954</v>
          </cell>
          <cell r="R152">
            <v>297.15120999999999</v>
          </cell>
          <cell r="T152">
            <v>351.29030999999998</v>
          </cell>
          <cell r="U152">
            <v>9.6295366017461373E-2</v>
          </cell>
          <cell r="V152">
            <v>8.924785216226705E-2</v>
          </cell>
          <cell r="W152">
            <v>2037.201319665015</v>
          </cell>
          <cell r="AB152">
            <v>108.71599999999999</v>
          </cell>
          <cell r="AE152">
            <v>172.43770000000001</v>
          </cell>
          <cell r="AF152">
            <v>6.3046537967045477E-4</v>
          </cell>
          <cell r="AG152">
            <v>-7.3690523133920829</v>
          </cell>
          <cell r="AI152">
            <v>-7.3690523133920829</v>
          </cell>
          <cell r="AK152">
            <v>6347</v>
          </cell>
          <cell r="AL152">
            <v>3.6807496272566846E-2</v>
          </cell>
          <cell r="AM152">
            <v>6.2899999999999998E-2</v>
          </cell>
          <cell r="AW152">
            <v>80.8</v>
          </cell>
          <cell r="AX152">
            <v>0.72299999999999998</v>
          </cell>
          <cell r="AZ152">
            <v>8.6500000000000007E-2</v>
          </cell>
          <cell r="BC152">
            <v>0.13019999999999998</v>
          </cell>
        </row>
        <row r="153">
          <cell r="A153" t="str">
            <v>2Q80</v>
          </cell>
          <cell r="B153">
            <v>9.7799999999999998E-2</v>
          </cell>
          <cell r="D153">
            <v>4857.8</v>
          </cell>
          <cell r="F153">
            <v>3585.01</v>
          </cell>
          <cell r="H153">
            <v>20739.181175038058</v>
          </cell>
          <cell r="K153">
            <v>909.74</v>
          </cell>
          <cell r="M153">
            <v>53.784099999999995</v>
          </cell>
          <cell r="N153">
            <v>311.13949312173867</v>
          </cell>
          <cell r="R153">
            <v>290.78989999999999</v>
          </cell>
          <cell r="T153">
            <v>344.57400000000001</v>
          </cell>
          <cell r="U153">
            <v>9.6115213067745967E-2</v>
          </cell>
          <cell r="V153">
            <v>4.7979810186157934E-2</v>
          </cell>
          <cell r="W153">
            <v>1993.3508174893695</v>
          </cell>
          <cell r="AB153">
            <v>182.714</v>
          </cell>
          <cell r="AE153">
            <v>172.86169447784002</v>
          </cell>
          <cell r="AF153">
            <v>1.0569953080231029E-3</v>
          </cell>
          <cell r="AG153">
            <v>-6.8523250110602723</v>
          </cell>
          <cell r="AI153">
            <v>-6.8523250110602723</v>
          </cell>
          <cell r="AK153">
            <v>6686</v>
          </cell>
          <cell r="AL153">
            <v>3.8678320377433947E-2</v>
          </cell>
          <cell r="AM153">
            <v>7.3200000000000001E-2</v>
          </cell>
          <cell r="AW153">
            <v>56.1</v>
          </cell>
          <cell r="AX153">
            <v>0.71499999999999997</v>
          </cell>
          <cell r="AZ153">
            <v>8.6500000000000007E-2</v>
          </cell>
          <cell r="BC153">
            <v>0.13039999999999999</v>
          </cell>
        </row>
        <row r="154">
          <cell r="A154" t="str">
            <v>3Q80</v>
          </cell>
          <cell r="B154">
            <v>0.11509999999999999</v>
          </cell>
          <cell r="D154">
            <v>4850.3</v>
          </cell>
          <cell r="F154">
            <v>3612.1</v>
          </cell>
          <cell r="H154">
            <v>20844.642685857405</v>
          </cell>
          <cell r="K154">
            <v>940.72500000000002</v>
          </cell>
          <cell r="M154">
            <v>54.391300000000001</v>
          </cell>
          <cell r="N154">
            <v>313.88035041091769</v>
          </cell>
          <cell r="R154">
            <v>291.51501000000002</v>
          </cell>
          <cell r="T154">
            <v>345.90631000000002</v>
          </cell>
          <cell r="U154">
            <v>9.5763215304116731E-2</v>
          </cell>
          <cell r="V154">
            <v>1.6730050936095697E-2</v>
          </cell>
          <cell r="W154">
            <v>1996.1500054631445</v>
          </cell>
          <cell r="AB154">
            <v>259.16000000000003</v>
          </cell>
          <cell r="AE154">
            <v>173.28673148476295</v>
          </cell>
          <cell r="AF154">
            <v>1.4955559365651021E-3</v>
          </cell>
          <cell r="AG154">
            <v>-6.5052572773405943</v>
          </cell>
          <cell r="AI154">
            <v>-6.5052572773405943</v>
          </cell>
          <cell r="AK154">
            <v>6228</v>
          </cell>
          <cell r="AL154">
            <v>3.5940432060994967E-2</v>
          </cell>
          <cell r="AM154">
            <v>7.6799999999999993E-2</v>
          </cell>
          <cell r="AW154">
            <v>80.3</v>
          </cell>
          <cell r="AX154">
            <v>0.72799999999999998</v>
          </cell>
          <cell r="AZ154">
            <v>8.2899999999999988E-2</v>
          </cell>
          <cell r="BC154">
            <v>0.13039999999999999</v>
          </cell>
        </row>
        <row r="155">
          <cell r="A155" t="str">
            <v>4Q80</v>
          </cell>
          <cell r="B155">
            <v>0.12839999999999999</v>
          </cell>
          <cell r="D155">
            <v>4936.6000000000004</v>
          </cell>
          <cell r="F155">
            <v>3678.66</v>
          </cell>
          <cell r="H155">
            <v>21176.676170854909</v>
          </cell>
          <cell r="K155">
            <v>968.73199999999997</v>
          </cell>
          <cell r="M155">
            <v>54.970099999999995</v>
          </cell>
          <cell r="N155">
            <v>316.4424020647495</v>
          </cell>
          <cell r="R155">
            <v>294.33380999999997</v>
          </cell>
          <cell r="T155">
            <v>349.30390999999997</v>
          </cell>
          <cell r="U155">
            <v>9.4954116444574924E-2</v>
          </cell>
          <cell r="V155">
            <v>-9.0127429596441599E-3</v>
          </cell>
          <cell r="W155">
            <v>2010.8125750364118</v>
          </cell>
          <cell r="AB155">
            <v>287.46300000000002</v>
          </cell>
          <cell r="AE155">
            <v>173.71281358416746</v>
          </cell>
          <cell r="AF155">
            <v>1.6548174775876177E-3</v>
          </cell>
          <cell r="AG155">
            <v>-6.4040645616805456</v>
          </cell>
          <cell r="AI155">
            <v>-6.4040645616805456</v>
          </cell>
          <cell r="AK155">
            <v>5687</v>
          </cell>
          <cell r="AL155">
            <v>3.2737941909187551E-2</v>
          </cell>
          <cell r="AM155">
            <v>7.3899999999999993E-2</v>
          </cell>
          <cell r="AW155">
            <v>78.599999999999994</v>
          </cell>
          <cell r="AX155">
            <v>0.73199999999999998</v>
          </cell>
          <cell r="AZ155">
            <v>7.9899999999999999E-2</v>
          </cell>
          <cell r="BC155">
            <v>0.1241</v>
          </cell>
        </row>
        <row r="156">
          <cell r="A156" t="str">
            <v>1Q81</v>
          </cell>
          <cell r="B156">
            <v>0.13119999999999998</v>
          </cell>
          <cell r="C156">
            <v>2.9019607843137063E-2</v>
          </cell>
          <cell r="D156">
            <v>5032.5</v>
          </cell>
          <cell r="E156">
            <v>1.4842001250277459E-2</v>
          </cell>
          <cell r="F156">
            <v>3686.51</v>
          </cell>
          <cell r="G156">
            <v>1.0542618659283631E-2</v>
          </cell>
          <cell r="H156">
            <v>21074.272187849947</v>
          </cell>
          <cell r="I156">
            <v>-3.8516398495599402E-3</v>
          </cell>
          <cell r="J156">
            <v>-1.8693641099837399E-2</v>
          </cell>
          <cell r="K156">
            <v>985.78300000000002</v>
          </cell>
          <cell r="L156">
            <v>0.10518745235212346</v>
          </cell>
          <cell r="M156">
            <v>56.282199999999996</v>
          </cell>
          <cell r="N156">
            <v>321.74235310117376</v>
          </cell>
          <cell r="O156">
            <v>2.4777127092143747E-2</v>
          </cell>
          <cell r="P156">
            <v>3.958506883195323E-2</v>
          </cell>
          <cell r="Q156">
            <v>2.4743067581675771E-2</v>
          </cell>
          <cell r="R156">
            <v>297.40189000000004</v>
          </cell>
          <cell r="S156">
            <v>8.4361090099571712E-4</v>
          </cell>
          <cell r="T156">
            <v>353.68409000000003</v>
          </cell>
          <cell r="U156">
            <v>9.5940086965720969E-2</v>
          </cell>
          <cell r="V156">
            <v>-3.6894719490030425E-3</v>
          </cell>
          <cell r="W156">
            <v>2021.8675064415988</v>
          </cell>
          <cell r="X156">
            <v>6.8142500144683371E-3</v>
          </cell>
          <cell r="Y156">
            <v>-7.5269012813802272E-3</v>
          </cell>
          <cell r="Z156">
            <v>-8.0277512358091219E-3</v>
          </cell>
          <cell r="AA156">
            <v>6.8142500144683371E-3</v>
          </cell>
          <cell r="AB156">
            <v>304.24799999999999</v>
          </cell>
          <cell r="AE156">
            <v>174.92940999999999</v>
          </cell>
          <cell r="AF156">
            <v>1.7392615684235142E-3</v>
          </cell>
          <cell r="AG156">
            <v>-6.3542946417964057</v>
          </cell>
          <cell r="AH156">
            <v>1.0147576715956765</v>
          </cell>
          <cell r="AI156">
            <v>-6.3542946417964057</v>
          </cell>
          <cell r="AK156">
            <v>6389</v>
          </cell>
          <cell r="AL156">
            <v>3.6523303885836009E-2</v>
          </cell>
          <cell r="AM156">
            <v>7.4200000000000002E-2</v>
          </cell>
          <cell r="AN156">
            <v>0.16521798646693997</v>
          </cell>
          <cell r="AO156">
            <v>0.17965023847376793</v>
          </cell>
          <cell r="AW156">
            <v>77.8</v>
          </cell>
          <cell r="AX156">
            <v>0.73599999999999999</v>
          </cell>
          <cell r="AZ156">
            <v>7.85E-2</v>
          </cell>
          <cell r="BA156">
            <v>-9.2485549132948042E-2</v>
          </cell>
          <cell r="BB156">
            <v>-9.7045789149470957E-2</v>
          </cell>
          <cell r="BC156">
            <v>0.1235</v>
          </cell>
          <cell r="BD156">
            <v>5.42510121457489E-2</v>
          </cell>
        </row>
        <row r="157">
          <cell r="A157" t="str">
            <v>2Q81</v>
          </cell>
          <cell r="B157">
            <v>0.13470000000000001</v>
          </cell>
          <cell r="C157">
            <v>0.37730061349693278</v>
          </cell>
          <cell r="D157">
            <v>4997.3</v>
          </cell>
          <cell r="E157">
            <v>2.871670303429541E-2</v>
          </cell>
          <cell r="F157">
            <v>3670.4</v>
          </cell>
          <cell r="G157">
            <v>2.3818622542196577E-2</v>
          </cell>
          <cell r="H157">
            <v>20931.625149941236</v>
          </cell>
          <cell r="I157">
            <v>9.2792465275728375E-3</v>
          </cell>
          <cell r="J157">
            <v>-1.9437456506722572E-2</v>
          </cell>
          <cell r="K157">
            <v>1011.388</v>
          </cell>
          <cell r="L157">
            <v>0.11173302262184803</v>
          </cell>
          <cell r="M157">
            <v>58.741999999999997</v>
          </cell>
          <cell r="N157">
            <v>334.99496636820186</v>
          </cell>
          <cell r="O157">
            <v>7.6671312301487049E-2</v>
          </cell>
          <cell r="P157">
            <v>9.2181518329766732E-2</v>
          </cell>
          <cell r="Q157">
            <v>6.3464815295471322E-2</v>
          </cell>
          <cell r="R157">
            <v>300.35019</v>
          </cell>
          <cell r="S157">
            <v>3.2876967184898742E-2</v>
          </cell>
          <cell r="T157">
            <v>359.09219000000002</v>
          </cell>
          <cell r="U157">
            <v>9.7834620204882303E-2</v>
          </cell>
          <cell r="V157">
            <v>1.7889021750640222E-2</v>
          </cell>
          <cell r="W157">
            <v>2047.8375968154637</v>
          </cell>
          <cell r="X157">
            <v>4.2133736149564394E-2</v>
          </cell>
          <cell r="Y157">
            <v>2.7334264921174523E-2</v>
          </cell>
          <cell r="Z157">
            <v>1.3417033115268984E-2</v>
          </cell>
          <cell r="AA157">
            <v>4.2133736149564394E-2</v>
          </cell>
          <cell r="AB157">
            <v>312.91399999999999</v>
          </cell>
          <cell r="AE157">
            <v>175.35188852788644</v>
          </cell>
          <cell r="AF157">
            <v>1.7844917589823212E-3</v>
          </cell>
          <cell r="AG157">
            <v>-6.3286216331549374</v>
          </cell>
          <cell r="AH157">
            <v>0.52370337790533428</v>
          </cell>
          <cell r="AI157">
            <v>-6.3286216331549374</v>
          </cell>
          <cell r="AK157">
            <v>4721</v>
          </cell>
          <cell r="AL157">
            <v>2.6923006302548107E-2</v>
          </cell>
          <cell r="AM157">
            <v>7.3899999999999993E-2</v>
          </cell>
          <cell r="AN157">
            <v>9.5174069868901711E-3</v>
          </cell>
          <cell r="AO157">
            <v>9.5628415300545999E-3</v>
          </cell>
          <cell r="AW157">
            <v>83</v>
          </cell>
          <cell r="AX157">
            <v>0.72699999999999998</v>
          </cell>
          <cell r="AZ157">
            <v>7.85E-2</v>
          </cell>
          <cell r="BA157">
            <v>-9.2485549132948042E-2</v>
          </cell>
          <cell r="BB157">
            <v>-9.7045789149470957E-2</v>
          </cell>
          <cell r="BC157">
            <v>0.1249</v>
          </cell>
          <cell r="BD157">
            <v>4.4035228182546016E-2</v>
          </cell>
        </row>
        <row r="158">
          <cell r="A158" t="str">
            <v>3Q81</v>
          </cell>
          <cell r="B158">
            <v>0.1532</v>
          </cell>
          <cell r="C158">
            <v>0.33101650738488275</v>
          </cell>
          <cell r="D158">
            <v>5056.8</v>
          </cell>
          <cell r="E158">
            <v>4.2574686101890524E-2</v>
          </cell>
          <cell r="F158">
            <v>3751.64</v>
          </cell>
          <cell r="G158">
            <v>3.8631267129924485E-2</v>
          </cell>
          <cell r="H158">
            <v>21343.374948596869</v>
          </cell>
          <cell r="I158">
            <v>2.3926160321176448E-2</v>
          </cell>
          <cell r="J158">
            <v>-1.8648525780714076E-2</v>
          </cell>
          <cell r="K158">
            <v>1030.4280000000001</v>
          </cell>
          <cell r="L158">
            <v>9.535517818703676E-2</v>
          </cell>
          <cell r="M158">
            <v>60.194800000000001</v>
          </cell>
          <cell r="N158">
            <v>342.45295027129436</v>
          </cell>
          <cell r="O158">
            <v>9.1030227992834556E-2</v>
          </cell>
          <cell r="P158">
            <v>0.10669904929648677</v>
          </cell>
          <cell r="Q158">
            <v>6.4124363194596246E-2</v>
          </cell>
          <cell r="R158">
            <v>305.10770000000002</v>
          </cell>
          <cell r="S158">
            <v>4.6627753404533179E-2</v>
          </cell>
          <cell r="T158">
            <v>365.30250000000001</v>
          </cell>
          <cell r="U158">
            <v>9.7371416233967015E-2</v>
          </cell>
          <cell r="V158">
            <v>1.6793514344136229E-2</v>
          </cell>
          <cell r="W158">
            <v>2078.2346459574501</v>
          </cell>
          <cell r="X158">
            <v>5.6073536212739139E-2</v>
          </cell>
          <cell r="Y158">
            <v>4.1121478981866577E-2</v>
          </cell>
          <cell r="Z158">
            <v>1.3498850110848615E-2</v>
          </cell>
          <cell r="AA158">
            <v>5.6073536212739139E-2</v>
          </cell>
          <cell r="AB158">
            <v>315.25</v>
          </cell>
          <cell r="AE158">
            <v>175.77538739938765</v>
          </cell>
          <cell r="AF158">
            <v>1.7934820378674825E-3</v>
          </cell>
          <cell r="AG158">
            <v>-6.3235962761703393</v>
          </cell>
          <cell r="AH158">
            <v>0.18166100117025547</v>
          </cell>
          <cell r="AI158">
            <v>-6.3235962761703393</v>
          </cell>
          <cell r="AJ158">
            <v>0.19920759499416518</v>
          </cell>
          <cell r="AK158">
            <v>5302</v>
          </cell>
          <cell r="AL158">
            <v>3.0163494892223291E-2</v>
          </cell>
          <cell r="AM158">
            <v>7.4099999999999999E-2</v>
          </cell>
          <cell r="AN158">
            <v>-3.5789107851585164E-2</v>
          </cell>
          <cell r="AO158">
            <v>-3.5156249999999889E-2</v>
          </cell>
          <cell r="AW158">
            <v>77.599999999999994</v>
          </cell>
          <cell r="AX158">
            <v>0.72</v>
          </cell>
          <cell r="AZ158">
            <v>7.6600000000000001E-2</v>
          </cell>
          <cell r="BA158">
            <v>-7.599517490952945E-2</v>
          </cell>
          <cell r="BB158">
            <v>-7.9037985394703567E-2</v>
          </cell>
          <cell r="BC158">
            <v>0.1229</v>
          </cell>
          <cell r="BD158">
            <v>6.1025223759153757E-2</v>
          </cell>
        </row>
        <row r="159">
          <cell r="A159" t="str">
            <v>4Q81</v>
          </cell>
          <cell r="B159">
            <v>0.13720000000000002</v>
          </cell>
          <cell r="C159">
            <v>6.8535825545171569E-2</v>
          </cell>
          <cell r="D159">
            <v>4997.1000000000004</v>
          </cell>
          <cell r="E159">
            <v>1.2255398452376109E-2</v>
          </cell>
          <cell r="F159">
            <v>3753.95</v>
          </cell>
          <cell r="G159">
            <v>2.0466691675773196E-2</v>
          </cell>
          <cell r="H159">
            <v>21305.062071977161</v>
          </cell>
          <cell r="I159">
            <v>6.0626086967767723E-3</v>
          </cell>
          <cell r="J159">
            <v>-6.1927897555993372E-3</v>
          </cell>
          <cell r="K159">
            <v>1047.692</v>
          </cell>
          <cell r="L159">
            <v>8.1508611256776886E-2</v>
          </cell>
          <cell r="M159">
            <v>60.927999999999997</v>
          </cell>
          <cell r="N159">
            <v>345.78905470808735</v>
          </cell>
          <cell r="O159">
            <v>9.2739318283056926E-2</v>
          </cell>
          <cell r="P159">
            <v>0.10838437623362518</v>
          </cell>
          <cell r="Q159">
            <v>9.612897778124907E-2</v>
          </cell>
          <cell r="R159">
            <v>305.58909000000006</v>
          </cell>
          <cell r="S159">
            <v>3.8239847471142063E-2</v>
          </cell>
          <cell r="T159">
            <v>366.51709000000005</v>
          </cell>
          <cell r="U159">
            <v>9.7635048415668849E-2</v>
          </cell>
          <cell r="V159">
            <v>2.8233973117519184E-2</v>
          </cell>
          <cell r="W159">
            <v>2080.1207668963202</v>
          </cell>
          <cell r="X159">
            <v>4.9278520815870808E-2</v>
          </cell>
          <cell r="Y159">
            <v>3.4467753345263086E-2</v>
          </cell>
          <cell r="Z159">
            <v>3.7023122363494698E-2</v>
          </cell>
          <cell r="AA159">
            <v>4.9278520815870808E-2</v>
          </cell>
          <cell r="AB159">
            <v>315.83199999999999</v>
          </cell>
          <cell r="AE159">
            <v>176.19990907877343</v>
          </cell>
          <cell r="AF159">
            <v>1.7924640350342148E-3</v>
          </cell>
          <cell r="AG159">
            <v>-6.3241640498289051</v>
          </cell>
          <cell r="AH159">
            <v>7.9900511851641168E-2</v>
          </cell>
          <cell r="AI159">
            <v>-6.3241640498289051</v>
          </cell>
          <cell r="AJ159">
            <v>8.3179298811405733E-2</v>
          </cell>
          <cell r="AK159">
            <v>7032</v>
          </cell>
          <cell r="AL159">
            <v>3.9909214691230141E-2</v>
          </cell>
          <cell r="AM159">
            <v>8.2299999999999998E-2</v>
          </cell>
          <cell r="AN159">
            <v>0.1076582797288681</v>
          </cell>
          <cell r="AO159">
            <v>0.11366711772665772</v>
          </cell>
          <cell r="AW159">
            <v>66.599999999999994</v>
          </cell>
          <cell r="AX159">
            <v>0.72</v>
          </cell>
          <cell r="AZ159">
            <v>7.6200000000000004E-2</v>
          </cell>
          <cell r="BA159">
            <v>-4.630788485607007E-2</v>
          </cell>
          <cell r="BB159">
            <v>-4.7414390079628374E-2</v>
          </cell>
          <cell r="BC159">
            <v>0.1234</v>
          </cell>
          <cell r="BD159">
            <v>5.6726094003241023E-3</v>
          </cell>
        </row>
        <row r="160">
          <cell r="A160" t="str">
            <v>1Q82</v>
          </cell>
          <cell r="B160">
            <v>0.1386</v>
          </cell>
          <cell r="C160">
            <v>5.6402439024390461E-2</v>
          </cell>
          <cell r="D160">
            <v>4914.3</v>
          </cell>
          <cell r="E160">
            <v>-2.3487332339791278E-2</v>
          </cell>
          <cell r="F160">
            <v>3750.61</v>
          </cell>
          <cell r="G160">
            <v>1.7387719007950553E-2</v>
          </cell>
          <cell r="H160">
            <v>21168.837765837361</v>
          </cell>
          <cell r="I160">
            <v>4.4872523778987095E-3</v>
          </cell>
          <cell r="J160">
            <v>2.7974584717689988E-2</v>
          </cell>
          <cell r="K160">
            <v>1060.7280000000001</v>
          </cell>
          <cell r="L160">
            <v>7.6025859646595695E-2</v>
          </cell>
          <cell r="M160">
            <v>61.625300000000003</v>
          </cell>
          <cell r="N160">
            <v>347.81968212398976</v>
          </cell>
          <cell r="O160">
            <v>8.1050345941293678E-2</v>
          </cell>
          <cell r="P160">
            <v>9.4934099946341943E-2</v>
          </cell>
          <cell r="Q160">
            <v>0.11842143228613322</v>
          </cell>
          <cell r="R160">
            <v>310.17501000000004</v>
          </cell>
          <cell r="S160">
            <v>4.2949020935946214E-2</v>
          </cell>
          <cell r="T160">
            <v>371.80031000000002</v>
          </cell>
          <cell r="U160">
            <v>9.9130624085148819E-2</v>
          </cell>
          <cell r="V160">
            <v>3.3255516232415072E-2</v>
          </cell>
          <cell r="W160">
            <v>2098.4800988847251</v>
          </cell>
          <cell r="X160">
            <v>5.1221472812079227E-2</v>
          </cell>
          <cell r="Y160">
            <v>3.7891994504605897E-2</v>
          </cell>
          <cell r="Z160">
            <v>7.4708805151870505E-2</v>
          </cell>
          <cell r="AA160">
            <v>5.1221472812079227E-2</v>
          </cell>
          <cell r="AB160">
            <v>314.815</v>
          </cell>
          <cell r="AE160">
            <v>177.17599999999999</v>
          </cell>
          <cell r="AF160">
            <v>1.77684900889511E-3</v>
          </cell>
          <cell r="AG160">
            <v>-6.3329137030904814</v>
          </cell>
          <cell r="AH160">
            <v>2.1380938705924522E-2</v>
          </cell>
          <cell r="AI160">
            <v>-6.3329137030904814</v>
          </cell>
          <cell r="AJ160">
            <v>2.1611148750711129E-2</v>
          </cell>
          <cell r="AK160">
            <v>7349.4</v>
          </cell>
          <cell r="AL160">
            <v>4.1480787465570955E-2</v>
          </cell>
          <cell r="AM160">
            <v>8.8399999999999992E-2</v>
          </cell>
          <cell r="AN160">
            <v>0.17510781947026291</v>
          </cell>
          <cell r="AO160">
            <v>0.19137466307277617</v>
          </cell>
          <cell r="AW160">
            <v>56.7</v>
          </cell>
          <cell r="AX160">
            <v>0.7390000000000001</v>
          </cell>
          <cell r="AZ160">
            <v>7.6100000000000001E-2</v>
          </cell>
          <cell r="BA160">
            <v>-3.0573248407643305E-2</v>
          </cell>
          <cell r="BB160">
            <v>-3.1050359920722588E-2</v>
          </cell>
          <cell r="BC160">
            <v>0.1244</v>
          </cell>
          <cell r="BD160">
            <v>-7.2347266881028771E-3</v>
          </cell>
        </row>
        <row r="161">
          <cell r="A161" t="str">
            <v>2Q82</v>
          </cell>
          <cell r="B161">
            <v>0.14300000000000002</v>
          </cell>
          <cell r="C161">
            <v>6.161841128433565E-2</v>
          </cell>
          <cell r="D161">
            <v>4935.5</v>
          </cell>
          <cell r="E161">
            <v>-1.2366678006123344E-2</v>
          </cell>
          <cell r="F161">
            <v>3773.8</v>
          </cell>
          <cell r="G161">
            <v>2.817131647776816E-2</v>
          </cell>
          <cell r="H161">
            <v>21251.230187355108</v>
          </cell>
          <cell r="I161">
            <v>1.5269002532026121E-2</v>
          </cell>
          <cell r="J161">
            <v>2.7635680538149465E-2</v>
          </cell>
          <cell r="K161">
            <v>1075.7059999999999</v>
          </cell>
          <cell r="L161">
            <v>6.3593793875347471E-2</v>
          </cell>
          <cell r="M161">
            <v>63.485399999999998</v>
          </cell>
          <cell r="N161">
            <v>357.5024773269156</v>
          </cell>
          <cell r="O161">
            <v>6.7187609422092454E-2</v>
          </cell>
          <cell r="P161">
            <v>8.0749719110687401E-2</v>
          </cell>
          <cell r="Q161">
            <v>9.3116397116810745E-2</v>
          </cell>
          <cell r="R161">
            <v>313.07900999999993</v>
          </cell>
          <cell r="S161">
            <v>4.237992990781847E-2</v>
          </cell>
          <cell r="T161">
            <v>376.56440999999995</v>
          </cell>
          <cell r="U161">
            <v>9.9783880968784766E-2</v>
          </cell>
          <cell r="V161">
            <v>1.9924038748455164E-2</v>
          </cell>
          <cell r="W161">
            <v>2120.5302234552878</v>
          </cell>
          <cell r="X161">
            <v>4.8656641627321306E-2</v>
          </cell>
          <cell r="Y161">
            <v>3.5497261478579345E-2</v>
          </cell>
          <cell r="Z161">
            <v>6.102331963344465E-2</v>
          </cell>
          <cell r="AA161">
            <v>4.8656641627321306E-2</v>
          </cell>
          <cell r="AB161">
            <v>311.44299999999998</v>
          </cell>
          <cell r="AE161">
            <v>177.58030790356239</v>
          </cell>
          <cell r="AF161">
            <v>1.7538149566061893E-3</v>
          </cell>
          <cell r="AG161">
            <v>-6.3459618885414653</v>
          </cell>
          <cell r="AH161">
            <v>-1.7340255386527455E-2</v>
          </cell>
          <cell r="AI161">
            <v>-6.3459618885414653</v>
          </cell>
          <cell r="AJ161">
            <v>-1.7190778394867268E-2</v>
          </cell>
          <cell r="AK161">
            <v>6668.5</v>
          </cell>
          <cell r="AL161">
            <v>3.755202408828702E-2</v>
          </cell>
          <cell r="AM161">
            <v>9.4200000000000006E-2</v>
          </cell>
          <cell r="AN161">
            <v>0.24270735362816145</v>
          </cell>
          <cell r="AO161">
            <v>0.27469553450608952</v>
          </cell>
          <cell r="AW161">
            <v>56.7</v>
          </cell>
          <cell r="AX161">
            <v>0.73199999999999998</v>
          </cell>
          <cell r="AZ161">
            <v>7.5899999999999995E-2</v>
          </cell>
          <cell r="BA161">
            <v>-3.3121019108280358E-2</v>
          </cell>
          <cell r="BB161">
            <v>-3.368194038677861E-2</v>
          </cell>
          <cell r="BC161">
            <v>0.12470000000000001</v>
          </cell>
          <cell r="BD161">
            <v>1.6038492381715841E-3</v>
          </cell>
        </row>
        <row r="162">
          <cell r="A162" t="str">
            <v>3Q82</v>
          </cell>
          <cell r="B162">
            <v>0.1234</v>
          </cell>
          <cell r="C162">
            <v>-0.1945169712793734</v>
          </cell>
          <cell r="D162">
            <v>4912.1000000000004</v>
          </cell>
          <cell r="E162">
            <v>-2.8614934345831289E-2</v>
          </cell>
          <cell r="F162">
            <v>3781.8</v>
          </cell>
          <cell r="G162">
            <v>8.0391508780159882E-3</v>
          </cell>
          <cell r="H162">
            <v>21247.793689132632</v>
          </cell>
          <cell r="I162">
            <v>-4.4782636154981903E-3</v>
          </cell>
          <cell r="J162">
            <v>2.4136670730333099E-2</v>
          </cell>
          <cell r="K162">
            <v>1077.6010000000001</v>
          </cell>
          <cell r="L162">
            <v>4.5780005978098393E-2</v>
          </cell>
          <cell r="M162">
            <v>65.141199999999998</v>
          </cell>
          <cell r="N162">
            <v>365.99153267294048</v>
          </cell>
          <cell r="O162">
            <v>6.8735230293675897E-2</v>
          </cell>
          <cell r="P162">
            <v>8.2173210975034383E-2</v>
          </cell>
          <cell r="Q162">
            <v>0.11078814532086567</v>
          </cell>
          <cell r="R162">
            <v>313.24689000000001</v>
          </cell>
          <cell r="S162">
            <v>2.6676449004728431E-2</v>
          </cell>
          <cell r="T162">
            <v>378.38809000000003</v>
          </cell>
          <cell r="U162">
            <v>0.1000550240626157</v>
          </cell>
          <cell r="V162">
            <v>2.7560529901305086E-2</v>
          </cell>
          <cell r="W162">
            <v>2125.9485088436595</v>
          </cell>
          <cell r="X162">
            <v>3.5821244037475886E-2</v>
          </cell>
          <cell r="Y162">
            <v>2.2958842967526261E-2</v>
          </cell>
          <cell r="Z162">
            <v>6.4436178383307174E-2</v>
          </cell>
          <cell r="AA162">
            <v>3.5821244037475886E-2</v>
          </cell>
          <cell r="AB162">
            <v>310.33</v>
          </cell>
          <cell r="AE162">
            <v>177.98553842012475</v>
          </cell>
          <cell r="AF162">
            <v>1.7435686222297658E-3</v>
          </cell>
          <cell r="AG162">
            <v>-6.3518213337302125</v>
          </cell>
          <cell r="AH162">
            <v>-2.8225057559873003E-2</v>
          </cell>
          <cell r="AI162">
            <v>-6.3518213337302125</v>
          </cell>
          <cell r="AJ162">
            <v>-2.7830451927506106E-2</v>
          </cell>
          <cell r="AK162">
            <v>7229.6</v>
          </cell>
          <cell r="AL162">
            <v>4.0619030423331023E-2</v>
          </cell>
          <cell r="AM162">
            <v>9.9399999999999988E-2</v>
          </cell>
          <cell r="AN162">
            <v>0.29373658136048697</v>
          </cell>
          <cell r="AO162">
            <v>0.34143049932523595</v>
          </cell>
          <cell r="AW162">
            <v>58.1</v>
          </cell>
          <cell r="AX162">
            <v>0.74</v>
          </cell>
          <cell r="AZ162">
            <v>7.51E-2</v>
          </cell>
          <cell r="BA162">
            <v>-1.9582245430809442E-2</v>
          </cell>
          <cell r="BB162">
            <v>-1.97765179764566E-2</v>
          </cell>
          <cell r="BC162">
            <v>0.12369999999999999</v>
          </cell>
          <cell r="BD162">
            <v>-6.4672594987873477E-3</v>
          </cell>
        </row>
        <row r="163">
          <cell r="A163" t="str">
            <v>4Q82</v>
          </cell>
          <cell r="B163">
            <v>0.10539999999999999</v>
          </cell>
          <cell r="C163">
            <v>-0.23177842565597684</v>
          </cell>
          <cell r="D163">
            <v>4915.6000000000004</v>
          </cell>
          <cell r="E163">
            <v>-1.6309459486502198E-2</v>
          </cell>
          <cell r="F163">
            <v>3787.73</v>
          </cell>
          <cell r="G163">
            <v>8.9985215572929711E-3</v>
          </cell>
          <cell r="H163">
            <v>21232.659001064319</v>
          </cell>
          <cell r="I163">
            <v>-3.3983975577369652E-3</v>
          </cell>
          <cell r="J163">
            <v>1.2911061928765233E-2</v>
          </cell>
          <cell r="K163">
            <v>1094.0640000000001</v>
          </cell>
          <cell r="L163">
            <v>4.4261099636152768E-2</v>
          </cell>
          <cell r="M163">
            <v>66.348300000000009</v>
          </cell>
          <cell r="N163">
            <v>371.92482811613178</v>
          </cell>
          <cell r="O163">
            <v>7.5582997935281782E-2</v>
          </cell>
          <cell r="P163">
            <v>8.8962381827731196E-2</v>
          </cell>
          <cell r="Q163">
            <v>0.10527184131423339</v>
          </cell>
          <cell r="R163">
            <v>317.14160999999996</v>
          </cell>
          <cell r="S163">
            <v>3.7804098307305134E-2</v>
          </cell>
          <cell r="T163">
            <v>383.48990999999995</v>
          </cell>
          <cell r="U163">
            <v>0.10124531315590075</v>
          </cell>
          <cell r="V163">
            <v>3.6977138832990253E-2</v>
          </cell>
          <cell r="W163">
            <v>2149.7072096952115</v>
          </cell>
          <cell r="X163">
            <v>4.6308399971198844E-2</v>
          </cell>
          <cell r="Y163">
            <v>3.3453078256950874E-2</v>
          </cell>
          <cell r="Z163">
            <v>6.2617859457701042E-2</v>
          </cell>
          <cell r="AA163">
            <v>4.6308399971198844E-2</v>
          </cell>
          <cell r="AB163">
            <v>311.00400000000002</v>
          </cell>
          <cell r="AE163">
            <v>178.39169365504972</v>
          </cell>
          <cell r="AF163">
            <v>1.7433771361651986E-3</v>
          </cell>
          <cell r="AG163">
            <v>-6.3519311639816856</v>
          </cell>
          <cell r="AH163">
            <v>-2.7767114152780954E-2</v>
          </cell>
          <cell r="AI163">
            <v>-6.3519311639816856</v>
          </cell>
          <cell r="AJ163">
            <v>-2.7385151338938374E-2</v>
          </cell>
          <cell r="AK163">
            <v>7873.6</v>
          </cell>
          <cell r="AL163">
            <v>4.4136584157471632E-2</v>
          </cell>
          <cell r="AM163">
            <v>0.1067</v>
          </cell>
          <cell r="AN163">
            <v>0.25965005062468366</v>
          </cell>
          <cell r="AO163">
            <v>0.29647630619684096</v>
          </cell>
          <cell r="AW163">
            <v>59.5</v>
          </cell>
          <cell r="AX163">
            <v>0.71200000000000008</v>
          </cell>
          <cell r="AZ163">
            <v>7.4700000000000003E-2</v>
          </cell>
          <cell r="BA163">
            <v>-1.9685039370078705E-2</v>
          </cell>
          <cell r="BB163">
            <v>-1.9881370553828933E-2</v>
          </cell>
          <cell r="BC163">
            <v>0.1232</v>
          </cell>
          <cell r="BD163">
            <v>1.6233766233766378E-3</v>
          </cell>
        </row>
        <row r="164">
          <cell r="A164" t="str">
            <v>1Q83</v>
          </cell>
          <cell r="B164">
            <v>0.1051</v>
          </cell>
          <cell r="C164">
            <v>-0.24170274170274175</v>
          </cell>
          <cell r="D164">
            <v>4972.3999999999996</v>
          </cell>
          <cell r="E164">
            <v>1.182264005046485E-2</v>
          </cell>
          <cell r="F164">
            <v>3808.19</v>
          </cell>
          <cell r="G164">
            <v>1.5352169380447478E-2</v>
          </cell>
          <cell r="H164">
            <v>21247.005314833885</v>
          </cell>
          <cell r="I164">
            <v>3.6925763171880011E-3</v>
          </cell>
          <cell r="J164">
            <v>-8.1300637332768488E-3</v>
          </cell>
          <cell r="K164">
            <v>1112.6569999999999</v>
          </cell>
          <cell r="L164">
            <v>4.8956000030167868E-2</v>
          </cell>
          <cell r="M164">
            <v>67.541499999999999</v>
          </cell>
          <cell r="N164">
            <v>376.83377391145211</v>
          </cell>
          <cell r="O164">
            <v>8.3417049921630015E-2</v>
          </cell>
          <cell r="P164">
            <v>9.6002778079782081E-2</v>
          </cell>
          <cell r="Q164">
            <v>8.4180138029317231E-2</v>
          </cell>
          <cell r="R164">
            <v>322.20040999999998</v>
          </cell>
          <cell r="S164">
            <v>3.876972551721658E-2</v>
          </cell>
          <cell r="T164">
            <v>389.74190999999996</v>
          </cell>
          <cell r="U164">
            <v>0.1023430842473721</v>
          </cell>
          <cell r="V164">
            <v>3.2406334489167632E-2</v>
          </cell>
          <cell r="W164">
            <v>2174.4840549404071</v>
          </cell>
          <cell r="X164">
            <v>4.8256011405692245E-2</v>
          </cell>
          <cell r="Y164">
            <v>3.6218573669617227E-2</v>
          </cell>
          <cell r="Z164">
            <v>3.6433371355227395E-2</v>
          </cell>
          <cell r="AA164">
            <v>4.8256011405692245E-2</v>
          </cell>
          <cell r="AB164">
            <v>308.41199999999998</v>
          </cell>
          <cell r="AE164">
            <v>179.23420000000002</v>
          </cell>
          <cell r="AF164">
            <v>1.7207207106679414E-3</v>
          </cell>
          <cell r="AG164">
            <v>-6.3650120580900325</v>
          </cell>
          <cell r="AH164">
            <v>-3.2098354999551076E-2</v>
          </cell>
          <cell r="AI164">
            <v>-6.3650120580900325</v>
          </cell>
          <cell r="AJ164">
            <v>-3.1588670700877675E-2</v>
          </cell>
          <cell r="AK164">
            <v>7624.6</v>
          </cell>
          <cell r="AL164">
            <v>4.2539872412742659E-2</v>
          </cell>
          <cell r="AM164">
            <v>0.10390000000000001</v>
          </cell>
          <cell r="AN164">
            <v>0.16155692846158418</v>
          </cell>
          <cell r="AO164">
            <v>0.17533936651583737</v>
          </cell>
          <cell r="AW164">
            <v>79.400000000000006</v>
          </cell>
          <cell r="AX164">
            <v>0.72400000000000009</v>
          </cell>
          <cell r="AZ164">
            <v>7.46E-2</v>
          </cell>
          <cell r="BA164">
            <v>-1.9710906701708275E-2</v>
          </cell>
          <cell r="BB164">
            <v>-1.9907757657924983E-2</v>
          </cell>
          <cell r="BC164">
            <v>0.1231</v>
          </cell>
          <cell r="BD164">
            <v>1.0560519902518273E-2</v>
          </cell>
        </row>
        <row r="165">
          <cell r="A165" t="str">
            <v>2Q83</v>
          </cell>
          <cell r="B165">
            <v>0.1085</v>
          </cell>
          <cell r="C165">
            <v>-0.24125874125874136</v>
          </cell>
          <cell r="D165">
            <v>5089.8</v>
          </cell>
          <cell r="E165">
            <v>3.12632965251749E-2</v>
          </cell>
          <cell r="F165">
            <v>3832.99</v>
          </cell>
          <cell r="G165">
            <v>1.5684455986008761E-2</v>
          </cell>
          <cell r="H165">
            <v>21338.899837898003</v>
          </cell>
          <cell r="I165">
            <v>4.1253917900272441E-3</v>
          </cell>
          <cell r="J165">
            <v>-2.7137904735147655E-2</v>
          </cell>
          <cell r="K165">
            <v>1143.825</v>
          </cell>
          <cell r="L165">
            <v>6.3324923352663376E-2</v>
          </cell>
          <cell r="M165">
            <v>70.280799999999999</v>
          </cell>
          <cell r="N165">
            <v>391.26503114470484</v>
          </cell>
          <cell r="O165">
            <v>9.4440055549364299E-2</v>
          </cell>
          <cell r="P165">
            <v>0.10703878372035147</v>
          </cell>
          <cell r="Q165">
            <v>7.5775487195176572E-2</v>
          </cell>
          <cell r="R165">
            <v>329.18720000000002</v>
          </cell>
          <cell r="S165">
            <v>5.1450878166505287E-2</v>
          </cell>
          <cell r="T165">
            <v>399.46800000000002</v>
          </cell>
          <cell r="U165">
            <v>0.10421837781992649</v>
          </cell>
          <cell r="V165">
            <v>4.4441014000337065E-2</v>
          </cell>
          <cell r="W165">
            <v>2223.9055255676221</v>
          </cell>
          <cell r="X165">
            <v>6.0822503114407622E-2</v>
          </cell>
          <cell r="Y165">
            <v>4.8749742384661676E-2</v>
          </cell>
          <cell r="Z165">
            <v>2.9559206589232723E-2</v>
          </cell>
          <cell r="AA165">
            <v>6.0822503114407622E-2</v>
          </cell>
          <cell r="AB165">
            <v>304.916</v>
          </cell>
          <cell r="AE165">
            <v>179.62453683730163</v>
          </cell>
          <cell r="AF165">
            <v>1.6975186428799731E-3</v>
          </cell>
          <cell r="AG165">
            <v>-6.3785877160409363</v>
          </cell>
          <cell r="AH165">
            <v>-3.2625827499471481E-2</v>
          </cell>
          <cell r="AI165">
            <v>-6.3785877160409363</v>
          </cell>
          <cell r="AJ165">
            <v>-3.2099346350173308E-2</v>
          </cell>
          <cell r="AK165">
            <v>5296.1</v>
          </cell>
          <cell r="AL165">
            <v>2.9484279226267649E-2</v>
          </cell>
          <cell r="AM165">
            <v>0.10099999999999999</v>
          </cell>
          <cell r="AN165">
            <v>6.9700335258941856E-2</v>
          </cell>
          <cell r="AO165">
            <v>7.2186836518046471E-2</v>
          </cell>
          <cell r="AW165">
            <v>87.5</v>
          </cell>
          <cell r="AX165">
            <v>0.7390000000000001</v>
          </cell>
          <cell r="AZ165">
            <v>7.4400000000000008E-2</v>
          </cell>
          <cell r="BA165">
            <v>-1.9762845849802257E-2</v>
          </cell>
          <cell r="BB165">
            <v>-1.9960742562537943E-2</v>
          </cell>
          <cell r="BC165">
            <v>0.1229</v>
          </cell>
          <cell r="BD165">
            <v>1.464605370219707E-2</v>
          </cell>
        </row>
        <row r="166">
          <cell r="A166" t="str">
            <v>3Q83</v>
          </cell>
          <cell r="B166">
            <v>0.11650000000000001</v>
          </cell>
          <cell r="C166">
            <v>-5.591572123176658E-2</v>
          </cell>
          <cell r="D166">
            <v>5180.3999999999996</v>
          </cell>
          <cell r="E166">
            <v>5.4620223529651124E-2</v>
          </cell>
          <cell r="F166">
            <v>3901.99</v>
          </cell>
          <cell r="G166">
            <v>3.1781162409434627E-2</v>
          </cell>
          <cell r="H166">
            <v>21675.828748088505</v>
          </cell>
          <cell r="I166">
            <v>2.0144917877981561E-2</v>
          </cell>
          <cell r="J166">
            <v>-3.4475305651669563E-2</v>
          </cell>
          <cell r="K166">
            <v>1182.7449999999999</v>
          </cell>
          <cell r="L166">
            <v>9.7572292527567939E-2</v>
          </cell>
          <cell r="M166">
            <v>73.56389999999999</v>
          </cell>
          <cell r="N166">
            <v>408.65263581954537</v>
          </cell>
          <cell r="O166">
            <v>0.1165630877715631</v>
          </cell>
          <cell r="P166">
            <v>0.12929912252153763</v>
          </cell>
          <cell r="Q166">
            <v>7.4678898991886511E-2</v>
          </cell>
          <cell r="R166">
            <v>339.29750999999999</v>
          </cell>
          <cell r="S166">
            <v>8.3163219912574249E-2</v>
          </cell>
          <cell r="T166">
            <v>412.86140999999998</v>
          </cell>
          <cell r="U166">
            <v>0.10580791083524048</v>
          </cell>
          <cell r="V166">
            <v>5.7497230414182532E-2</v>
          </cell>
          <cell r="W166">
            <v>2293.4741554576904</v>
          </cell>
          <cell r="X166">
            <v>9.110572164150299E-2</v>
          </cell>
          <cell r="Y166">
            <v>7.8800425277068875E-2</v>
          </cell>
          <cell r="Z166">
            <v>3.6485498111851866E-2</v>
          </cell>
          <cell r="AA166">
            <v>9.110572164150299E-2</v>
          </cell>
          <cell r="AB166">
            <v>297.83499999999998</v>
          </cell>
          <cell r="AE166">
            <v>180.01572375146668</v>
          </cell>
          <cell r="AF166">
            <v>1.6544943618991691E-3</v>
          </cell>
          <cell r="AG166">
            <v>-6.4042598383453919</v>
          </cell>
          <cell r="AH166">
            <v>-5.2438504615179876E-2</v>
          </cell>
          <cell r="AI166">
            <v>-6.4042598383453919</v>
          </cell>
          <cell r="AJ166">
            <v>-5.1087326988417558E-2</v>
          </cell>
          <cell r="AK166">
            <v>4834.8</v>
          </cell>
          <cell r="AL166">
            <v>2.6857653871808565E-2</v>
          </cell>
          <cell r="AM166">
            <v>9.35E-2</v>
          </cell>
          <cell r="AN166">
            <v>-6.1190677367886921E-2</v>
          </cell>
          <cell r="AO166">
            <v>-5.9356136820925443E-2</v>
          </cell>
          <cell r="AW166">
            <v>91.1</v>
          </cell>
          <cell r="AX166">
            <v>0.755</v>
          </cell>
          <cell r="AZ166">
            <v>7.4200000000000002E-2</v>
          </cell>
          <cell r="BA166">
            <v>-1.1984021304926706E-2</v>
          </cell>
          <cell r="BB166">
            <v>-1.2056408596754237E-2</v>
          </cell>
          <cell r="BC166">
            <v>0.12269999999999999</v>
          </cell>
          <cell r="BD166">
            <v>8.1499592502036755E-3</v>
          </cell>
        </row>
        <row r="167">
          <cell r="A167" t="str">
            <v>4Q83</v>
          </cell>
          <cell r="B167">
            <v>0.1183</v>
          </cell>
          <cell r="C167">
            <v>0.12239089184060736</v>
          </cell>
          <cell r="D167">
            <v>5286.8</v>
          </cell>
          <cell r="E167">
            <v>7.5514687932297209E-2</v>
          </cell>
          <cell r="F167">
            <v>3982.31</v>
          </cell>
          <cell r="G167">
            <v>5.1371137858295057E-2</v>
          </cell>
          <cell r="H167">
            <v>22073.939295874625</v>
          </cell>
          <cell r="I167">
            <v>3.9621994342212918E-2</v>
          </cell>
          <cell r="J167">
            <v>-3.589269359008429E-2</v>
          </cell>
          <cell r="K167">
            <v>1217.0540000000001</v>
          </cell>
          <cell r="L167">
            <v>0.11241572705070269</v>
          </cell>
          <cell r="M167">
            <v>79.027199999999993</v>
          </cell>
          <cell r="N167">
            <v>438.04766969998394</v>
          </cell>
          <cell r="O167">
            <v>0.17778550014737293</v>
          </cell>
          <cell r="P167">
            <v>0.19109607932682504</v>
          </cell>
          <cell r="Q167">
            <v>0.11558139139452783</v>
          </cell>
          <cell r="R167">
            <v>353.49921000000001</v>
          </cell>
          <cell r="S167">
            <v>0.11464153190115933</v>
          </cell>
          <cell r="T167">
            <v>432.52641</v>
          </cell>
          <cell r="U167">
            <v>0.10861193879934009</v>
          </cell>
          <cell r="V167">
            <v>7.2760164533206328E-2</v>
          </cell>
          <cell r="W167">
            <v>2397.4933438638827</v>
          </cell>
          <cell r="X167">
            <v>0.12786907483432897</v>
          </cell>
          <cell r="Y167">
            <v>0.1152650617028923</v>
          </cell>
          <cell r="Z167">
            <v>5.2354386902031758E-2</v>
          </cell>
          <cell r="AA167">
            <v>0.12786907483432897</v>
          </cell>
          <cell r="AB167">
            <v>289.85899999999998</v>
          </cell>
          <cell r="AE167">
            <v>180.40776259379538</v>
          </cell>
          <cell r="AF167">
            <v>1.6066880705828835E-3</v>
          </cell>
          <cell r="AG167">
            <v>-6.4335803177369204</v>
          </cell>
          <cell r="AH167">
            <v>-8.1649153755234238E-2</v>
          </cell>
          <cell r="AI167">
            <v>-6.4335803177369204</v>
          </cell>
          <cell r="AJ167">
            <v>-7.8404759788798128E-2</v>
          </cell>
          <cell r="AK167">
            <v>5652.1</v>
          </cell>
          <cell r="AL167">
            <v>3.1329583155056483E-2</v>
          </cell>
          <cell r="AM167">
            <v>8.5299999999999987E-2</v>
          </cell>
          <cell r="AN167">
            <v>-0.2238467038100744</v>
          </cell>
          <cell r="AO167">
            <v>-0.20056232427366461</v>
          </cell>
          <cell r="AW167">
            <v>103.6</v>
          </cell>
          <cell r="AX167">
            <v>0.7659999999999999</v>
          </cell>
          <cell r="AZ167">
            <v>7.46E-2</v>
          </cell>
          <cell r="BA167">
            <v>-1.3386880856760541E-3</v>
          </cell>
          <cell r="BB167">
            <v>-1.3395849290564722E-3</v>
          </cell>
          <cell r="BC167">
            <v>0.12330000000000001</v>
          </cell>
          <cell r="BD167">
            <v>-8.110300081103361E-4</v>
          </cell>
        </row>
        <row r="168">
          <cell r="A168" t="str">
            <v>1Q84</v>
          </cell>
          <cell r="B168">
            <v>0.1232</v>
          </cell>
          <cell r="C168">
            <v>0.17221693625118939</v>
          </cell>
          <cell r="D168">
            <v>5402.3</v>
          </cell>
          <cell r="E168">
            <v>8.6457243986807208E-2</v>
          </cell>
          <cell r="F168">
            <v>4076.2</v>
          </cell>
          <cell r="G168">
            <v>7.0377265840202208E-2</v>
          </cell>
          <cell r="H168">
            <v>22496.553383644547</v>
          </cell>
          <cell r="I168">
            <v>5.8810550018466579E-2</v>
          </cell>
          <cell r="J168">
            <v>-2.764669396834063E-2</v>
          </cell>
          <cell r="K168">
            <v>1248.24</v>
          </cell>
          <cell r="L168">
            <v>0.12185516291184073</v>
          </cell>
          <cell r="M168">
            <v>83.057100000000005</v>
          </cell>
          <cell r="N168">
            <v>458.3922486729561</v>
          </cell>
          <cell r="O168">
            <v>0.21643090510424501</v>
          </cell>
          <cell r="P168">
            <v>0.22971950578533207</v>
          </cell>
          <cell r="Q168">
            <v>0.14326226179852486</v>
          </cell>
          <cell r="R168">
            <v>369.09408999999999</v>
          </cell>
          <cell r="S168">
            <v>0.14554196253195339</v>
          </cell>
          <cell r="T168">
            <v>452.15118999999999</v>
          </cell>
          <cell r="U168">
            <v>0.11092468230214415</v>
          </cell>
          <cell r="V168">
            <v>8.3851274542690035E-2</v>
          </cell>
          <cell r="W168">
            <v>2495.4230369739976</v>
          </cell>
          <cell r="X168">
            <v>0.16012976382242305</v>
          </cell>
          <cell r="Y168">
            <v>0.1475931641367616</v>
          </cell>
          <cell r="Z168">
            <v>7.3672519835615846E-2</v>
          </cell>
          <cell r="AA168">
            <v>0.16012976382242305</v>
          </cell>
          <cell r="AB168">
            <v>291.05500000000001</v>
          </cell>
          <cell r="AE168">
            <v>181.19220000000001</v>
          </cell>
          <cell r="AF168">
            <v>1.6063329436918365E-3</v>
          </cell>
          <cell r="AG168">
            <v>-6.43380137255786</v>
          </cell>
          <cell r="AH168">
            <v>-6.8789314467827337E-2</v>
          </cell>
          <cell r="AI168">
            <v>-6.43380137255786</v>
          </cell>
          <cell r="AJ168">
            <v>-6.6476660777624041E-2</v>
          </cell>
          <cell r="AK168">
            <v>5278.4</v>
          </cell>
          <cell r="AL168">
            <v>2.913149683043751E-2</v>
          </cell>
          <cell r="AM168">
            <v>7.8600000000000003E-2</v>
          </cell>
          <cell r="AN168">
            <v>-0.27905719867002082</v>
          </cell>
          <cell r="AO168">
            <v>-0.24350336862367661</v>
          </cell>
          <cell r="AW168">
            <v>101.1</v>
          </cell>
          <cell r="AX168">
            <v>0.77500000000000002</v>
          </cell>
          <cell r="AZ168">
            <v>7.51E-2</v>
          </cell>
          <cell r="BA168">
            <v>6.7024128686328233E-3</v>
          </cell>
          <cell r="BB168">
            <v>6.6800515603740078E-3</v>
          </cell>
          <cell r="BC168">
            <v>0.124</v>
          </cell>
          <cell r="BD168">
            <v>-7.2580645161289814E-3</v>
          </cell>
        </row>
        <row r="169">
          <cell r="A169" t="str">
            <v>2Q84</v>
          </cell>
          <cell r="B169">
            <v>0.1356</v>
          </cell>
          <cell r="C169">
            <v>0.24976958525345627</v>
          </cell>
          <cell r="D169">
            <v>5493.8</v>
          </cell>
          <cell r="E169">
            <v>7.937443514479936E-2</v>
          </cell>
          <cell r="F169">
            <v>4155.7</v>
          </cell>
          <cell r="G169">
            <v>8.4192758133989409E-2</v>
          </cell>
          <cell r="H169">
            <v>22884.0464852529</v>
          </cell>
          <cell r="I169">
            <v>7.2409855198378503E-2</v>
          </cell>
          <cell r="J169">
            <v>-6.9645799464208569E-3</v>
          </cell>
          <cell r="K169">
            <v>1287.8040000000001</v>
          </cell>
          <cell r="L169">
            <v>0.1258750245885516</v>
          </cell>
          <cell r="M169">
            <v>89.418999999999997</v>
          </cell>
          <cell r="N169">
            <v>492.40045062560557</v>
          </cell>
          <cell r="O169">
            <v>0.25848315446185888</v>
          </cell>
          <cell r="P169">
            <v>0.27231050301077953</v>
          </cell>
          <cell r="Q169">
            <v>0.19293606786598017</v>
          </cell>
          <cell r="R169">
            <v>386.54541</v>
          </cell>
          <cell r="S169">
            <v>0.17424192070651578</v>
          </cell>
          <cell r="T169">
            <v>475.96440999999999</v>
          </cell>
          <cell r="U169">
            <v>0.11453290901653151</v>
          </cell>
          <cell r="V169">
            <v>9.897036791751801E-2</v>
          </cell>
          <cell r="W169">
            <v>2620.9764140255484</v>
          </cell>
          <cell r="X169">
            <v>0.19149571430001888</v>
          </cell>
          <cell r="Y169">
            <v>0.17854665312573448</v>
          </cell>
          <cell r="Z169">
            <v>0.11212127915521952</v>
          </cell>
          <cell r="AA169">
            <v>0.19149571430001888</v>
          </cell>
          <cell r="AB169">
            <v>282.10500000000002</v>
          </cell>
          <cell r="AE169">
            <v>181.59812787821619</v>
          </cell>
          <cell r="AF169">
            <v>1.5534576446139688E-3</v>
          </cell>
          <cell r="AG169">
            <v>-6.4672720939933805</v>
          </cell>
          <cell r="AH169">
            <v>-8.8684377952443813E-2</v>
          </cell>
          <cell r="AI169">
            <v>-6.4672720939933805</v>
          </cell>
          <cell r="AJ169">
            <v>-8.4865635420411922E-2</v>
          </cell>
          <cell r="AK169">
            <v>4133</v>
          </cell>
          <cell r="AL169">
            <v>2.2759045196609533E-2</v>
          </cell>
          <cell r="AM169">
            <v>7.4700000000000003E-2</v>
          </cell>
          <cell r="AN169">
            <v>-0.3016404247024877</v>
          </cell>
          <cell r="AO169">
            <v>-0.26039603960396029</v>
          </cell>
          <cell r="AW169">
            <v>105.8</v>
          </cell>
          <cell r="AX169">
            <v>0.77400000000000002</v>
          </cell>
          <cell r="AZ169">
            <v>7.6100000000000001E-2</v>
          </cell>
          <cell r="BA169">
            <v>2.2849462365591267E-2</v>
          </cell>
          <cell r="BB169">
            <v>2.2592323028593844E-2</v>
          </cell>
          <cell r="BC169">
            <v>0.12539999999999998</v>
          </cell>
          <cell r="BD169">
            <v>-1.9936204146730363E-2</v>
          </cell>
        </row>
        <row r="170">
          <cell r="A170" t="str">
            <v>3Q84</v>
          </cell>
          <cell r="B170">
            <v>0.12520000000000001</v>
          </cell>
          <cell r="C170">
            <v>7.4678111587982876E-2</v>
          </cell>
          <cell r="D170">
            <v>5541.3</v>
          </cell>
          <cell r="E170">
            <v>6.9666435024322571E-2</v>
          </cell>
          <cell r="F170">
            <v>4232.1099999999997</v>
          </cell>
          <cell r="G170">
            <v>8.4602984630919087E-2</v>
          </cell>
          <cell r="H170">
            <v>23252.717288242024</v>
          </cell>
          <cell r="I170">
            <v>7.2748708179961818E-2</v>
          </cell>
          <cell r="J170">
            <v>3.082273155639248E-3</v>
          </cell>
          <cell r="K170">
            <v>1324.2159999999999</v>
          </cell>
          <cell r="L170">
            <v>0.11961242702357655</v>
          </cell>
          <cell r="M170">
            <v>94.471899999999991</v>
          </cell>
          <cell r="N170">
            <v>519.06221302921517</v>
          </cell>
          <cell r="O170">
            <v>0.27017953031979203</v>
          </cell>
          <cell r="P170">
            <v>0.28421549156583592</v>
          </cell>
          <cell r="Q170">
            <v>0.21454905654151335</v>
          </cell>
          <cell r="R170">
            <v>398.64750999999995</v>
          </cell>
          <cell r="S170">
            <v>0.17492023445736438</v>
          </cell>
          <cell r="T170">
            <v>493.11940999999996</v>
          </cell>
          <cell r="U170">
            <v>0.11651857111464493</v>
          </cell>
          <cell r="V170">
            <v>0.10122740535046226</v>
          </cell>
          <cell r="W170">
            <v>2709.373392958762</v>
          </cell>
          <cell r="X170">
            <v>0.1943945306004744</v>
          </cell>
          <cell r="Y170">
            <v>0.18134027650207996</v>
          </cell>
          <cell r="Z170">
            <v>0.12472809557615183</v>
          </cell>
          <cell r="AA170">
            <v>0.1943945306004744</v>
          </cell>
          <cell r="AB170">
            <v>283.61799999999999</v>
          </cell>
          <cell r="AE170">
            <v>182.00496516336221</v>
          </cell>
          <cell r="AF170">
            <v>1.5582981472259999E-3</v>
          </cell>
          <cell r="AG170">
            <v>-6.4641609844847272</v>
          </cell>
          <cell r="AH170">
            <v>-5.9901146139335018E-2</v>
          </cell>
          <cell r="AI170">
            <v>-6.4641609844847272</v>
          </cell>
          <cell r="AJ170">
            <v>-5.8142364754115605E-2</v>
          </cell>
          <cell r="AK170">
            <v>4440.3</v>
          </cell>
          <cell r="AL170">
            <v>2.4396587181094317E-2</v>
          </cell>
          <cell r="AM170">
            <v>7.4400000000000008E-2</v>
          </cell>
          <cell r="AN170">
            <v>-0.22850549445559507</v>
          </cell>
          <cell r="AO170">
            <v>-0.20427807486631011</v>
          </cell>
          <cell r="AW170">
            <v>100</v>
          </cell>
          <cell r="AX170">
            <v>0.75599999999999989</v>
          </cell>
          <cell r="AZ170">
            <v>7.690000000000001E-2</v>
          </cell>
          <cell r="BA170">
            <v>3.6388140161725202E-2</v>
          </cell>
          <cell r="BB170">
            <v>3.5741726338263655E-2</v>
          </cell>
          <cell r="BC170">
            <v>0.12640000000000001</v>
          </cell>
          <cell r="BD170">
            <v>-2.9272151898734333E-2</v>
          </cell>
        </row>
        <row r="171">
          <cell r="A171" t="str">
            <v>4Q84</v>
          </cell>
          <cell r="B171">
            <v>0.115</v>
          </cell>
          <cell r="C171">
            <v>-2.789518174133554E-2</v>
          </cell>
          <cell r="D171">
            <v>5583.1</v>
          </cell>
          <cell r="E171">
            <v>5.604524476053574E-2</v>
          </cell>
          <cell r="F171">
            <v>4259.95</v>
          </cell>
          <cell r="G171">
            <v>6.9718329311379446E-2</v>
          </cell>
          <cell r="H171">
            <v>23353.361227351405</v>
          </cell>
          <cell r="I171">
            <v>5.7960743405500281E-2</v>
          </cell>
          <cell r="J171">
            <v>1.9154986449645417E-3</v>
          </cell>
          <cell r="K171">
            <v>1358.0170000000001</v>
          </cell>
          <cell r="L171">
            <v>0.11582312699354347</v>
          </cell>
          <cell r="M171">
            <v>100.38560000000001</v>
          </cell>
          <cell r="N171">
            <v>550.32128988002376</v>
          </cell>
          <cell r="O171">
            <v>0.2563045712740244</v>
          </cell>
          <cell r="P171">
            <v>0.27026643990929733</v>
          </cell>
          <cell r="Q171">
            <v>0.21422119514876159</v>
          </cell>
          <cell r="R171">
            <v>411.36590000000001</v>
          </cell>
          <cell r="S171">
            <v>0.16369680147234278</v>
          </cell>
          <cell r="T171">
            <v>511.75150000000002</v>
          </cell>
          <cell r="U171">
            <v>0.12013087008063476</v>
          </cell>
          <cell r="V171">
            <v>0.10605584808292434</v>
          </cell>
          <cell r="W171">
            <v>2805.4596035490845</v>
          </cell>
          <cell r="X171">
            <v>0.18316821393634664</v>
          </cell>
          <cell r="Y171">
            <v>0.17016366728581156</v>
          </cell>
          <cell r="Z171">
            <v>0.1271229691758109</v>
          </cell>
          <cell r="AA171">
            <v>0.18316821393634664</v>
          </cell>
          <cell r="AB171">
            <v>284.53399999999999</v>
          </cell>
          <cell r="AE171">
            <v>182.41271389279743</v>
          </cell>
          <cell r="AF171">
            <v>1.5598364495975783E-3</v>
          </cell>
          <cell r="AG171">
            <v>-6.4631743032183406</v>
          </cell>
          <cell r="AH171">
            <v>-2.9593985481420788E-2</v>
          </cell>
          <cell r="AI171">
            <v>-6.4631743032183406</v>
          </cell>
          <cell r="AJ171">
            <v>-2.9160371476653846E-2</v>
          </cell>
          <cell r="AK171">
            <v>5480.5</v>
          </cell>
          <cell r="AL171">
            <v>3.0044506674139219E-2</v>
          </cell>
          <cell r="AM171">
            <v>7.2800000000000004E-2</v>
          </cell>
          <cell r="AN171">
            <v>-0.15845849929499289</v>
          </cell>
          <cell r="AO171">
            <v>-0.14654161781946051</v>
          </cell>
          <cell r="AW171">
            <v>97</v>
          </cell>
          <cell r="AX171">
            <v>0.76200000000000001</v>
          </cell>
          <cell r="AZ171">
            <v>7.8E-2</v>
          </cell>
          <cell r="BA171">
            <v>4.5576407506702443E-2</v>
          </cell>
          <cell r="BB171">
            <v>4.4568319479876599E-2</v>
          </cell>
          <cell r="BC171">
            <v>0.1283</v>
          </cell>
          <cell r="BD171">
            <v>-3.8971161340607852E-2</v>
          </cell>
        </row>
        <row r="172">
          <cell r="A172" t="str">
            <v>1Q85</v>
          </cell>
          <cell r="B172">
            <v>0.1186</v>
          </cell>
          <cell r="C172">
            <v>-3.7337662337662447E-2</v>
          </cell>
          <cell r="D172">
            <v>5629.7</v>
          </cell>
          <cell r="E172">
            <v>4.2093182533365248E-2</v>
          </cell>
          <cell r="F172">
            <v>4261.54</v>
          </cell>
          <cell r="G172">
            <v>4.5468818998086524E-2</v>
          </cell>
          <cell r="H172">
            <v>23264.867442817358</v>
          </cell>
          <cell r="I172">
            <v>3.4152523103000876E-2</v>
          </cell>
          <cell r="J172">
            <v>-7.9406594303643718E-3</v>
          </cell>
          <cell r="K172">
            <v>1397.0909999999999</v>
          </cell>
          <cell r="L172">
            <v>0.11924870217265893</v>
          </cell>
          <cell r="M172">
            <v>107.9503</v>
          </cell>
          <cell r="N172">
            <v>589.3290735068465</v>
          </cell>
          <cell r="O172">
            <v>0.2856436277292036</v>
          </cell>
          <cell r="P172">
            <v>0.29971188495625278</v>
          </cell>
          <cell r="Q172">
            <v>0.25761870242288754</v>
          </cell>
          <cell r="R172">
            <v>428.10608000000002</v>
          </cell>
          <cell r="S172">
            <v>0.15988332405972705</v>
          </cell>
          <cell r="T172">
            <v>536.05637999999999</v>
          </cell>
          <cell r="U172">
            <v>0.12578935783777695</v>
          </cell>
          <cell r="V172">
            <v>0.13400692458278485</v>
          </cell>
          <cell r="W172">
            <v>2926.4727358129994</v>
          </cell>
          <cell r="X172">
            <v>0.18556888017921613</v>
          </cell>
          <cell r="Y172">
            <v>0.17273612227356128</v>
          </cell>
          <cell r="Z172">
            <v>0.14347569764585089</v>
          </cell>
          <cell r="AA172">
            <v>0.18556888017921613</v>
          </cell>
          <cell r="AB172">
            <v>285.66300000000001</v>
          </cell>
          <cell r="AE172">
            <v>183.17491000000001</v>
          </cell>
          <cell r="AF172">
            <v>1.5595094328147889E-3</v>
          </cell>
          <cell r="AG172">
            <v>-6.4633839733199032</v>
          </cell>
          <cell r="AH172">
            <v>-2.9582600762043797E-2</v>
          </cell>
          <cell r="AI172">
            <v>-6.4633839733199032</v>
          </cell>
          <cell r="AJ172">
            <v>-2.9149318677006653E-2</v>
          </cell>
          <cell r="AK172">
            <v>5866.5</v>
          </cell>
          <cell r="AL172">
            <v>3.2026766111144807E-2</v>
          </cell>
          <cell r="AM172">
            <v>7.2700000000000001E-2</v>
          </cell>
          <cell r="AN172">
            <v>-7.8030314895687208E-2</v>
          </cell>
          <cell r="AO172">
            <v>-7.5063613231552195E-2</v>
          </cell>
          <cell r="AP172">
            <v>122.31</v>
          </cell>
          <cell r="AR172">
            <v>1.26E-2</v>
          </cell>
          <cell r="AS172">
            <v>9.1000000000000004E-3</v>
          </cell>
          <cell r="AT172">
            <v>1.9699999999999999E-2</v>
          </cell>
          <cell r="AW172">
            <v>96.1</v>
          </cell>
          <cell r="AX172">
            <v>0.76800000000000002</v>
          </cell>
          <cell r="AZ172">
            <v>7.9899999999999999E-2</v>
          </cell>
          <cell r="BA172">
            <v>6.391478029294273E-2</v>
          </cell>
          <cell r="BB172">
            <v>6.1955294002139907E-2</v>
          </cell>
          <cell r="BC172">
            <v>0.13189999999999999</v>
          </cell>
          <cell r="BD172">
            <v>-5.9893858984078729E-2</v>
          </cell>
        </row>
        <row r="173">
          <cell r="A173" t="str">
            <v>2Q85</v>
          </cell>
          <cell r="B173">
            <v>0.1016</v>
          </cell>
          <cell r="C173">
            <v>-0.25073746312684364</v>
          </cell>
          <cell r="D173">
            <v>5673.8</v>
          </cell>
          <cell r="E173">
            <v>3.2764206924169148E-2</v>
          </cell>
          <cell r="F173">
            <v>4342.42</v>
          </cell>
          <cell r="G173">
            <v>4.4931058546093361E-2</v>
          </cell>
          <cell r="H173">
            <v>23652.24603933447</v>
          </cell>
          <cell r="I173">
            <v>3.3569218388741717E-2</v>
          </cell>
          <cell r="J173">
            <v>8.0501146457256922E-4</v>
          </cell>
          <cell r="K173">
            <v>1439.3309999999999</v>
          </cell>
          <cell r="L173">
            <v>0.11766309158847132</v>
          </cell>
          <cell r="M173">
            <v>112.3955</v>
          </cell>
          <cell r="N173">
            <v>612.194587284053</v>
          </cell>
          <cell r="O173">
            <v>0.24328600127446331</v>
          </cell>
          <cell r="P173">
            <v>0.2569532202328364</v>
          </cell>
          <cell r="Q173">
            <v>0.22418901330866725</v>
          </cell>
          <cell r="R173">
            <v>442.72350000000006</v>
          </cell>
          <cell r="S173">
            <v>0.14533373970214791</v>
          </cell>
          <cell r="T173">
            <v>555.11900000000003</v>
          </cell>
          <cell r="U173">
            <v>0.12783632168237988</v>
          </cell>
          <cell r="V173">
            <v>0.1161536258886795</v>
          </cell>
          <cell r="W173">
            <v>3023.6161331951566</v>
          </cell>
          <cell r="X173">
            <v>0.16630358979991811</v>
          </cell>
          <cell r="Y173">
            <v>0.15362203071152236</v>
          </cell>
          <cell r="Z173">
            <v>0.13353938287574896</v>
          </cell>
          <cell r="AA173">
            <v>0.16630358979991811</v>
          </cell>
          <cell r="AB173">
            <v>297.88499999999999</v>
          </cell>
          <cell r="AE173">
            <v>183.59440337202696</v>
          </cell>
          <cell r="AF173">
            <v>1.622516778991242E-3</v>
          </cell>
          <cell r="AG173">
            <v>-6.4237767679965172</v>
          </cell>
          <cell r="AH173">
            <v>4.349532599686317E-2</v>
          </cell>
          <cell r="AI173">
            <v>-6.4237767679965172</v>
          </cell>
          <cell r="AJ173">
            <v>4.4455112514145245E-2</v>
          </cell>
          <cell r="AK173">
            <v>4491</v>
          </cell>
          <cell r="AL173">
            <v>2.4461529967771685E-2</v>
          </cell>
          <cell r="AM173">
            <v>7.2800000000000004E-2</v>
          </cell>
          <cell r="AN173">
            <v>-2.5764136936131318E-2</v>
          </cell>
          <cell r="AO173">
            <v>-2.5435073627844695E-2</v>
          </cell>
          <cell r="AP173">
            <v>123.31</v>
          </cell>
          <cell r="AR173">
            <v>1.1299999999999999E-2</v>
          </cell>
          <cell r="AS173">
            <v>1.04E-2</v>
          </cell>
          <cell r="AT173">
            <v>2.3399999999999997E-2</v>
          </cell>
          <cell r="AW173">
            <v>102.6</v>
          </cell>
          <cell r="AX173">
            <v>0.76300000000000001</v>
          </cell>
          <cell r="AZ173">
            <v>8.0299999999999996E-2</v>
          </cell>
          <cell r="BA173">
            <v>5.5190538764783081E-2</v>
          </cell>
          <cell r="BB173">
            <v>5.3721356085075743E-2</v>
          </cell>
          <cell r="BC173">
            <v>0.13300000000000001</v>
          </cell>
          <cell r="BD173">
            <v>-5.7142857142857273E-2</v>
          </cell>
        </row>
        <row r="174">
          <cell r="A174" t="str">
            <v>3Q85</v>
          </cell>
          <cell r="B174">
            <v>0.10369999999999999</v>
          </cell>
          <cell r="C174">
            <v>-0.17172523961661357</v>
          </cell>
          <cell r="D174">
            <v>5758.6</v>
          </cell>
          <cell r="E174">
            <v>3.9214624727049729E-2</v>
          </cell>
          <cell r="F174">
            <v>4320.92</v>
          </cell>
          <cell r="G174">
            <v>2.0984804270210544E-2</v>
          </cell>
          <cell r="H174">
            <v>23481.364821311588</v>
          </cell>
          <cell r="I174">
            <v>9.8331532713031855E-3</v>
          </cell>
          <cell r="J174">
            <v>-2.9381471455746544E-2</v>
          </cell>
          <cell r="K174">
            <v>1488.489</v>
          </cell>
          <cell r="L174">
            <v>0.12405302458209255</v>
          </cell>
          <cell r="M174">
            <v>118.3361</v>
          </cell>
          <cell r="N174">
            <v>643.07905159808797</v>
          </cell>
          <cell r="O174">
            <v>0.23892480603648281</v>
          </cell>
          <cell r="P174">
            <v>0.2526063305596693</v>
          </cell>
          <cell r="Q174">
            <v>0.21339170583261957</v>
          </cell>
          <cell r="R174">
            <v>457.47071000000005</v>
          </cell>
          <cell r="S174">
            <v>0.14755692315750357</v>
          </cell>
          <cell r="T174">
            <v>575.80681000000004</v>
          </cell>
          <cell r="U174">
            <v>0.1332602339316627</v>
          </cell>
          <cell r="V174">
            <v>0.14368235601297674</v>
          </cell>
          <cell r="W174">
            <v>3129.1321691226976</v>
          </cell>
          <cell r="X174">
            <v>0.1676823064012023</v>
          </cell>
          <cell r="Y174">
            <v>0.15492835991333753</v>
          </cell>
          <cell r="Z174">
            <v>0.12846768167415257</v>
          </cell>
          <cell r="AA174">
            <v>0.1676823064012023</v>
          </cell>
          <cell r="AB174">
            <v>314.37799999999999</v>
          </cell>
          <cell r="AE174">
            <v>184.01485743615513</v>
          </cell>
          <cell r="AF174">
            <v>1.7084381358123488E-3</v>
          </cell>
          <cell r="AG174">
            <v>-6.372175696714879</v>
          </cell>
          <cell r="AH174">
            <v>9.1985287769847823E-2</v>
          </cell>
          <cell r="AI174">
            <v>-6.372175696714879</v>
          </cell>
          <cell r="AJ174">
            <v>9.634869222787712E-2</v>
          </cell>
          <cell r="AK174">
            <v>4596</v>
          </cell>
          <cell r="AL174">
            <v>2.4976244114389545E-2</v>
          </cell>
          <cell r="AM174">
            <v>7.2000000000000008E-2</v>
          </cell>
          <cell r="AN174">
            <v>-3.2789822822990838E-2</v>
          </cell>
          <cell r="AO174">
            <v>-3.2258064516129004E-2</v>
          </cell>
          <cell r="AP174">
            <v>125.87</v>
          </cell>
          <cell r="AR174">
            <v>1.34E-2</v>
          </cell>
          <cell r="AS174">
            <v>1.23E-2</v>
          </cell>
          <cell r="AT174">
            <v>2.75E-2</v>
          </cell>
          <cell r="AW174">
            <v>96</v>
          </cell>
          <cell r="AX174">
            <v>0.752</v>
          </cell>
          <cell r="AZ174">
            <v>8.2400000000000001E-2</v>
          </cell>
          <cell r="BA174">
            <v>7.1521456436930864E-2</v>
          </cell>
          <cell r="BB174">
            <v>6.9079560403827525E-2</v>
          </cell>
          <cell r="BC174">
            <v>0.13650000000000001</v>
          </cell>
          <cell r="BD174">
            <v>-7.3992673992673952E-2</v>
          </cell>
        </row>
        <row r="175">
          <cell r="A175" t="str">
            <v>4Q85</v>
          </cell>
          <cell r="B175">
            <v>9.2600000000000002E-2</v>
          </cell>
          <cell r="C175">
            <v>-0.19478260869565223</v>
          </cell>
          <cell r="D175">
            <v>5806</v>
          </cell>
          <cell r="E175">
            <v>3.9924056527735452E-2</v>
          </cell>
          <cell r="F175">
            <v>4362.6000000000004</v>
          </cell>
          <cell r="G175">
            <v>2.4096526954541897E-2</v>
          </cell>
          <cell r="H175">
            <v>23653.698353915894</v>
          </cell>
          <cell r="I175">
            <v>1.2860552433571426E-2</v>
          </cell>
          <cell r="J175">
            <v>-2.7063504094164026E-2</v>
          </cell>
          <cell r="K175">
            <v>1533.384</v>
          </cell>
          <cell r="L175">
            <v>0.1291346131896729</v>
          </cell>
          <cell r="M175">
            <v>124.4658</v>
          </cell>
          <cell r="N175">
            <v>674.84447086114358</v>
          </cell>
          <cell r="O175">
            <v>0.2262736028407466</v>
          </cell>
          <cell r="P175">
            <v>0.23987703415629325</v>
          </cell>
          <cell r="Q175">
            <v>0.19995297762855779</v>
          </cell>
          <cell r="R175">
            <v>468.50001000000003</v>
          </cell>
          <cell r="S175">
            <v>0.13888878489928325</v>
          </cell>
          <cell r="T175">
            <v>592.96581000000003</v>
          </cell>
          <cell r="U175">
            <v>0.13592027919130792</v>
          </cell>
          <cell r="V175">
            <v>0.13143506827241747</v>
          </cell>
          <cell r="W175">
            <v>3215.0172841712297</v>
          </cell>
          <cell r="X175">
            <v>0.15869872389235784</v>
          </cell>
          <cell r="Y175">
            <v>0.14598594829311695</v>
          </cell>
          <cell r="Z175">
            <v>0.11877466736462239</v>
          </cell>
          <cell r="AA175">
            <v>0.15869872389235784</v>
          </cell>
          <cell r="AB175">
            <v>341.18900000000002</v>
          </cell>
          <cell r="AE175">
            <v>184.43627439248911</v>
          </cell>
          <cell r="AF175">
            <v>1.8499018217746782E-3</v>
          </cell>
          <cell r="AG175">
            <v>-6.2926227106111137</v>
          </cell>
          <cell r="AH175">
            <v>0.17055159260722683</v>
          </cell>
          <cell r="AI175">
            <v>-6.2926227106111137</v>
          </cell>
          <cell r="AJ175">
            <v>0.18595883706393312</v>
          </cell>
          <cell r="AK175">
            <v>5341.8</v>
          </cell>
          <cell r="AL175">
            <v>2.8962849187857683E-2</v>
          </cell>
          <cell r="AM175">
            <v>7.0499999999999993E-2</v>
          </cell>
          <cell r="AN175">
            <v>-3.2103245384417431E-2</v>
          </cell>
          <cell r="AO175">
            <v>-3.1593406593406703E-2</v>
          </cell>
          <cell r="AP175">
            <v>127.81</v>
          </cell>
          <cell r="AR175">
            <v>1.43E-2</v>
          </cell>
          <cell r="AS175">
            <v>1.3300000000000001E-2</v>
          </cell>
          <cell r="AT175">
            <v>2.9600000000000001E-2</v>
          </cell>
          <cell r="AW175">
            <v>98.2</v>
          </cell>
          <cell r="AX175">
            <v>0.747</v>
          </cell>
          <cell r="AZ175">
            <v>8.2899999999999988E-2</v>
          </cell>
          <cell r="BA175">
            <v>6.2820512820512597E-2</v>
          </cell>
          <cell r="BB175">
            <v>6.0926235451657346E-2</v>
          </cell>
          <cell r="BC175">
            <v>0.13739999999999999</v>
          </cell>
          <cell r="BD175">
            <v>-6.6229985443959194E-2</v>
          </cell>
        </row>
        <row r="176">
          <cell r="A176" t="str">
            <v>1Q86</v>
          </cell>
          <cell r="B176">
            <v>7.7800000000000008E-2</v>
          </cell>
          <cell r="C176">
            <v>-0.34401349072512644</v>
          </cell>
          <cell r="D176">
            <v>5858.9</v>
          </cell>
          <cell r="E176">
            <v>4.0712648986624522E-2</v>
          </cell>
          <cell r="F176">
            <v>4418.29</v>
          </cell>
          <cell r="G176">
            <v>3.6782477695856519E-2</v>
          </cell>
          <cell r="H176">
            <v>23845.988985257853</v>
          </cell>
          <cell r="I176">
            <v>2.4978502193009788E-2</v>
          </cell>
          <cell r="J176">
            <v>-1.5734146793614734E-2</v>
          </cell>
          <cell r="K176">
            <v>1563.652</v>
          </cell>
          <cell r="L176">
            <v>0.1192198647045899</v>
          </cell>
          <cell r="M176">
            <v>130.178</v>
          </cell>
          <cell r="N176">
            <v>702.58474525730469</v>
          </cell>
          <cell r="O176">
            <v>0.19217730270207412</v>
          </cell>
          <cell r="P176">
            <v>0.20590679229237896</v>
          </cell>
          <cell r="Q176">
            <v>0.16519414330575444</v>
          </cell>
          <cell r="R176">
            <v>476.17831000000001</v>
          </cell>
          <cell r="S176">
            <v>0.11229046314875979</v>
          </cell>
          <cell r="T176">
            <v>606.35631000000001</v>
          </cell>
          <cell r="U176">
            <v>0.13723777977452817</v>
          </cell>
          <cell r="V176">
            <v>9.1012643148361994E-2</v>
          </cell>
          <cell r="W176">
            <v>3272.5705848646412</v>
          </cell>
          <cell r="X176">
            <v>0.13114279136086404</v>
          </cell>
          <cell r="Y176">
            <v>0.11826450484784479</v>
          </cell>
          <cell r="Z176">
            <v>9.0430142374239519E-2</v>
          </cell>
          <cell r="AA176">
            <v>0.13114279136086404</v>
          </cell>
          <cell r="AB176">
            <v>371.47399999999999</v>
          </cell>
          <cell r="AE176">
            <v>185.28441000000001</v>
          </cell>
          <cell r="AF176">
            <v>2.0048853543587395E-3</v>
          </cell>
          <cell r="AG176">
            <v>-6.2121683997293884</v>
          </cell>
          <cell r="AH176">
            <v>0.251215573590515</v>
          </cell>
          <cell r="AI176">
            <v>-6.2121683997293884</v>
          </cell>
          <cell r="AJ176">
            <v>0.2855871931085936</v>
          </cell>
          <cell r="AK176">
            <v>5746.7</v>
          </cell>
          <cell r="AL176">
            <v>3.1015561427969032E-2</v>
          </cell>
          <cell r="AM176">
            <v>7.0099999999999996E-2</v>
          </cell>
          <cell r="AN176">
            <v>-3.6418590498929343E-2</v>
          </cell>
          <cell r="AO176">
            <v>-3.5763411279229773E-2</v>
          </cell>
          <cell r="AP176">
            <v>130.94</v>
          </cell>
          <cell r="AQ176">
            <v>7.0558417136783458E-2</v>
          </cell>
          <cell r="AR176">
            <v>1.37E-2</v>
          </cell>
          <cell r="AS176">
            <v>1.44E-2</v>
          </cell>
          <cell r="AT176">
            <v>3.2099999999999997E-2</v>
          </cell>
          <cell r="AW176">
            <v>95.1</v>
          </cell>
          <cell r="AX176">
            <v>0.74299999999999999</v>
          </cell>
          <cell r="AZ176">
            <v>8.3000000000000004E-2</v>
          </cell>
          <cell r="BA176">
            <v>3.8798498122653458E-2</v>
          </cell>
          <cell r="BB176">
            <v>3.8064755024369075E-2</v>
          </cell>
          <cell r="BC176">
            <v>0.1376</v>
          </cell>
          <cell r="BD176">
            <v>-4.1424418604651292E-2</v>
          </cell>
        </row>
        <row r="177">
          <cell r="A177" t="str">
            <v>2Q86</v>
          </cell>
          <cell r="B177">
            <v>7.8E-2</v>
          </cell>
          <cell r="C177">
            <v>-0.23228346456692905</v>
          </cell>
          <cell r="D177">
            <v>5883.3</v>
          </cell>
          <cell r="E177">
            <v>3.6924107300221998E-2</v>
          </cell>
          <cell r="F177">
            <v>4463.32</v>
          </cell>
          <cell r="G177">
            <v>2.7841618268154456E-2</v>
          </cell>
          <cell r="H177">
            <v>24035.267926420609</v>
          </cell>
          <cell r="I177">
            <v>1.6193890696433622E-2</v>
          </cell>
          <cell r="J177">
            <v>-2.0730216603788376E-2</v>
          </cell>
          <cell r="K177">
            <v>1623.192</v>
          </cell>
          <cell r="L177">
            <v>0.12774059615196243</v>
          </cell>
          <cell r="M177">
            <v>134.40941000000001</v>
          </cell>
          <cell r="N177">
            <v>723.80339773579249</v>
          </cell>
          <cell r="O177">
            <v>0.18230937151352822</v>
          </cell>
          <cell r="P177">
            <v>0.19586113323042298</v>
          </cell>
          <cell r="Q177">
            <v>0.15893702593020098</v>
          </cell>
          <cell r="R177">
            <v>487.82528000000002</v>
          </cell>
          <cell r="S177">
            <v>0.10187347181705952</v>
          </cell>
          <cell r="T177">
            <v>622.23469</v>
          </cell>
          <cell r="U177">
            <v>0.13941072788865688</v>
          </cell>
          <cell r="V177">
            <v>9.054082637823857E-2</v>
          </cell>
          <cell r="W177">
            <v>3350.7741966211856</v>
          </cell>
          <cell r="X177">
            <v>0.12090324777209926</v>
          </cell>
          <cell r="Y177">
            <v>0.10820092532060621</v>
          </cell>
          <cell r="Z177">
            <v>8.3979140471877267E-2</v>
          </cell>
          <cell r="AA177">
            <v>0.12090324777209926</v>
          </cell>
          <cell r="AB177">
            <v>401.57499999999999</v>
          </cell>
          <cell r="AE177">
            <v>185.69878287454932</v>
          </cell>
          <cell r="AF177">
            <v>2.1625074423416548E-3</v>
          </cell>
          <cell r="AG177">
            <v>-6.1364868776188883</v>
          </cell>
          <cell r="AH177">
            <v>0.2872898903776292</v>
          </cell>
          <cell r="AI177">
            <v>-6.1364868776188883</v>
          </cell>
          <cell r="AJ177">
            <v>0.33281052642558073</v>
          </cell>
          <cell r="AK177">
            <v>4363.2</v>
          </cell>
          <cell r="AL177">
            <v>2.349611522735506E-2</v>
          </cell>
          <cell r="AM177">
            <v>7.17E-2</v>
          </cell>
          <cell r="AN177">
            <v>-1.5225207597065669E-2</v>
          </cell>
          <cell r="AO177">
            <v>-1.5109890109890167E-2</v>
          </cell>
          <cell r="AP177">
            <v>134.38999999999999</v>
          </cell>
          <cell r="AQ177">
            <v>8.9854837401670551E-2</v>
          </cell>
          <cell r="AR177">
            <v>1.38E-2</v>
          </cell>
          <cell r="AS177">
            <v>1.49E-2</v>
          </cell>
          <cell r="AT177">
            <v>3.2500000000000001E-2</v>
          </cell>
          <cell r="AW177">
            <v>100</v>
          </cell>
          <cell r="AX177">
            <v>0.73299999999999998</v>
          </cell>
          <cell r="AZ177">
            <v>8.3599999999999994E-2</v>
          </cell>
          <cell r="BA177">
            <v>4.1095890410958846E-2</v>
          </cell>
          <cell r="BB177">
            <v>4.0273899137939898E-2</v>
          </cell>
          <cell r="BC177">
            <v>0.13869999999999999</v>
          </cell>
          <cell r="BD177">
            <v>-4.1095890410958735E-2</v>
          </cell>
        </row>
        <row r="178">
          <cell r="A178" t="str">
            <v>3Q86</v>
          </cell>
          <cell r="B178">
            <v>7.4499999999999997E-2</v>
          </cell>
          <cell r="C178">
            <v>-0.28158148505303759</v>
          </cell>
          <cell r="D178">
            <v>5937.9</v>
          </cell>
          <cell r="E178">
            <v>3.1136040009724475E-2</v>
          </cell>
          <cell r="F178">
            <v>4482.7700000000004</v>
          </cell>
          <cell r="G178">
            <v>3.7457300760023404E-2</v>
          </cell>
          <cell r="H178">
            <v>24086.140827037587</v>
          </cell>
          <cell r="I178">
            <v>2.5755572997064657E-2</v>
          </cell>
          <cell r="J178">
            <v>-5.3804670126598175E-3</v>
          </cell>
          <cell r="K178">
            <v>1690.38</v>
          </cell>
          <cell r="L178">
            <v>0.13563486193045438</v>
          </cell>
          <cell r="M178">
            <v>137.24741</v>
          </cell>
          <cell r="N178">
            <v>737.43699663515338</v>
          </cell>
          <cell r="O178">
            <v>0.14672837624329471</v>
          </cell>
          <cell r="P178">
            <v>0.1598101509175982</v>
          </cell>
          <cell r="Q178">
            <v>0.12867411090787373</v>
          </cell>
          <cell r="R178">
            <v>500.86421999999999</v>
          </cell>
          <cell r="S178">
            <v>9.4855274996731298E-2</v>
          </cell>
          <cell r="T178">
            <v>638.11162999999999</v>
          </cell>
          <cell r="U178">
            <v>0.14234761765604748</v>
          </cell>
          <cell r="V178">
            <v>6.819276430990584E-2</v>
          </cell>
          <cell r="W178">
            <v>3428.6047652568614</v>
          </cell>
          <cell r="X178">
            <v>0.10820438195234261</v>
          </cell>
          <cell r="Y178">
            <v>9.5704681026025806E-2</v>
          </cell>
          <cell r="Z178">
            <v>7.7068341942618135E-2</v>
          </cell>
          <cell r="AA178">
            <v>0.10820438195234261</v>
          </cell>
          <cell r="AB178">
            <v>429.334</v>
          </cell>
          <cell r="AE178">
            <v>186.11408245890203</v>
          </cell>
          <cell r="AF178">
            <v>2.3068324241117331E-3</v>
          </cell>
          <cell r="AG178">
            <v>-6.07187994043844</v>
          </cell>
          <cell r="AH178">
            <v>0.30029575627643901</v>
          </cell>
          <cell r="AI178">
            <v>-6.07187994043844</v>
          </cell>
          <cell r="AJ178">
            <v>0.35025809583374379</v>
          </cell>
          <cell r="AK178">
            <v>4512.3</v>
          </cell>
          <cell r="AL178">
            <v>2.4244806950577812E-2</v>
          </cell>
          <cell r="AM178">
            <v>6.9800000000000001E-2</v>
          </cell>
          <cell r="AN178">
            <v>-3.1032109247728638E-2</v>
          </cell>
          <cell r="AO178">
            <v>-3.0555555555555669E-2</v>
          </cell>
          <cell r="AP178">
            <v>137.69999999999999</v>
          </cell>
          <cell r="AQ178">
            <v>9.3985858425359448E-2</v>
          </cell>
          <cell r="AR178">
            <v>1.4800000000000001E-2</v>
          </cell>
          <cell r="AS178">
            <v>1.5600000000000001E-2</v>
          </cell>
          <cell r="AT178">
            <v>3.44E-2</v>
          </cell>
          <cell r="AW178">
            <v>89.7</v>
          </cell>
          <cell r="AX178">
            <v>0.73599999999999999</v>
          </cell>
          <cell r="AZ178">
            <v>8.43E-2</v>
          </cell>
          <cell r="BA178">
            <v>2.3058252427184511E-2</v>
          </cell>
          <cell r="BB178">
            <v>2.2796428092383803E-2</v>
          </cell>
          <cell r="BC178">
            <v>0.1401</v>
          </cell>
          <cell r="BD178">
            <v>-2.5695931477516032E-2</v>
          </cell>
        </row>
        <row r="179">
          <cell r="A179" t="str">
            <v>4Q86</v>
          </cell>
          <cell r="B179">
            <v>7.1099999999999997E-2</v>
          </cell>
          <cell r="C179">
            <v>-0.23218142548596121</v>
          </cell>
          <cell r="D179">
            <v>5969.5</v>
          </cell>
          <cell r="E179">
            <v>2.816052359627963E-2</v>
          </cell>
          <cell r="F179">
            <v>4480.68</v>
          </cell>
          <cell r="G179">
            <v>2.7066428276715682E-2</v>
          </cell>
          <cell r="H179">
            <v>24021.189801104825</v>
          </cell>
          <cell r="I179">
            <v>1.553632086155754E-2</v>
          </cell>
          <cell r="J179">
            <v>-1.262420273472209E-2</v>
          </cell>
          <cell r="K179">
            <v>1737.8219999999999</v>
          </cell>
          <cell r="L179">
            <v>0.13332472492213299</v>
          </cell>
          <cell r="M179">
            <v>141.06820000000002</v>
          </cell>
          <cell r="N179">
            <v>756.2749419954597</v>
          </cell>
          <cell r="O179">
            <v>0.12066553798745039</v>
          </cell>
          <cell r="P179">
            <v>0.13338925230866638</v>
          </cell>
          <cell r="Q179">
            <v>0.10522872871238675</v>
          </cell>
          <cell r="R179">
            <v>505.56761000000006</v>
          </cell>
          <cell r="S179">
            <v>7.9119742174605268E-2</v>
          </cell>
          <cell r="T179">
            <v>646.63581000000011</v>
          </cell>
          <cell r="U179">
            <v>0.14431644527169984</v>
          </cell>
          <cell r="V179">
            <v>6.1772725382459814E-2</v>
          </cell>
          <cell r="W179">
            <v>3466.6527232922595</v>
          </cell>
          <cell r="X179">
            <v>9.0511120700196956E-2</v>
          </cell>
          <cell r="Y179">
            <v>7.8268767126051797E-2</v>
          </cell>
          <cell r="Z179">
            <v>6.2350597103917327E-2</v>
          </cell>
          <cell r="AA179">
            <v>9.0511120700196956E-2</v>
          </cell>
          <cell r="AB179">
            <v>448.98899999999998</v>
          </cell>
          <cell r="AC179">
            <v>8566.7100000000009</v>
          </cell>
          <cell r="AD179">
            <v>4.5926637671296039E-2</v>
          </cell>
          <cell r="AE179">
            <v>186.53031082556603</v>
          </cell>
          <cell r="AF179">
            <v>2.4070565154414628E-3</v>
          </cell>
          <cell r="AG179">
            <v>-6.0293506408384552</v>
          </cell>
          <cell r="AH179">
            <v>0.26327206977265927</v>
          </cell>
          <cell r="AI179">
            <v>-6.0293506408384552</v>
          </cell>
          <cell r="AJ179">
            <v>0.30118068273065757</v>
          </cell>
          <cell r="AK179">
            <v>4941.6000000000004</v>
          </cell>
          <cell r="AL179">
            <v>2.6492209111371404E-2</v>
          </cell>
          <cell r="AM179">
            <v>6.83E-2</v>
          </cell>
          <cell r="AN179">
            <v>-3.1702943241478522E-2</v>
          </cell>
          <cell r="AO179">
            <v>-3.1205673758865182E-2</v>
          </cell>
          <cell r="AP179">
            <v>140.69999999999999</v>
          </cell>
          <cell r="AQ179">
            <v>0.10085282841718168</v>
          </cell>
          <cell r="AR179">
            <v>1.47E-2</v>
          </cell>
          <cell r="AS179">
            <v>1.5600000000000001E-2</v>
          </cell>
          <cell r="AT179">
            <v>3.4200000000000001E-2</v>
          </cell>
          <cell r="AW179">
            <v>93.2</v>
          </cell>
          <cell r="AX179">
            <v>0.74900000000000011</v>
          </cell>
          <cell r="AZ179">
            <v>8.5000000000000006E-2</v>
          </cell>
          <cell r="BA179">
            <v>2.5331724969843483E-2</v>
          </cell>
          <cell r="BB179">
            <v>2.5016194349067454E-2</v>
          </cell>
          <cell r="BC179">
            <v>0.14180000000000001</v>
          </cell>
          <cell r="BD179">
            <v>-3.1029619181946466E-2</v>
          </cell>
        </row>
        <row r="180">
          <cell r="A180" t="str">
            <v>1Q87</v>
          </cell>
          <cell r="B180">
            <v>7.2499999999999995E-2</v>
          </cell>
          <cell r="C180">
            <v>-6.8123393316195546E-2</v>
          </cell>
          <cell r="D180">
            <v>6013.3</v>
          </cell>
          <cell r="E180">
            <v>2.6353069688849429E-2</v>
          </cell>
          <cell r="F180">
            <v>4535.5</v>
          </cell>
          <cell r="G180">
            <v>2.6528362782886505E-2</v>
          </cell>
          <cell r="H180">
            <v>24199.826378050857</v>
          </cell>
          <cell r="I180">
            <v>1.4838444864323064E-2</v>
          </cell>
          <cell r="J180">
            <v>-1.1514624824526365E-2</v>
          </cell>
          <cell r="K180">
            <v>1787.0809999999999</v>
          </cell>
          <cell r="L180">
            <v>0.14288921064277726</v>
          </cell>
          <cell r="M180">
            <v>143.10170000000002</v>
          </cell>
          <cell r="N180">
            <v>763.54013767036054</v>
          </cell>
          <cell r="O180">
            <v>8.6758775826725865E-2</v>
          </cell>
          <cell r="P180">
            <v>9.9277143603374141E-2</v>
          </cell>
          <cell r="Q180">
            <v>7.2924073914524712E-2</v>
          </cell>
          <cell r="R180">
            <v>499.70648999999992</v>
          </cell>
          <cell r="S180">
            <v>4.9410440387341215E-2</v>
          </cell>
          <cell r="T180">
            <v>642.80818999999997</v>
          </cell>
          <cell r="U180">
            <v>0.14172818652849739</v>
          </cell>
          <cell r="V180">
            <v>3.2719902357402075E-2</v>
          </cell>
          <cell r="W180">
            <v>3429.7975068656433</v>
          </cell>
          <cell r="X180">
            <v>6.0116270580246711E-2</v>
          </cell>
          <cell r="Y180">
            <v>4.8043859688821744E-2</v>
          </cell>
          <cell r="Z180">
            <v>3.3763200891397283E-2</v>
          </cell>
          <cell r="AA180">
            <v>6.0116270580246711E-2</v>
          </cell>
          <cell r="AB180">
            <v>465.286</v>
          </cell>
          <cell r="AC180">
            <v>8923.2800000000007</v>
          </cell>
          <cell r="AD180">
            <v>4.7611471000492483E-2</v>
          </cell>
          <cell r="AE180">
            <v>187.4187</v>
          </cell>
          <cell r="AF180">
            <v>2.482601789469247E-3</v>
          </cell>
          <cell r="AG180">
            <v>-5.9984481600781887</v>
          </cell>
          <cell r="AH180">
            <v>0.21372023965120016</v>
          </cell>
          <cell r="AI180">
            <v>-5.9984481600781887</v>
          </cell>
          <cell r="AJ180">
            <v>0.23827618575392528</v>
          </cell>
          <cell r="AK180">
            <v>5346.674</v>
          </cell>
          <cell r="AL180">
            <v>2.8527964392027049E-2</v>
          </cell>
          <cell r="AM180">
            <v>6.6100000000000006E-2</v>
          </cell>
          <cell r="AN180">
            <v>-5.8754047182903606E-2</v>
          </cell>
          <cell r="AO180">
            <v>-5.706134094151194E-2</v>
          </cell>
          <cell r="AP180">
            <v>143.5</v>
          </cell>
          <cell r="AQ180">
            <v>9.5921796242553814E-2</v>
          </cell>
          <cell r="AR180">
            <v>1.24E-2</v>
          </cell>
          <cell r="AS180">
            <v>1.5300000000000001E-2</v>
          </cell>
          <cell r="AT180">
            <v>3.49E-2</v>
          </cell>
          <cell r="AW180">
            <v>95.8</v>
          </cell>
          <cell r="AX180">
            <v>0.74900000000000011</v>
          </cell>
          <cell r="AY180">
            <v>0.871</v>
          </cell>
          <cell r="AZ180">
            <v>8.2400000000000001E-2</v>
          </cell>
          <cell r="BA180">
            <v>-7.2289156626506035E-3</v>
          </cell>
          <cell r="BB180">
            <v>-7.2551708811719098E-3</v>
          </cell>
          <cell r="BC180">
            <v>0.13930000000000001</v>
          </cell>
          <cell r="BD180">
            <v>-1.2203876525484603E-2</v>
          </cell>
        </row>
        <row r="181">
          <cell r="A181" t="str">
            <v>2Q87</v>
          </cell>
          <cell r="B181">
            <v>8.4000000000000005E-2</v>
          </cell>
          <cell r="C181">
            <v>7.6923076923077094E-2</v>
          </cell>
          <cell r="D181">
            <v>6077.2</v>
          </cell>
          <cell r="E181">
            <v>3.2957693811296318E-2</v>
          </cell>
          <cell r="F181">
            <v>4492.9799999999996</v>
          </cell>
          <cell r="G181">
            <v>6.6452775064300695E-3</v>
          </cell>
          <cell r="H181">
            <v>23918.334384609963</v>
          </cell>
          <cell r="I181">
            <v>-4.8650816861545154E-3</v>
          </cell>
          <cell r="J181">
            <v>-3.7822775497450833E-2</v>
          </cell>
          <cell r="K181">
            <v>1861.1379999999999</v>
          </cell>
          <cell r="L181">
            <v>0.14659140754759759</v>
          </cell>
          <cell r="M181">
            <v>149.8338</v>
          </cell>
          <cell r="N181">
            <v>797.63874544662394</v>
          </cell>
          <cell r="O181">
            <v>0.10201022534821447</v>
          </cell>
          <cell r="P181">
            <v>0.11475677186589839</v>
          </cell>
          <cell r="Q181">
            <v>8.179907805460207E-2</v>
          </cell>
          <cell r="R181">
            <v>504.08420000000001</v>
          </cell>
          <cell r="S181">
            <v>3.3329392031507643E-2</v>
          </cell>
          <cell r="T181">
            <v>653.91800000000001</v>
          </cell>
          <cell r="U181">
            <v>0.14554215687583744</v>
          </cell>
          <cell r="V181">
            <v>4.3981041344806293E-2</v>
          </cell>
          <cell r="W181">
            <v>3481.1259752136398</v>
          </cell>
          <cell r="X181">
            <v>5.0918585075994338E-2</v>
          </cell>
          <cell r="Y181">
            <v>3.890198829986713E-2</v>
          </cell>
          <cell r="Z181">
            <v>1.796089126469802E-2</v>
          </cell>
          <cell r="AA181">
            <v>5.0918585075994338E-2</v>
          </cell>
          <cell r="AB181">
            <v>473</v>
          </cell>
          <cell r="AC181">
            <v>9213.5660000000007</v>
          </cell>
          <cell r="AD181">
            <v>4.9048327048567611E-2</v>
          </cell>
          <cell r="AE181">
            <v>187.84669232197737</v>
          </cell>
          <cell r="AF181">
            <v>2.518010799941356E-3</v>
          </cell>
          <cell r="AG181">
            <v>-5.9842860542741221</v>
          </cell>
          <cell r="AH181">
            <v>0.15220082334476609</v>
          </cell>
          <cell r="AI181">
            <v>-5.9842860542741221</v>
          </cell>
          <cell r="AJ181">
            <v>0.16439405046150823</v>
          </cell>
          <cell r="AK181">
            <v>3771.5390000000002</v>
          </cell>
          <cell r="AL181">
            <v>2.0077750389852055E-2</v>
          </cell>
          <cell r="AM181">
            <v>6.2699999999999992E-2</v>
          </cell>
          <cell r="AN181">
            <v>-0.13412929996669978</v>
          </cell>
          <cell r="AO181">
            <v>-0.12552301255230136</v>
          </cell>
          <cell r="AP181">
            <v>146.75</v>
          </cell>
          <cell r="AQ181">
            <v>9.1971128804226643E-2</v>
          </cell>
          <cell r="AR181">
            <v>1.1399999999999999E-2</v>
          </cell>
          <cell r="AS181">
            <v>1.5300000000000001E-2</v>
          </cell>
          <cell r="AT181">
            <v>3.3799999999999997E-2</v>
          </cell>
          <cell r="AW181">
            <v>102.1</v>
          </cell>
          <cell r="AX181">
            <v>0.753</v>
          </cell>
          <cell r="AY181">
            <v>0.86975000000000002</v>
          </cell>
          <cell r="AZ181">
            <v>8.199999999999999E-2</v>
          </cell>
          <cell r="BA181">
            <v>-1.9138755980861344E-2</v>
          </cell>
          <cell r="BB181">
            <v>-1.9324272826402929E-2</v>
          </cell>
          <cell r="BC181">
            <v>0.1404</v>
          </cell>
          <cell r="BD181">
            <v>-1.2108262108262213E-2</v>
          </cell>
        </row>
        <row r="182">
          <cell r="A182" t="str">
            <v>3Q87</v>
          </cell>
          <cell r="B182">
            <v>9.4200000000000006E-2</v>
          </cell>
          <cell r="C182">
            <v>0.26442953020134241</v>
          </cell>
          <cell r="D182">
            <v>6128.1</v>
          </cell>
          <cell r="E182">
            <v>3.2031526297175983E-2</v>
          </cell>
          <cell r="F182">
            <v>4582.1099999999997</v>
          </cell>
          <cell r="G182">
            <v>2.2160405285124973E-2</v>
          </cell>
          <cell r="H182">
            <v>24337.240145562264</v>
          </cell>
          <cell r="I182">
            <v>1.0425053989670641E-2</v>
          </cell>
          <cell r="J182">
            <v>-2.1606472307505342E-2</v>
          </cell>
          <cell r="K182">
            <v>1915.375</v>
          </cell>
          <cell r="L182">
            <v>0.13310320756279648</v>
          </cell>
          <cell r="M182">
            <v>156.46091000000001</v>
          </cell>
          <cell r="N182">
            <v>831.02036835938122</v>
          </cell>
          <cell r="O182">
            <v>0.12690354857599884</v>
          </cell>
          <cell r="P182">
            <v>0.13999171277621936</v>
          </cell>
          <cell r="Q182">
            <v>0.10796018647904337</v>
          </cell>
          <cell r="R182">
            <v>510.27071999999998</v>
          </cell>
          <cell r="S182">
            <v>1.8780538965230908E-2</v>
          </cell>
          <cell r="T182">
            <v>666.73163</v>
          </cell>
          <cell r="U182">
            <v>0.14550755656236974</v>
          </cell>
          <cell r="V182">
            <v>2.2198748095367371E-2</v>
          </cell>
          <cell r="W182">
            <v>3541.2523470523761</v>
          </cell>
          <cell r="X182">
            <v>4.4851086635107951E-2</v>
          </cell>
          <cell r="Y182">
            <v>3.2855225232435226E-2</v>
          </cell>
          <cell r="Z182">
            <v>1.2819560337931968E-2</v>
          </cell>
          <cell r="AA182">
            <v>4.4851086635107951E-2</v>
          </cell>
          <cell r="AB182">
            <v>482.3</v>
          </cell>
          <cell r="AC182">
            <v>9436.7059999999983</v>
          </cell>
          <cell r="AD182">
            <v>5.0121751792311452E-2</v>
          </cell>
          <cell r="AE182">
            <v>188.27566201402331</v>
          </cell>
          <cell r="AF182">
            <v>2.5616693886014695E-3</v>
          </cell>
          <cell r="AG182">
            <v>-5.9670961280962436</v>
          </cell>
          <cell r="AH182">
            <v>0.10478381234219705</v>
          </cell>
          <cell r="AI182">
            <v>-5.9670961280962436</v>
          </cell>
          <cell r="AJ182">
            <v>0.11047051438418354</v>
          </cell>
          <cell r="AK182">
            <v>3728.9989999999998</v>
          </cell>
          <cell r="AL182">
            <v>1.9806059689872466E-2</v>
          </cell>
          <cell r="AM182">
            <v>0.06</v>
          </cell>
          <cell r="AN182">
            <v>-0.15128944754622617</v>
          </cell>
          <cell r="AO182">
            <v>-0.14040114613180521</v>
          </cell>
          <cell r="AP182">
            <v>150.1</v>
          </cell>
          <cell r="AQ182">
            <v>9.0050835148874464E-2</v>
          </cell>
          <cell r="AR182">
            <v>1.0700000000000001E-2</v>
          </cell>
          <cell r="AS182">
            <v>1.49E-2</v>
          </cell>
          <cell r="AT182">
            <v>3.1899999999999998E-2</v>
          </cell>
          <cell r="AW182">
            <v>115.7</v>
          </cell>
          <cell r="AX182">
            <v>0.74900000000000011</v>
          </cell>
          <cell r="AY182">
            <v>0.86850000000000005</v>
          </cell>
          <cell r="AZ182">
            <v>8.0399999999999985E-2</v>
          </cell>
          <cell r="BA182">
            <v>-4.6263345195729721E-2</v>
          </cell>
          <cell r="BB182">
            <v>-4.7367688822889283E-2</v>
          </cell>
          <cell r="BC182">
            <v>0.1386</v>
          </cell>
          <cell r="BD182">
            <v>1.0822510822510845E-2</v>
          </cell>
        </row>
        <row r="183">
          <cell r="A183" t="str">
            <v>4Q87</v>
          </cell>
          <cell r="B183">
            <v>8.9900000000000008E-2</v>
          </cell>
          <cell r="C183">
            <v>0.26441631504922669</v>
          </cell>
          <cell r="D183">
            <v>6234.4</v>
          </cell>
          <cell r="E183">
            <v>4.4375575843872861E-2</v>
          </cell>
          <cell r="F183">
            <v>4641.7700000000004</v>
          </cell>
          <cell r="G183">
            <v>3.5952132265638204E-2</v>
          </cell>
          <cell r="H183">
            <v>24597.943685002418</v>
          </cell>
          <cell r="I183">
            <v>2.4010213010808634E-2</v>
          </cell>
          <cell r="J183">
            <v>-2.0365362833064227E-2</v>
          </cell>
          <cell r="K183">
            <v>1969.7719999999999</v>
          </cell>
          <cell r="L183">
            <v>0.13347166740897509</v>
          </cell>
          <cell r="M183">
            <v>160.85391000000001</v>
          </cell>
          <cell r="N183">
            <v>852.40660775791287</v>
          </cell>
          <cell r="O183">
            <v>0.12711205994582619</v>
          </cell>
          <cell r="P183">
            <v>0.14025634409455856</v>
          </cell>
          <cell r="Q183">
            <v>9.58807682506857E-2</v>
          </cell>
          <cell r="R183">
            <v>515.48896999999999</v>
          </cell>
          <cell r="S183">
            <v>1.9624200213300691E-2</v>
          </cell>
          <cell r="T183">
            <v>676.34288000000004</v>
          </cell>
          <cell r="U183">
            <v>0.14570796915831677</v>
          </cell>
          <cell r="V183">
            <v>9.642171299308E-3</v>
          </cell>
          <cell r="W183">
            <v>3584.1164198123447</v>
          </cell>
          <cell r="X183">
            <v>4.5940960182826673E-2</v>
          </cell>
          <cell r="Y183">
            <v>3.388389489689958E-2</v>
          </cell>
          <cell r="Z183">
            <v>1.5653843389538125E-3</v>
          </cell>
          <cell r="AA183">
            <v>4.5940960182826673E-2</v>
          </cell>
          <cell r="AB183">
            <v>492.85</v>
          </cell>
          <cell r="AC183">
            <v>9642.0929999999989</v>
          </cell>
          <cell r="AD183">
            <v>5.1095952754995615E-2</v>
          </cell>
          <cell r="AE183">
            <v>188.70561130807565</v>
          </cell>
          <cell r="AF183">
            <v>2.6117400356229291E-3</v>
          </cell>
          <cell r="AG183">
            <v>-5.9477385994648362</v>
          </cell>
          <cell r="AH183">
            <v>8.161204137361909E-2</v>
          </cell>
          <cell r="AI183">
            <v>-5.9477385994648362</v>
          </cell>
          <cell r="AJ183">
            <v>8.5034779561013574E-2</v>
          </cell>
          <cell r="AK183">
            <v>4112.7349999999997</v>
          </cell>
          <cell r="AL183">
            <v>2.179444994502925E-2</v>
          </cell>
          <cell r="AM183">
            <v>5.8600000000000006E-2</v>
          </cell>
          <cell r="AN183">
            <v>-0.15317506999377736</v>
          </cell>
          <cell r="AO183">
            <v>-0.14202049780380666</v>
          </cell>
          <cell r="AP183">
            <v>151.81</v>
          </cell>
          <cell r="AQ183">
            <v>7.8962331201137381E-2</v>
          </cell>
          <cell r="AR183">
            <v>1.0800000000000001E-2</v>
          </cell>
          <cell r="AS183">
            <v>1.54E-2</v>
          </cell>
          <cell r="AT183">
            <v>3.27E-2</v>
          </cell>
          <cell r="AW183">
            <v>107.7</v>
          </cell>
          <cell r="AX183">
            <v>0.76300000000000001</v>
          </cell>
          <cell r="AY183">
            <v>0.86725000000000008</v>
          </cell>
          <cell r="AZ183">
            <v>7.9199999999999993E-2</v>
          </cell>
          <cell r="BA183">
            <v>-6.8235294117647172E-2</v>
          </cell>
          <cell r="BB183">
            <v>-7.0674957669936408E-2</v>
          </cell>
          <cell r="BC183">
            <v>0.1371</v>
          </cell>
          <cell r="BD183">
            <v>3.4281546316557332E-2</v>
          </cell>
        </row>
        <row r="184">
          <cell r="A184" t="str">
            <v>1Q88</v>
          </cell>
          <cell r="B184">
            <v>8.3699999999999997E-2</v>
          </cell>
          <cell r="C184">
            <v>0.15448275862068961</v>
          </cell>
          <cell r="D184">
            <v>6275.9</v>
          </cell>
          <cell r="E184">
            <v>4.3669865132289987E-2</v>
          </cell>
          <cell r="F184">
            <v>4706.37</v>
          </cell>
          <cell r="G184">
            <v>3.76739058538198E-2</v>
          </cell>
          <cell r="H184">
            <v>24870.74149779214</v>
          </cell>
          <cell r="I184">
            <v>2.7723964183057115E-2</v>
          </cell>
          <cell r="J184">
            <v>-1.5945900949232872E-2</v>
          </cell>
          <cell r="K184">
            <v>2016.1690000000001</v>
          </cell>
          <cell r="L184">
            <v>0.12819116760795968</v>
          </cell>
          <cell r="M184">
            <v>167.52591000000001</v>
          </cell>
          <cell r="N184">
            <v>885.28815239609116</v>
          </cell>
          <cell r="O184">
            <v>0.15945201662508057</v>
          </cell>
          <cell r="P184">
            <v>0.17067728755144063</v>
          </cell>
          <cell r="Q184">
            <v>0.12700742241915064</v>
          </cell>
          <cell r="R184">
            <v>522.38671999999997</v>
          </cell>
          <cell r="S184">
            <v>4.5387103137283669E-2</v>
          </cell>
          <cell r="T184">
            <v>689.91263000000004</v>
          </cell>
          <cell r="U184">
            <v>0.14659124335740709</v>
          </cell>
          <cell r="V184">
            <v>3.43125594705318E-2</v>
          </cell>
          <cell r="W184">
            <v>3645.8329193820114</v>
          </cell>
          <cell r="X184">
            <v>7.3279153459448132E-2</v>
          </cell>
          <cell r="Y184">
            <v>6.2987803823379096E-2</v>
          </cell>
          <cell r="Z184">
            <v>2.9609288327158145E-2</v>
          </cell>
          <cell r="AA184">
            <v>7.3279153459448132E-2</v>
          </cell>
          <cell r="AB184">
            <v>510.041</v>
          </cell>
          <cell r="AC184">
            <v>9847.8859999999986</v>
          </cell>
          <cell r="AD184">
            <v>5.2041005489522972E-2</v>
          </cell>
          <cell r="AE184">
            <v>189.23320000000001</v>
          </cell>
          <cell r="AF184">
            <v>2.6953039952820118E-3</v>
          </cell>
          <cell r="AG184">
            <v>-5.9162442812490035</v>
          </cell>
          <cell r="AH184">
            <v>8.2203878829185284E-2</v>
          </cell>
          <cell r="AI184">
            <v>-5.9162442812490035</v>
          </cell>
          <cell r="AJ184">
            <v>8.5677133850063925E-2</v>
          </cell>
          <cell r="AK184">
            <v>5012.5870000000004</v>
          </cell>
          <cell r="AL184">
            <v>2.6488940629868334E-2</v>
          </cell>
          <cell r="AM184">
            <v>5.7200000000000001E-2</v>
          </cell>
          <cell r="AN184">
            <v>-0.14461484847188849</v>
          </cell>
          <cell r="AO184">
            <v>-0.13464447806354018</v>
          </cell>
          <cell r="AP184">
            <v>154.47</v>
          </cell>
          <cell r="AQ184">
            <v>7.6445993031358794E-2</v>
          </cell>
          <cell r="AR184">
            <v>1.1899999999999999E-2</v>
          </cell>
          <cell r="AS184">
            <v>1.4999999999999999E-2</v>
          </cell>
          <cell r="AT184">
            <v>3.2000000000000001E-2</v>
          </cell>
          <cell r="AW184">
            <v>112.7</v>
          </cell>
          <cell r="AX184">
            <v>0.75800000000000001</v>
          </cell>
          <cell r="AY184">
            <v>0.86599999999999999</v>
          </cell>
          <cell r="AZ184">
            <v>7.8399999999999997E-2</v>
          </cell>
          <cell r="BA184">
            <v>-4.8543689320388439E-2</v>
          </cell>
          <cell r="BB184">
            <v>-4.9761509559063943E-2</v>
          </cell>
          <cell r="BC184">
            <v>0.13619999999999999</v>
          </cell>
          <cell r="BD184">
            <v>2.2760646108663796E-2</v>
          </cell>
        </row>
        <row r="185">
          <cell r="A185" t="str">
            <v>2Q88</v>
          </cell>
          <cell r="B185">
            <v>8.9200000000000002E-2</v>
          </cell>
          <cell r="C185">
            <v>6.1904761904761907E-2</v>
          </cell>
          <cell r="D185">
            <v>6349.8</v>
          </cell>
          <cell r="E185">
            <v>4.485618376884104E-2</v>
          </cell>
          <cell r="F185">
            <v>4741.28</v>
          </cell>
          <cell r="G185">
            <v>5.5263989601556318E-2</v>
          </cell>
          <cell r="H185">
            <v>24996.046328626984</v>
          </cell>
          <cell r="I185">
            <v>4.5057984669303108E-2</v>
          </cell>
          <cell r="J185">
            <v>2.01800900462068E-4</v>
          </cell>
          <cell r="K185">
            <v>2086.1089999999999</v>
          </cell>
          <cell r="L185">
            <v>0.12087819387922871</v>
          </cell>
          <cell r="M185">
            <v>172.9632</v>
          </cell>
          <cell r="N185">
            <v>911.86265319651557</v>
          </cell>
          <cell r="O185">
            <v>0.14320255679898541</v>
          </cell>
          <cell r="P185">
            <v>0.15436703867885626</v>
          </cell>
          <cell r="Q185">
            <v>0.10951085491001522</v>
          </cell>
          <cell r="R185">
            <v>528.69967999999994</v>
          </cell>
          <cell r="S185">
            <v>4.8832080037422232E-2</v>
          </cell>
          <cell r="T185">
            <v>701.66287999999997</v>
          </cell>
          <cell r="U185">
            <v>0.14799017986704013</v>
          </cell>
          <cell r="V185">
            <v>1.682002688259665E-2</v>
          </cell>
          <cell r="W185">
            <v>3699.1693921383753</v>
          </cell>
          <cell r="X185">
            <v>7.3013558274890755E-2</v>
          </cell>
          <cell r="Y185">
            <v>6.2635888065313061E-2</v>
          </cell>
          <cell r="Z185">
            <v>2.8157374506049715E-2</v>
          </cell>
          <cell r="AA185">
            <v>7.3013558274890755E-2</v>
          </cell>
          <cell r="AB185">
            <v>526.06399999999996</v>
          </cell>
          <cell r="AC185">
            <v>10061.036</v>
          </cell>
          <cell r="AD185">
            <v>5.3041820345979131E-2</v>
          </cell>
          <cell r="AE185">
            <v>189.68119748481979</v>
          </cell>
          <cell r="AF185">
            <v>2.7734114238819104E-3</v>
          </cell>
          <cell r="AG185">
            <v>-5.8876771555638214</v>
          </cell>
          <cell r="AH185">
            <v>9.6608898710300345E-2</v>
          </cell>
          <cell r="AI185">
            <v>-5.8876771555638214</v>
          </cell>
          <cell r="AJ185">
            <v>0.10142951886723539</v>
          </cell>
          <cell r="AK185">
            <v>3445.6770000000001</v>
          </cell>
          <cell r="AL185">
            <v>1.8165622347864806E-2</v>
          </cell>
          <cell r="AM185">
            <v>5.4800000000000001E-2</v>
          </cell>
          <cell r="AN185">
            <v>-0.13467125368490507</v>
          </cell>
          <cell r="AO185">
            <v>-0.12599681020733644</v>
          </cell>
          <cell r="AP185">
            <v>157.83000000000001</v>
          </cell>
          <cell r="AQ185">
            <v>7.5502555366269153E-2</v>
          </cell>
          <cell r="AR185">
            <v>1.2800000000000001E-2</v>
          </cell>
          <cell r="AS185">
            <v>1.5100000000000001E-2</v>
          </cell>
          <cell r="AT185">
            <v>3.2099999999999997E-2</v>
          </cell>
          <cell r="AW185">
            <v>115.7</v>
          </cell>
          <cell r="AX185">
            <v>0.76400000000000001</v>
          </cell>
          <cell r="AY185">
            <v>0.86549999999999994</v>
          </cell>
          <cell r="AZ185">
            <v>7.7800000000000008E-2</v>
          </cell>
          <cell r="BA185">
            <v>-5.1219512195121775E-2</v>
          </cell>
          <cell r="BB185">
            <v>-5.2577816079907011E-2</v>
          </cell>
          <cell r="BC185">
            <v>0.13589999999999999</v>
          </cell>
          <cell r="BD185">
            <v>3.3112582781456901E-2</v>
          </cell>
        </row>
        <row r="186">
          <cell r="A186" t="str">
            <v>3Q88</v>
          </cell>
          <cell r="B186">
            <v>8.9800000000000005E-2</v>
          </cell>
          <cell r="C186">
            <v>-4.6709129511677272E-2</v>
          </cell>
          <cell r="D186">
            <v>6382.3</v>
          </cell>
          <cell r="E186">
            <v>4.148104632757299E-2</v>
          </cell>
          <cell r="F186">
            <v>4783.76</v>
          </cell>
          <cell r="G186">
            <v>4.4008109800943274E-2</v>
          </cell>
          <cell r="H186">
            <v>25160.435331729474</v>
          </cell>
          <cell r="I186">
            <v>3.3824508499880723E-2</v>
          </cell>
          <cell r="J186">
            <v>-7.6565378276922669E-3</v>
          </cell>
          <cell r="K186">
            <v>2148.7660000000001</v>
          </cell>
          <cell r="L186">
            <v>0.12185133459505315</v>
          </cell>
          <cell r="M186">
            <v>177.48008999999999</v>
          </cell>
          <cell r="N186">
            <v>933.46579408551577</v>
          </cell>
          <cell r="O186">
            <v>0.12327667242186191</v>
          </cell>
          <cell r="P186">
            <v>0.13434141473419769</v>
          </cell>
          <cell r="Q186">
            <v>9.2860368406624705E-2</v>
          </cell>
          <cell r="R186">
            <v>533.09141</v>
          </cell>
          <cell r="S186">
            <v>4.4722711113034386E-2</v>
          </cell>
          <cell r="T186">
            <v>710.57150000000001</v>
          </cell>
          <cell r="U186">
            <v>0.14853828369316185</v>
          </cell>
          <cell r="V186">
            <v>2.0828657991332822E-2</v>
          </cell>
          <cell r="W186">
            <v>3737.2878811478859</v>
          </cell>
          <cell r="X186">
            <v>6.5753397660164969E-2</v>
          </cell>
          <cell r="Y186">
            <v>5.535768561048271E-2</v>
          </cell>
          <cell r="Z186">
            <v>2.4272351332591979E-2</v>
          </cell>
          <cell r="AA186">
            <v>6.5753397660164969E-2</v>
          </cell>
          <cell r="AB186">
            <v>538.63699999999994</v>
          </cell>
          <cell r="AC186">
            <v>10284.423000000001</v>
          </cell>
          <cell r="AD186">
            <v>5.4091459399228069E-2</v>
          </cell>
          <cell r="AE186">
            <v>190.1302555750006</v>
          </cell>
          <cell r="AF186">
            <v>2.8329894070306134E-3</v>
          </cell>
          <cell r="AG186">
            <v>-5.8664227972757237</v>
          </cell>
          <cell r="AH186">
            <v>0.10067333082051913</v>
          </cell>
          <cell r="AI186">
            <v>-5.8664227972757237</v>
          </cell>
          <cell r="AJ186">
            <v>0.10591531430106582</v>
          </cell>
          <cell r="AK186">
            <v>3697.7280000000001</v>
          </cell>
          <cell r="AL186">
            <v>1.9448393359684717E-2</v>
          </cell>
          <cell r="AM186">
            <v>5.4800000000000001E-2</v>
          </cell>
          <cell r="AN186">
            <v>-9.0654368268130711E-2</v>
          </cell>
          <cell r="AO186">
            <v>-8.6666666666666559E-2</v>
          </cell>
          <cell r="AP186">
            <v>159.63999999999999</v>
          </cell>
          <cell r="AQ186">
            <v>6.355762824783473E-2</v>
          </cell>
          <cell r="AR186">
            <v>1.0200000000000001E-2</v>
          </cell>
          <cell r="AS186">
            <v>1.5700000000000002E-2</v>
          </cell>
          <cell r="AT186">
            <v>3.2300000000000002E-2</v>
          </cell>
          <cell r="AW186">
            <v>110.7</v>
          </cell>
          <cell r="AX186">
            <v>0.76</v>
          </cell>
          <cell r="AY186">
            <v>0.86499999999999999</v>
          </cell>
          <cell r="AZ186">
            <v>7.6799999999999993E-2</v>
          </cell>
          <cell r="BA186">
            <v>-4.4776119402984982E-2</v>
          </cell>
          <cell r="BB186">
            <v>-4.5809536031294104E-2</v>
          </cell>
          <cell r="BC186">
            <v>0.13500000000000001</v>
          </cell>
          <cell r="BD186">
            <v>2.6666666666666616E-2</v>
          </cell>
        </row>
        <row r="187">
          <cell r="A187" t="str">
            <v>4Q88</v>
          </cell>
          <cell r="B187">
            <v>9.11E-2</v>
          </cell>
          <cell r="C187">
            <v>1.3348164627363657E-2</v>
          </cell>
          <cell r="D187">
            <v>6465.2</v>
          </cell>
          <cell r="E187">
            <v>3.7020402925702633E-2</v>
          </cell>
          <cell r="F187">
            <v>4832.41</v>
          </cell>
          <cell r="G187">
            <v>4.1070539901804537E-2</v>
          </cell>
          <cell r="H187">
            <v>25356.283168342245</v>
          </cell>
          <cell r="I187">
            <v>3.0829385295413569E-2</v>
          </cell>
          <cell r="J187">
            <v>-6.191017630289064E-3</v>
          </cell>
          <cell r="K187">
            <v>2206.0300000000002</v>
          </cell>
          <cell r="L187">
            <v>0.11994180037080437</v>
          </cell>
          <cell r="M187">
            <v>184.59308999999999</v>
          </cell>
          <cell r="N187">
            <v>968.58392830063781</v>
          </cell>
          <cell r="O187">
            <v>0.13629331293935709</v>
          </cell>
          <cell r="P187">
            <v>0.14758223782064084</v>
          </cell>
          <cell r="Q187">
            <v>0.1105618348949382</v>
          </cell>
          <cell r="R187">
            <v>534.20472000000007</v>
          </cell>
          <cell r="S187">
            <v>3.6306790424633251E-2</v>
          </cell>
          <cell r="T187">
            <v>718.79781000000003</v>
          </cell>
          <cell r="U187">
            <v>0.14874520373892117</v>
          </cell>
          <cell r="V187">
            <v>2.0844670323449055E-2</v>
          </cell>
          <cell r="W187">
            <v>3771.6255059368445</v>
          </cell>
          <cell r="X187">
            <v>6.2771312089513032E-2</v>
          </cell>
          <cell r="Y187">
            <v>5.2316683991620261E-2</v>
          </cell>
          <cell r="Z187">
            <v>2.5750909163810398E-2</v>
          </cell>
          <cell r="AA187">
            <v>6.2771312089513032E-2</v>
          </cell>
          <cell r="AB187">
            <v>549.83100000000002</v>
          </cell>
          <cell r="AC187">
            <v>10518.422</v>
          </cell>
          <cell r="AD187">
            <v>5.5191526943310018E-2</v>
          </cell>
          <cell r="AE187">
            <v>190.58037678145774</v>
          </cell>
          <cell r="AF187">
            <v>2.8850346991941465E-3</v>
          </cell>
          <cell r="AG187">
            <v>-5.8482183516440926</v>
          </cell>
          <cell r="AH187">
            <v>9.9520247820743091E-2</v>
          </cell>
          <cell r="AI187">
            <v>-5.8482183516440926</v>
          </cell>
          <cell r="AJ187">
            <v>0.10464083708317218</v>
          </cell>
          <cell r="AK187">
            <v>4426.777</v>
          </cell>
          <cell r="AL187">
            <v>2.322787411148983E-2</v>
          </cell>
          <cell r="AM187">
            <v>5.3399999999999996E-2</v>
          </cell>
          <cell r="AN187">
            <v>-9.2923950616818005E-2</v>
          </cell>
          <cell r="AO187">
            <v>-8.8737201365187923E-2</v>
          </cell>
          <cell r="AP187">
            <v>161.43</v>
          </cell>
          <cell r="AQ187">
            <v>6.3368684539885312E-2</v>
          </cell>
          <cell r="AR187">
            <v>8.1000000000000013E-3</v>
          </cell>
          <cell r="AS187">
            <v>1.49E-2</v>
          </cell>
          <cell r="AT187">
            <v>3.15E-2</v>
          </cell>
          <cell r="AW187">
            <v>119.4</v>
          </cell>
          <cell r="AX187">
            <v>0.76</v>
          </cell>
          <cell r="AY187">
            <v>0.86450000000000005</v>
          </cell>
          <cell r="AZ187">
            <v>7.5800000000000006E-2</v>
          </cell>
          <cell r="BA187">
            <v>-4.2929292929292706E-2</v>
          </cell>
          <cell r="BB187">
            <v>-4.3878006172053965E-2</v>
          </cell>
          <cell r="BC187">
            <v>0.13350000000000001</v>
          </cell>
          <cell r="BD187">
            <v>2.6966292134831482E-2</v>
          </cell>
        </row>
        <row r="188">
          <cell r="A188" t="str">
            <v>1Q89</v>
          </cell>
          <cell r="B188">
            <v>9.3599999999999989E-2</v>
          </cell>
          <cell r="C188">
            <v>0.11827956989247301</v>
          </cell>
          <cell r="D188">
            <v>6543.8</v>
          </cell>
          <cell r="E188">
            <v>4.2687104638378548E-2</v>
          </cell>
          <cell r="F188">
            <v>4883.4399999999996</v>
          </cell>
          <cell r="G188">
            <v>3.7623476267271805E-2</v>
          </cell>
          <cell r="H188">
            <v>25586.314174248215</v>
          </cell>
          <cell r="I188">
            <v>2.8771666358222481E-2</v>
          </cell>
          <cell r="J188">
            <v>-1.3915438280156067E-2</v>
          </cell>
          <cell r="K188">
            <v>2250.614</v>
          </cell>
          <cell r="L188">
            <v>0.11628241481740864</v>
          </cell>
          <cell r="M188">
            <v>190.92409000000001</v>
          </cell>
          <cell r="N188">
            <v>1000.3284058312258</v>
          </cell>
          <cell r="O188">
            <v>0.12994667682355243</v>
          </cell>
          <cell r="P188">
            <v>0.13966902194412789</v>
          </cell>
          <cell r="Q188">
            <v>9.6981917305749343E-2</v>
          </cell>
          <cell r="R188">
            <v>555.31541000000004</v>
          </cell>
          <cell r="S188">
            <v>6.3035082515114693E-2</v>
          </cell>
          <cell r="T188">
            <v>746.23950000000002</v>
          </cell>
          <cell r="U188">
            <v>0.15281021165407993</v>
          </cell>
          <cell r="V188">
            <v>4.2423873037970239E-2</v>
          </cell>
          <cell r="W188">
            <v>3909.8500844146542</v>
          </cell>
          <cell r="X188">
            <v>8.1643482885651819E-2</v>
          </cell>
          <cell r="Y188">
            <v>7.2416144916864544E-2</v>
          </cell>
          <cell r="Z188">
            <v>3.8956378247273271E-2</v>
          </cell>
          <cell r="AA188">
            <v>8.1643482885651819E-2</v>
          </cell>
          <cell r="AB188">
            <v>560.58699999999999</v>
          </cell>
          <cell r="AC188">
            <v>10764.194</v>
          </cell>
          <cell r="AD188">
            <v>5.639795912646773E-2</v>
          </cell>
          <cell r="AE188">
            <v>190.86141000000001</v>
          </cell>
          <cell r="AF188">
            <v>2.937141667349099E-3</v>
          </cell>
          <cell r="AG188">
            <v>-5.8303183925359914</v>
          </cell>
          <cell r="AH188">
            <v>8.5925888713011586E-2</v>
          </cell>
          <cell r="AI188">
            <v>-5.8303183925359914</v>
          </cell>
          <cell r="AJ188">
            <v>8.9725564348367204E-2</v>
          </cell>
          <cell r="AK188">
            <v>4328.1779999999999</v>
          </cell>
          <cell r="AL188">
            <v>2.2677072332222631E-2</v>
          </cell>
          <cell r="AM188">
            <v>5.21E-2</v>
          </cell>
          <cell r="AN188">
            <v>-9.3388949626430989E-2</v>
          </cell>
          <cell r="AO188">
            <v>-8.9160839160839167E-2</v>
          </cell>
          <cell r="AP188">
            <v>163.56</v>
          </cell>
          <cell r="AQ188">
            <v>5.8846377937463501E-2</v>
          </cell>
          <cell r="AR188">
            <v>1.01E-2</v>
          </cell>
          <cell r="AS188">
            <v>1.5900000000000001E-2</v>
          </cell>
          <cell r="AT188">
            <v>3.1300000000000001E-2</v>
          </cell>
          <cell r="AW188">
            <v>117.4</v>
          </cell>
          <cell r="AX188">
            <v>0.75599999999999989</v>
          </cell>
          <cell r="AY188">
            <v>0.86399999999999999</v>
          </cell>
          <cell r="AZ188">
            <v>7.51E-2</v>
          </cell>
          <cell r="BA188">
            <v>-4.2091836734693855E-2</v>
          </cell>
          <cell r="BB188">
            <v>-4.3003368586273079E-2</v>
          </cell>
          <cell r="BC188">
            <v>0.13220000000000001</v>
          </cell>
          <cell r="BD188">
            <v>3.0257186081694254E-2</v>
          </cell>
        </row>
        <row r="189">
          <cell r="A189" t="str">
            <v>2Q89</v>
          </cell>
          <cell r="B189">
            <v>8.2799999999999999E-2</v>
          </cell>
          <cell r="C189">
            <v>-7.1748878923766801E-2</v>
          </cell>
          <cell r="D189">
            <v>6579.4</v>
          </cell>
          <cell r="E189">
            <v>3.6158619169107675E-2</v>
          </cell>
          <cell r="F189">
            <v>4870.13</v>
          </cell>
          <cell r="G189">
            <v>2.7176205581615154E-2</v>
          </cell>
          <cell r="H189">
            <v>25449.543410211299</v>
          </cell>
          <cell r="I189">
            <v>1.814275248261743E-2</v>
          </cell>
          <cell r="J189">
            <v>-1.8015866686490245E-2</v>
          </cell>
          <cell r="K189">
            <v>2309.5540000000001</v>
          </cell>
          <cell r="L189">
            <v>0.10711089401368779</v>
          </cell>
          <cell r="M189">
            <v>197.68391</v>
          </cell>
          <cell r="N189">
            <v>1033.0248369233068</v>
          </cell>
          <cell r="O189">
            <v>0.13287328228879614</v>
          </cell>
          <cell r="P189">
            <v>0.14292467993191615</v>
          </cell>
          <cell r="Q189">
            <v>0.10676606076280848</v>
          </cell>
          <cell r="R189">
            <v>561.25497000000007</v>
          </cell>
          <cell r="S189">
            <v>6.1576148485658511E-2</v>
          </cell>
          <cell r="T189">
            <v>758.93888000000004</v>
          </cell>
          <cell r="U189">
            <v>0.15583544587105477</v>
          </cell>
          <cell r="V189">
            <v>5.3012071551390205E-2</v>
          </cell>
          <cell r="W189">
            <v>3965.9409445450424</v>
          </cell>
          <cell r="X189">
            <v>8.1628944087793309E-2</v>
          </cell>
          <cell r="Y189">
            <v>7.2116608926755532E-2</v>
          </cell>
          <cell r="Z189">
            <v>4.5470324918685634E-2</v>
          </cell>
          <cell r="AA189">
            <v>8.1628944087793309E-2</v>
          </cell>
          <cell r="AB189">
            <v>580.45899999999995</v>
          </cell>
          <cell r="AC189">
            <v>11033.210000000001</v>
          </cell>
          <cell r="AD189">
            <v>5.7655577335507975E-2</v>
          </cell>
          <cell r="AE189">
            <v>191.36414046807312</v>
          </cell>
          <cell r="AF189">
            <v>3.0332694442135716E-3</v>
          </cell>
          <cell r="AG189">
            <v>-5.7981142166964306</v>
          </cell>
          <cell r="AH189">
            <v>8.956293886739039E-2</v>
          </cell>
          <cell r="AI189">
            <v>-5.7981142166964306</v>
          </cell>
          <cell r="AJ189">
            <v>9.3696167144195597E-2</v>
          </cell>
          <cell r="AK189">
            <v>3588.703</v>
          </cell>
          <cell r="AL189">
            <v>1.8753267938403193E-2</v>
          </cell>
          <cell r="AM189">
            <v>5.2300000000000006E-2</v>
          </cell>
          <cell r="AN189">
            <v>-4.6693822883092546E-2</v>
          </cell>
          <cell r="AO189">
            <v>-4.5620437956204296E-2</v>
          </cell>
          <cell r="AP189">
            <v>165.92</v>
          </cell>
          <cell r="AQ189">
            <v>5.1257682316416142E-2</v>
          </cell>
          <cell r="AR189">
            <v>8.1000000000000013E-3</v>
          </cell>
          <cell r="AS189">
            <v>1.5800000000000002E-2</v>
          </cell>
          <cell r="AT189">
            <v>3.1800000000000002E-2</v>
          </cell>
          <cell r="AW189">
            <v>117.2</v>
          </cell>
          <cell r="AX189">
            <v>0.752</v>
          </cell>
          <cell r="AY189">
            <v>0.86324999999999996</v>
          </cell>
          <cell r="AZ189">
            <v>7.5800000000000006E-2</v>
          </cell>
          <cell r="BA189">
            <v>-2.5706940874036022E-2</v>
          </cell>
          <cell r="BB189">
            <v>-2.6043138536019979E-2</v>
          </cell>
          <cell r="BC189">
            <v>0.13369999999999999</v>
          </cell>
          <cell r="BD189">
            <v>1.6454749439042793E-2</v>
          </cell>
        </row>
        <row r="190">
          <cell r="A190" t="str">
            <v>3Q89</v>
          </cell>
          <cell r="B190">
            <v>8.1900000000000001E-2</v>
          </cell>
          <cell r="C190">
            <v>-8.7973273942093533E-2</v>
          </cell>
          <cell r="D190">
            <v>6610.6</v>
          </cell>
          <cell r="E190">
            <v>3.5770803628785819E-2</v>
          </cell>
          <cell r="F190">
            <v>4880.63</v>
          </cell>
          <cell r="G190">
            <v>2.0249761693730495E-2</v>
          </cell>
          <cell r="H190">
            <v>25437.410283853955</v>
          </cell>
          <cell r="I190">
            <v>1.1008352934783749E-2</v>
          </cell>
          <cell r="J190">
            <v>-2.4762450694002069E-2</v>
          </cell>
          <cell r="K190">
            <v>2377.8919999999998</v>
          </cell>
          <cell r="L190">
            <v>0.10663143404167785</v>
          </cell>
          <cell r="M190">
            <v>203.17699999999999</v>
          </cell>
          <cell r="N190">
            <v>1058.9404870360167</v>
          </cell>
          <cell r="O190">
            <v>0.13441809410212424</v>
          </cell>
          <cell r="P190">
            <v>0.14478756462203735</v>
          </cell>
          <cell r="Q190">
            <v>0.10901676099325153</v>
          </cell>
          <cell r="R190">
            <v>563.81837999999993</v>
          </cell>
          <cell r="S190">
            <v>5.7639214257832361E-2</v>
          </cell>
          <cell r="T190">
            <v>766.99537999999995</v>
          </cell>
          <cell r="U190">
            <v>0.15715089650311537</v>
          </cell>
          <cell r="V190">
            <v>5.7982444631881735E-2</v>
          </cell>
          <cell r="W190">
            <v>3997.5118308252149</v>
          </cell>
          <cell r="X190">
            <v>7.9406337011827643E-2</v>
          </cell>
          <cell r="Y190">
            <v>6.9629088781194781E-2</v>
          </cell>
          <cell r="Z190">
            <v>4.3635533383041825E-2</v>
          </cell>
          <cell r="AA190">
            <v>7.9406337011827643E-2</v>
          </cell>
          <cell r="AB190">
            <v>594.51099999999997</v>
          </cell>
          <cell r="AC190">
            <v>11317.391000000001</v>
          </cell>
          <cell r="AD190">
            <v>5.8985237194746624E-2</v>
          </cell>
          <cell r="AE190">
            <v>191.86819513218737</v>
          </cell>
          <cell r="AF190">
            <v>3.0985385545030655E-3</v>
          </cell>
          <cell r="AG190">
            <v>-5.7768247126822665</v>
          </cell>
          <cell r="AH190">
            <v>8.9598084593457583E-2</v>
          </cell>
          <cell r="AI190">
            <v>-5.7768247126822665</v>
          </cell>
          <cell r="AJ190">
            <v>9.3734606565573531E-2</v>
          </cell>
          <cell r="AK190">
            <v>4212.3739999999998</v>
          </cell>
          <cell r="AL190">
            <v>2.1954519336036333E-2</v>
          </cell>
          <cell r="AM190">
            <v>5.2699999999999997E-2</v>
          </cell>
          <cell r="AN190">
            <v>-3.9074738406653244E-2</v>
          </cell>
          <cell r="AO190">
            <v>-3.8321167883211715E-2</v>
          </cell>
          <cell r="AP190">
            <v>169.61</v>
          </cell>
          <cell r="AQ190">
            <v>6.2453019293410295E-2</v>
          </cell>
          <cell r="AR190">
            <v>9.1999999999999998E-3</v>
          </cell>
          <cell r="AS190">
            <v>1.5800000000000002E-2</v>
          </cell>
          <cell r="AT190">
            <v>3.0899999999999997E-2</v>
          </cell>
          <cell r="AW190">
            <v>116.3</v>
          </cell>
          <cell r="AX190">
            <v>0.745</v>
          </cell>
          <cell r="AY190">
            <v>0.86249999999999993</v>
          </cell>
          <cell r="AZ190">
            <v>7.5999999999999998E-2</v>
          </cell>
          <cell r="BA190">
            <v>-1.041666666666663E-2</v>
          </cell>
          <cell r="BB190">
            <v>-1.0471299867295366E-2</v>
          </cell>
          <cell r="BC190">
            <v>0.13489999999999999</v>
          </cell>
          <cell r="BD190">
            <v>7.41289844329307E-4</v>
          </cell>
        </row>
        <row r="191">
          <cell r="A191" t="str">
            <v>4Q89</v>
          </cell>
          <cell r="B191">
            <v>7.8399999999999997E-2</v>
          </cell>
          <cell r="C191">
            <v>-0.13940724478594957</v>
          </cell>
          <cell r="D191">
            <v>6633.5</v>
          </cell>
          <cell r="E191">
            <v>2.6031677287632338E-2</v>
          </cell>
          <cell r="F191">
            <v>4905.6400000000003</v>
          </cell>
          <cell r="G191">
            <v>1.5153929405824496E-2</v>
          </cell>
          <cell r="H191">
            <v>25500.591423490725</v>
          </cell>
          <cell r="I191">
            <v>5.6912227312815311E-3</v>
          </cell>
          <cell r="J191">
            <v>-2.0340454556350807E-2</v>
          </cell>
          <cell r="K191">
            <v>2442.9899999999998</v>
          </cell>
          <cell r="L191">
            <v>0.10741467704428298</v>
          </cell>
          <cell r="M191">
            <v>211.22979999999998</v>
          </cell>
          <cell r="N191">
            <v>1098.0187755859909</v>
          </cell>
          <cell r="O191">
            <v>0.13363307350395948</v>
          </cell>
          <cell r="P191">
            <v>0.14429960514773321</v>
          </cell>
          <cell r="Q191">
            <v>0.11826792786010087</v>
          </cell>
          <cell r="R191">
            <v>567.45188999999993</v>
          </cell>
          <cell r="S191">
            <v>6.2236758222577793E-2</v>
          </cell>
          <cell r="T191">
            <v>778.68168999999989</v>
          </cell>
          <cell r="U191">
            <v>0.15873192692492719</v>
          </cell>
          <cell r="V191">
            <v>6.7139799704297065E-2</v>
          </cell>
          <cell r="W191">
            <v>4047.7580143759546</v>
          </cell>
          <cell r="X191">
            <v>8.3311160895161773E-2</v>
          </cell>
          <cell r="Y191">
            <v>7.3213129989829318E-2</v>
          </cell>
          <cell r="Z191">
            <v>5.7279483607529436E-2</v>
          </cell>
          <cell r="AA191">
            <v>8.3311160895161773E-2</v>
          </cell>
          <cell r="AB191">
            <v>616.75300000000004</v>
          </cell>
          <cell r="AC191">
            <v>11623.140000000003</v>
          </cell>
          <cell r="AD191">
            <v>6.0419628060361552E-2</v>
          </cell>
          <cell r="AE191">
            <v>192.37357748028563</v>
          </cell>
          <cell r="AF191">
            <v>3.2060172092147356E-3</v>
          </cell>
          <cell r="AG191">
            <v>-5.7427258569942303</v>
          </cell>
          <cell r="AH191">
            <v>0.10549249464986195</v>
          </cell>
          <cell r="AI191">
            <v>-5.7427258569942303</v>
          </cell>
          <cell r="AJ191">
            <v>0.11125776411293997</v>
          </cell>
          <cell r="AK191">
            <v>4969.3339999999998</v>
          </cell>
          <cell r="AL191">
            <v>2.5831686789259067E-2</v>
          </cell>
          <cell r="AM191">
            <v>5.3600000000000002E-2</v>
          </cell>
          <cell r="AN191">
            <v>3.7383221106071581E-3</v>
          </cell>
          <cell r="AO191">
            <v>3.7453183520599342E-3</v>
          </cell>
          <cell r="AP191">
            <v>171.33</v>
          </cell>
          <cell r="AQ191">
            <v>6.1326890912469789E-2</v>
          </cell>
          <cell r="AR191">
            <v>1.4199999999999999E-2</v>
          </cell>
          <cell r="AS191">
            <v>1.6799999999999999E-2</v>
          </cell>
          <cell r="AT191">
            <v>3.27E-2</v>
          </cell>
          <cell r="AW191">
            <v>113</v>
          </cell>
          <cell r="AX191">
            <v>0.74099999999999999</v>
          </cell>
          <cell r="AY191">
            <v>0.8617499999999999</v>
          </cell>
          <cell r="AZ191">
            <v>7.5700000000000003E-2</v>
          </cell>
          <cell r="BA191">
            <v>-1.3192612137203907E-3</v>
          </cell>
          <cell r="BB191">
            <v>-1.3201322049229552E-3</v>
          </cell>
          <cell r="BC191">
            <v>0.1351</v>
          </cell>
          <cell r="BD191">
            <v>-1.1843079200592133E-2</v>
          </cell>
        </row>
        <row r="192">
          <cell r="A192" t="str">
            <v>1Q90</v>
          </cell>
          <cell r="B192">
            <v>8.5900000000000004E-2</v>
          </cell>
          <cell r="C192">
            <v>-8.2264957264957084E-2</v>
          </cell>
          <cell r="D192">
            <v>6716.3</v>
          </cell>
          <cell r="E192">
            <v>2.6360830098719479E-2</v>
          </cell>
          <cell r="F192">
            <v>4976.28</v>
          </cell>
          <cell r="G192">
            <v>1.901118883410069E-2</v>
          </cell>
          <cell r="H192">
            <v>25849.556359095379</v>
          </cell>
          <cell r="I192">
            <v>1.0288398049614678E-2</v>
          </cell>
          <cell r="J192">
            <v>-1.6072432049104801E-2</v>
          </cell>
          <cell r="K192">
            <v>2487.9969999999998</v>
          </cell>
          <cell r="L192">
            <v>0.10547477266203797</v>
          </cell>
          <cell r="M192">
            <v>217.58941000000002</v>
          </cell>
          <cell r="N192">
            <v>1130.2799916679351</v>
          </cell>
          <cell r="O192">
            <v>0.12990892298887147</v>
          </cell>
          <cell r="P192">
            <v>0.13966451273906832</v>
          </cell>
          <cell r="Q192">
            <v>0.11330368264034885</v>
          </cell>
          <cell r="R192">
            <v>564.28958999999998</v>
          </cell>
          <cell r="S192">
            <v>1.6160509574189463E-2</v>
          </cell>
          <cell r="T192">
            <v>781.87900000000002</v>
          </cell>
          <cell r="U192">
            <v>0.15712118289163796</v>
          </cell>
          <cell r="V192">
            <v>2.8211277184255756E-2</v>
          </cell>
          <cell r="W192">
            <v>4061.5128723651274</v>
          </cell>
          <cell r="X192">
            <v>4.7758795936157172E-2</v>
          </cell>
          <cell r="Y192">
            <v>3.8789924083030058E-2</v>
          </cell>
          <cell r="Z192">
            <v>2.1397965837437694E-2</v>
          </cell>
          <cell r="AA192">
            <v>4.7758795936157172E-2</v>
          </cell>
          <cell r="AB192">
            <v>638.41700000000003</v>
          </cell>
          <cell r="AC192">
            <v>11953.145000000002</v>
          </cell>
          <cell r="AD192">
            <v>6.2091260006659432E-2</v>
          </cell>
          <cell r="AE192">
            <v>192.5093</v>
          </cell>
          <cell r="AF192">
            <v>3.3162917323994222E-3</v>
          </cell>
          <cell r="AG192">
            <v>-5.7089080683775819</v>
          </cell>
          <cell r="AH192">
            <v>0.12141032415840923</v>
          </cell>
          <cell r="AI192">
            <v>-5.7089080683775819</v>
          </cell>
          <cell r="AJ192">
            <v>0.12908810945865024</v>
          </cell>
          <cell r="AK192">
            <v>5454.6610000000001</v>
          </cell>
          <cell r="AL192">
            <v>2.8334532409603069E-2</v>
          </cell>
          <cell r="AM192">
            <v>5.2999999999999999E-2</v>
          </cell>
          <cell r="AN192">
            <v>1.7126964792800636E-2</v>
          </cell>
          <cell r="AO192">
            <v>1.7274472168905985E-2</v>
          </cell>
          <cell r="AP192">
            <v>172.1</v>
          </cell>
          <cell r="AQ192">
            <v>5.2213255074590403E-2</v>
          </cell>
          <cell r="AR192">
            <v>1.3500000000000002E-2</v>
          </cell>
          <cell r="AS192">
            <v>1.7000000000000001E-2</v>
          </cell>
          <cell r="AT192">
            <v>3.2199999999999999E-2</v>
          </cell>
          <cell r="AW192">
            <v>110.6</v>
          </cell>
          <cell r="AX192">
            <v>0.753</v>
          </cell>
          <cell r="AY192">
            <v>0.86099999999999999</v>
          </cell>
          <cell r="AZ192">
            <v>7.3800000000000004E-2</v>
          </cell>
          <cell r="BA192">
            <v>-1.7310252996005304E-2</v>
          </cell>
          <cell r="BB192">
            <v>-1.7461827163662225E-2</v>
          </cell>
          <cell r="BC192">
            <v>0.1333</v>
          </cell>
          <cell r="BD192">
            <v>-8.2520630157538744E-3</v>
          </cell>
        </row>
        <row r="193">
          <cell r="A193" t="str">
            <v>2Q90</v>
          </cell>
          <cell r="B193">
            <v>8.48E-2</v>
          </cell>
          <cell r="C193">
            <v>2.4154589371980784E-2</v>
          </cell>
          <cell r="D193">
            <v>6731.7</v>
          </cell>
          <cell r="E193">
            <v>2.3148007417089778E-2</v>
          </cell>
          <cell r="F193">
            <v>5001.96</v>
          </cell>
          <cell r="G193">
            <v>2.706909261149093E-2</v>
          </cell>
          <cell r="H193">
            <v>25913.200056566729</v>
          </cell>
          <cell r="I193">
            <v>1.8218662664470253E-2</v>
          </cell>
          <cell r="J193">
            <v>-4.9293447526195244E-3</v>
          </cell>
          <cell r="K193">
            <v>2555.6689999999999</v>
          </cell>
          <cell r="L193">
            <v>0.10656386471154167</v>
          </cell>
          <cell r="M193">
            <v>225.66479999999999</v>
          </cell>
          <cell r="N193">
            <v>1169.0811418174314</v>
          </cell>
          <cell r="O193">
            <v>0.1317067122019504</v>
          </cell>
          <cell r="P193">
            <v>0.14154358844885251</v>
          </cell>
          <cell r="Q193">
            <v>0.11839558103176273</v>
          </cell>
          <cell r="R193">
            <v>559.87170000000003</v>
          </cell>
          <cell r="S193">
            <v>-2.4646017833926948E-3</v>
          </cell>
          <cell r="T193">
            <v>785.53650000000005</v>
          </cell>
          <cell r="U193">
            <v>0.15704573807067632</v>
          </cell>
          <cell r="V193">
            <v>7.7664756747510832E-3</v>
          </cell>
          <cell r="W193">
            <v>4069.5576286566134</v>
          </cell>
          <cell r="X193">
            <v>3.5045799735546668E-2</v>
          </cell>
          <cell r="Y193">
            <v>2.6126633139631261E-2</v>
          </cell>
          <cell r="Z193">
            <v>1.189779231845689E-2</v>
          </cell>
          <cell r="AA193">
            <v>3.5045799735546668E-2</v>
          </cell>
          <cell r="AB193">
            <v>660.79600000000005</v>
          </cell>
          <cell r="AC193">
            <v>12309.025000000001</v>
          </cell>
          <cell r="AD193">
            <v>6.3768248311917991E-2</v>
          </cell>
          <cell r="AE193">
            <v>193.02749135888527</v>
          </cell>
          <cell r="AF193">
            <v>3.4233258451845019E-3</v>
          </cell>
          <cell r="AG193">
            <v>-5.6771427310974198</v>
          </cell>
          <cell r="AH193">
            <v>0.12097148559901096</v>
          </cell>
          <cell r="AI193">
            <v>-5.6771427310974198</v>
          </cell>
          <cell r="AJ193">
            <v>0.12859273076284827</v>
          </cell>
          <cell r="AK193">
            <v>4038.1410000000001</v>
          </cell>
          <cell r="AL193">
            <v>2.0920030465982221E-2</v>
          </cell>
          <cell r="AM193">
            <v>5.3399999999999996E-2</v>
          </cell>
          <cell r="AN193">
            <v>2.0814374895271756E-2</v>
          </cell>
          <cell r="AO193">
            <v>2.1032504780114536E-2</v>
          </cell>
          <cell r="AP193">
            <v>172.18</v>
          </cell>
          <cell r="AQ193">
            <v>3.7729026036644298E-2</v>
          </cell>
          <cell r="AR193">
            <v>1.3000000000000001E-2</v>
          </cell>
          <cell r="AS193">
            <v>1.7600000000000001E-2</v>
          </cell>
          <cell r="AT193">
            <v>3.2799999999999996E-2</v>
          </cell>
          <cell r="AW193">
            <v>102.4</v>
          </cell>
          <cell r="AX193">
            <v>0.75</v>
          </cell>
          <cell r="AY193">
            <v>0.86050000000000004</v>
          </cell>
          <cell r="AZ193">
            <v>7.2400000000000006E-2</v>
          </cell>
          <cell r="BA193">
            <v>-4.4854881266490731E-2</v>
          </cell>
          <cell r="BB193">
            <v>-4.5891993256655259E-2</v>
          </cell>
          <cell r="BC193">
            <v>0.13269999999999998</v>
          </cell>
          <cell r="BD193">
            <v>7.5357950263752471E-3</v>
          </cell>
        </row>
        <row r="194">
          <cell r="A194" t="str">
            <v>3Q90</v>
          </cell>
          <cell r="B194">
            <v>8.8900000000000007E-2</v>
          </cell>
          <cell r="C194">
            <v>8.5470085470085611E-2</v>
          </cell>
          <cell r="D194">
            <v>6719.4</v>
          </cell>
          <cell r="E194">
            <v>1.6458415272441185E-2</v>
          </cell>
          <cell r="F194">
            <v>5010.22</v>
          </cell>
          <cell r="G194">
            <v>2.655190006208219E-2</v>
          </cell>
          <cell r="H194">
            <v>25886.311810382405</v>
          </cell>
          <cell r="I194">
            <v>1.7647296698806825E-2</v>
          </cell>
          <cell r="J194">
            <v>1.18888142636564E-3</v>
          </cell>
          <cell r="K194">
            <v>2606.2339999999999</v>
          </cell>
          <cell r="L194">
            <v>9.6027069353864736E-2</v>
          </cell>
          <cell r="M194">
            <v>234.72499999999999</v>
          </cell>
          <cell r="N194">
            <v>1212.7540386833332</v>
          </cell>
          <cell r="O194">
            <v>0.14525230976656855</v>
          </cell>
          <cell r="P194">
            <v>0.15527348075815661</v>
          </cell>
          <cell r="Q194">
            <v>0.13881506548571543</v>
          </cell>
          <cell r="R194">
            <v>557.93387999999993</v>
          </cell>
          <cell r="S194">
            <v>-1.0436871532992553E-2</v>
          </cell>
          <cell r="T194">
            <v>792.65887999999995</v>
          </cell>
          <cell r="U194">
            <v>0.15820839803441764</v>
          </cell>
          <cell r="V194">
            <v>6.7292109356900109E-3</v>
          </cell>
          <cell r="W194">
            <v>4095.4319225400254</v>
          </cell>
          <cell r="X194">
            <v>3.3459784334033404E-2</v>
          </cell>
          <cell r="Y194">
            <v>2.4495260016427878E-2</v>
          </cell>
          <cell r="Z194">
            <v>1.700136906159222E-2</v>
          </cell>
          <cell r="AA194">
            <v>3.3459784334033404E-2</v>
          </cell>
          <cell r="AB194">
            <v>685.42899999999997</v>
          </cell>
          <cell r="AC194">
            <v>12696.619000000001</v>
          </cell>
          <cell r="AD194">
            <v>6.5599642006064732E-2</v>
          </cell>
          <cell r="AE194">
            <v>193.54707757134085</v>
          </cell>
          <cell r="AF194">
            <v>3.5414071274072999E-3</v>
          </cell>
          <cell r="AG194">
            <v>-5.6432311371982324</v>
          </cell>
          <cell r="AH194">
            <v>0.13359357548403417</v>
          </cell>
          <cell r="AI194">
            <v>-5.6432311371982324</v>
          </cell>
          <cell r="AJ194">
            <v>0.14292821119189214</v>
          </cell>
          <cell r="AK194">
            <v>4433.9319999999998</v>
          </cell>
          <cell r="AL194">
            <v>2.2908803664915409E-2</v>
          </cell>
          <cell r="AM194">
            <v>5.6900000000000006E-2</v>
          </cell>
          <cell r="AN194">
            <v>7.6679885584968716E-2</v>
          </cell>
          <cell r="AO194">
            <v>7.9696394686907146E-2</v>
          </cell>
          <cell r="AP194">
            <v>172.66</v>
          </cell>
          <cell r="AQ194">
            <v>1.7982430281233253E-2</v>
          </cell>
          <cell r="AR194">
            <v>1.26E-2</v>
          </cell>
          <cell r="AS194">
            <v>1.84E-2</v>
          </cell>
          <cell r="AT194">
            <v>3.5799999999999998E-2</v>
          </cell>
          <cell r="AW194">
            <v>85.6</v>
          </cell>
          <cell r="AX194">
            <v>0.7390000000000001</v>
          </cell>
          <cell r="AY194">
            <v>0.8600000000000001</v>
          </cell>
          <cell r="AZ194">
            <v>7.1599999999999997E-2</v>
          </cell>
          <cell r="BA194">
            <v>-5.7894736842105332E-2</v>
          </cell>
          <cell r="BB194">
            <v>-5.9638266319731223E-2</v>
          </cell>
          <cell r="BC194">
            <v>0.1323</v>
          </cell>
          <cell r="BD194">
            <v>1.9652305366590905E-2</v>
          </cell>
        </row>
        <row r="195">
          <cell r="A195" t="str">
            <v>4Q90</v>
          </cell>
          <cell r="B195">
            <v>8.0799999999999997E-2</v>
          </cell>
          <cell r="C195">
            <v>3.0612244897959107E-2</v>
          </cell>
          <cell r="D195">
            <v>6664.2</v>
          </cell>
          <cell r="E195">
            <v>4.6280244214969013E-3</v>
          </cell>
          <cell r="F195">
            <v>4976.79</v>
          </cell>
          <cell r="G195">
            <v>1.4503714092350739E-2</v>
          </cell>
          <cell r="H195">
            <v>25644.559638810802</v>
          </cell>
          <cell r="I195">
            <v>5.6456814247631826E-3</v>
          </cell>
          <cell r="J195">
            <v>1.0176570032662813E-3</v>
          </cell>
          <cell r="K195">
            <v>2646.5650000000001</v>
          </cell>
          <cell r="L195">
            <v>8.3330263324860265E-2</v>
          </cell>
          <cell r="M195">
            <v>238.64258999999998</v>
          </cell>
          <cell r="N195">
            <v>1229.6850242054163</v>
          </cell>
          <cell r="O195">
            <v>0.11991256574748266</v>
          </cell>
          <cell r="P195">
            <v>0.12977709584537789</v>
          </cell>
          <cell r="Q195">
            <v>0.12514907142388099</v>
          </cell>
          <cell r="R195">
            <v>550.47559999999999</v>
          </cell>
          <cell r="S195">
            <v>-2.9916703599312977E-2</v>
          </cell>
          <cell r="T195">
            <v>789.11818999999991</v>
          </cell>
          <cell r="U195">
            <v>0.15855967199741197</v>
          </cell>
          <cell r="V195">
            <v>-1.085193954689978E-3</v>
          </cell>
          <cell r="W195">
            <v>4066.1929648479099</v>
          </cell>
          <cell r="X195">
            <v>1.3402780794807168E-2</v>
          </cell>
          <cell r="Y195">
            <v>4.5543608107208033E-3</v>
          </cell>
          <cell r="Z195">
            <v>8.7747563733102663E-3</v>
          </cell>
          <cell r="AA195">
            <v>1.3402780794807168E-2</v>
          </cell>
          <cell r="AB195">
            <v>718.10699999999997</v>
          </cell>
          <cell r="AC195">
            <v>13124.867000000002</v>
          </cell>
          <cell r="AD195">
            <v>6.7630226417622577E-2</v>
          </cell>
          <cell r="AE195">
            <v>194.06806239199611</v>
          </cell>
          <cell r="AF195">
            <v>3.7002842773248435E-3</v>
          </cell>
          <cell r="AG195">
            <v>-5.5993456305739455</v>
          </cell>
          <cell r="AH195">
            <v>0.14338022642028495</v>
          </cell>
          <cell r="AI195">
            <v>-5.5993456305739455</v>
          </cell>
          <cell r="AJ195">
            <v>0.15416856362763287</v>
          </cell>
          <cell r="AK195">
            <v>6197.3360000000002</v>
          </cell>
          <cell r="AL195">
            <v>3.1933827357342619E-2</v>
          </cell>
          <cell r="AM195">
            <v>6.1100000000000002E-2</v>
          </cell>
          <cell r="AN195">
            <v>0.13096279810079337</v>
          </cell>
          <cell r="AO195">
            <v>0.1399253731343284</v>
          </cell>
          <cell r="AP195">
            <v>171.97</v>
          </cell>
          <cell r="AQ195">
            <v>3.7354812350434141E-3</v>
          </cell>
          <cell r="AR195">
            <v>1.3000000000000001E-2</v>
          </cell>
          <cell r="AS195">
            <v>2.0400000000000001E-2</v>
          </cell>
          <cell r="AT195">
            <v>3.8599999999999995E-2</v>
          </cell>
          <cell r="AW195">
            <v>61.2</v>
          </cell>
          <cell r="AX195">
            <v>0.74299999999999999</v>
          </cell>
          <cell r="AY195">
            <v>0.85950000000000015</v>
          </cell>
          <cell r="AZ195">
            <v>7.1099999999999997E-2</v>
          </cell>
          <cell r="BA195">
            <v>-6.0766182298547022E-2</v>
          </cell>
          <cell r="BB195">
            <v>-6.269082363420804E-2</v>
          </cell>
          <cell r="BC195">
            <v>0.13250000000000001</v>
          </cell>
          <cell r="BD195">
            <v>1.9622641509433825E-2</v>
          </cell>
        </row>
        <row r="196">
          <cell r="A196" t="str">
            <v>1Q91</v>
          </cell>
          <cell r="B196">
            <v>8.1099999999999992E-2</v>
          </cell>
          <cell r="C196">
            <v>-5.5878928987194598E-2</v>
          </cell>
          <cell r="D196">
            <v>6631.4</v>
          </cell>
          <cell r="E196">
            <v>-1.264088858448853E-2</v>
          </cell>
          <cell r="F196">
            <v>4985.3999999999996</v>
          </cell>
          <cell r="G196">
            <v>1.8326943017674679E-3</v>
          </cell>
          <cell r="H196">
            <v>25657.903878844707</v>
          </cell>
          <cell r="I196">
            <v>-7.4141496893905812E-3</v>
          </cell>
          <cell r="J196">
            <v>5.2267388950979488E-3</v>
          </cell>
          <cell r="K196">
            <v>2680.4250000000002</v>
          </cell>
          <cell r="L196">
            <v>7.7342536988589838E-2</v>
          </cell>
          <cell r="M196">
            <v>246.8408</v>
          </cell>
          <cell r="N196">
            <v>1270.3930516662917</v>
          </cell>
          <cell r="O196">
            <v>0.12396314278871223</v>
          </cell>
          <cell r="P196">
            <v>0.13443388628150599</v>
          </cell>
          <cell r="Q196">
            <v>0.14707477486599452</v>
          </cell>
          <cell r="R196">
            <v>541.26833000000011</v>
          </cell>
          <cell r="S196">
            <v>-4.0796889412756832E-2</v>
          </cell>
          <cell r="T196">
            <v>788.10913000000005</v>
          </cell>
          <cell r="U196">
            <v>0.15808342961447427</v>
          </cell>
          <cell r="V196">
            <v>6.1242329336328449E-3</v>
          </cell>
          <cell r="W196">
            <v>4056.089441886294</v>
          </cell>
          <cell r="X196">
            <v>7.9681510822007251E-3</v>
          </cell>
          <cell r="Y196">
            <v>-1.3353227354602204E-3</v>
          </cell>
          <cell r="Z196">
            <v>2.0609039666689255E-2</v>
          </cell>
          <cell r="AA196">
            <v>7.9681510822007251E-3</v>
          </cell>
          <cell r="AB196">
            <v>764.52499999999998</v>
          </cell>
          <cell r="AC196">
            <v>13598.337000000001</v>
          </cell>
          <cell r="AD196">
            <v>6.998532187149227E-2</v>
          </cell>
          <cell r="AE196">
            <v>194.30270000000002</v>
          </cell>
          <cell r="AF196">
            <v>3.934711149150269E-3</v>
          </cell>
          <cell r="AG196">
            <v>-5.5379178053597533</v>
          </cell>
          <cell r="AH196">
            <v>0.17099026301782877</v>
          </cell>
          <cell r="AI196">
            <v>-5.5379178053597533</v>
          </cell>
          <cell r="AJ196">
            <v>0.18647919623868692</v>
          </cell>
          <cell r="AK196">
            <v>7235.3289999999997</v>
          </cell>
          <cell r="AL196">
            <v>3.7237408435394873E-2</v>
          </cell>
          <cell r="AM196">
            <v>6.5700000000000008E-2</v>
          </cell>
          <cell r="AN196">
            <v>0.21480701193844323</v>
          </cell>
          <cell r="AO196">
            <v>0.23962264150943424</v>
          </cell>
          <cell r="AP196">
            <v>173.21</v>
          </cell>
          <cell r="AQ196">
            <v>6.4497385241140126E-3</v>
          </cell>
          <cell r="AR196">
            <v>1.37E-2</v>
          </cell>
          <cell r="AS196">
            <v>2.23E-2</v>
          </cell>
          <cell r="AT196">
            <v>4.2800000000000005E-2</v>
          </cell>
          <cell r="AU196">
            <v>2.0999999999999999E-3</v>
          </cell>
          <cell r="AV196">
            <v>5.2900000000000003E-2</v>
          </cell>
          <cell r="AW196">
            <v>81.099999999999994</v>
          </cell>
          <cell r="AX196">
            <v>0.73599999999999999</v>
          </cell>
          <cell r="AY196">
            <v>0.85899999999999999</v>
          </cell>
          <cell r="AZ196">
            <v>6.9599999999999995E-2</v>
          </cell>
          <cell r="BA196">
            <v>-5.6910569105691144E-2</v>
          </cell>
          <cell r="BB196">
            <v>-5.8594164266052941E-2</v>
          </cell>
          <cell r="BC196">
            <v>0.13119999999999998</v>
          </cell>
          <cell r="BD196">
            <v>1.6006097560975707E-2</v>
          </cell>
        </row>
        <row r="197">
          <cell r="A197" t="str">
            <v>2Q91</v>
          </cell>
          <cell r="B197">
            <v>8.2799999999999999E-2</v>
          </cell>
          <cell r="C197">
            <v>-2.3584905660377409E-2</v>
          </cell>
          <cell r="D197">
            <v>6668.5</v>
          </cell>
          <cell r="E197">
            <v>-9.388416001901434E-3</v>
          </cell>
          <cell r="F197">
            <v>5023.8500000000004</v>
          </cell>
          <cell r="G197">
            <v>4.3762844964774228E-3</v>
          </cell>
          <cell r="H197">
            <v>25785.990205780134</v>
          </cell>
          <cell r="I197">
            <v>-4.9090753171706636E-3</v>
          </cell>
          <cell r="J197">
            <v>4.4793406847307704E-3</v>
          </cell>
          <cell r="K197">
            <v>2740.3409999999999</v>
          </cell>
          <cell r="L197">
            <v>7.2259748817237401E-2</v>
          </cell>
          <cell r="M197">
            <v>252.24641</v>
          </cell>
          <cell r="N197">
            <v>1294.7089299448035</v>
          </cell>
          <cell r="O197">
            <v>0.10745857035387085</v>
          </cell>
          <cell r="P197">
            <v>0.1177924514589781</v>
          </cell>
          <cell r="Q197">
            <v>0.12718086746087953</v>
          </cell>
          <cell r="R197">
            <v>533.05209000000002</v>
          </cell>
          <cell r="S197">
            <v>-4.7903135664831842E-2</v>
          </cell>
          <cell r="T197">
            <v>785.29849999999999</v>
          </cell>
          <cell r="U197">
            <v>0.15631408182967244</v>
          </cell>
          <cell r="V197">
            <v>-4.658873586716572E-3</v>
          </cell>
          <cell r="W197">
            <v>4030.7133830854482</v>
          </cell>
          <cell r="X197">
            <v>-3.0297764648756775E-4</v>
          </cell>
          <cell r="Y197">
            <v>-9.5450781425566733E-3</v>
          </cell>
          <cell r="Z197">
            <v>9.0854383554138662E-3</v>
          </cell>
          <cell r="AA197">
            <v>-3.0297764648756775E-4</v>
          </cell>
          <cell r="AB197">
            <v>812.68499999999995</v>
          </cell>
          <cell r="AC197">
            <v>14128.917000000001</v>
          </cell>
          <cell r="AD197">
            <v>7.2519704087558437E-2</v>
          </cell>
          <cell r="AE197">
            <v>194.82866315809986</v>
          </cell>
          <cell r="AF197">
            <v>4.1712804821769011E-3</v>
          </cell>
          <cell r="AG197">
            <v>-5.4795322202413876</v>
          </cell>
          <cell r="AH197">
            <v>0.19761051085603248</v>
          </cell>
          <cell r="AI197">
            <v>-5.4795322202413876</v>
          </cell>
          <cell r="AJ197">
            <v>0.2184877136497323</v>
          </cell>
          <cell r="AK197">
            <v>5053.683</v>
          </cell>
          <cell r="AL197">
            <v>2.5939114492096214E-2</v>
          </cell>
          <cell r="AM197">
            <v>6.8199999999999997E-2</v>
          </cell>
          <cell r="AN197">
            <v>0.24463381888326727</v>
          </cell>
          <cell r="AO197">
            <v>0.27715355805243447</v>
          </cell>
          <cell r="AP197">
            <v>174.14</v>
          </cell>
          <cell r="AQ197">
            <v>1.1383435939133379E-2</v>
          </cell>
          <cell r="AR197">
            <v>1.6899999999999998E-2</v>
          </cell>
          <cell r="AS197">
            <v>2.35E-2</v>
          </cell>
          <cell r="AT197">
            <v>4.7100000000000003E-2</v>
          </cell>
          <cell r="AU197">
            <v>1.9E-3</v>
          </cell>
          <cell r="AV197">
            <v>5.4600000000000003E-2</v>
          </cell>
          <cell r="AW197">
            <v>78</v>
          </cell>
          <cell r="AX197">
            <v>0.746</v>
          </cell>
          <cell r="AY197">
            <v>0.85675000000000001</v>
          </cell>
          <cell r="AZ197">
            <v>6.7699999999999996E-2</v>
          </cell>
          <cell r="BA197">
            <v>-6.4917127071823288E-2</v>
          </cell>
          <cell r="BB197">
            <v>-6.7120119473441459E-2</v>
          </cell>
          <cell r="BC197">
            <v>0.12890000000000001</v>
          </cell>
          <cell r="BD197">
            <v>2.9480217222652927E-2</v>
          </cell>
        </row>
        <row r="198">
          <cell r="A198" t="str">
            <v>3Q91</v>
          </cell>
          <cell r="B198">
            <v>7.6499999999999999E-2</v>
          </cell>
          <cell r="C198">
            <v>-0.13948256467941511</v>
          </cell>
          <cell r="D198">
            <v>6684.9</v>
          </cell>
          <cell r="E198">
            <v>-5.1343869988391688E-3</v>
          </cell>
          <cell r="F198">
            <v>5041.04</v>
          </cell>
          <cell r="G198">
            <v>6.1514264842661426E-3</v>
          </cell>
          <cell r="H198">
            <v>25804.371036650791</v>
          </cell>
          <cell r="I198">
            <v>-3.1654093612033529E-3</v>
          </cell>
          <cell r="J198">
            <v>1.9689776376358159E-3</v>
          </cell>
          <cell r="K198">
            <v>2762.9670000000001</v>
          </cell>
          <cell r="L198">
            <v>6.0137731301180164E-2</v>
          </cell>
          <cell r="M198">
            <v>258.81220000000002</v>
          </cell>
          <cell r="N198">
            <v>1324.8230598471491</v>
          </cell>
          <cell r="O198">
            <v>9.2408697550483865E-2</v>
          </cell>
          <cell r="P198">
            <v>0.10261880924486122</v>
          </cell>
          <cell r="Q198">
            <v>0.10775319624370039</v>
          </cell>
          <cell r="R198">
            <v>521.40998999999988</v>
          </cell>
          <cell r="S198">
            <v>-6.5462756984752457E-2</v>
          </cell>
          <cell r="T198">
            <v>780.22218999999996</v>
          </cell>
          <cell r="U198">
            <v>0.15477405257645246</v>
          </cell>
          <cell r="V198">
            <v>-2.1707731704723066E-2</v>
          </cell>
          <cell r="W198">
            <v>3993.8470795288767</v>
          </cell>
          <cell r="X198">
            <v>-1.5689838736178685E-2</v>
          </cell>
          <cell r="Y198">
            <v>-2.4804427208777735E-2</v>
          </cell>
          <cell r="Z198">
            <v>-1.0555451737339516E-2</v>
          </cell>
          <cell r="AA198">
            <v>-1.5689838736178685E-2</v>
          </cell>
          <cell r="AB198">
            <v>848.81200000000001</v>
          </cell>
          <cell r="AC198">
            <v>14694.111000000001</v>
          </cell>
          <cell r="AD198">
            <v>7.5217076694041679E-2</v>
          </cell>
          <cell r="AE198">
            <v>195.35605005989279</v>
          </cell>
          <cell r="AF198">
            <v>4.3449486194042566E-3</v>
          </cell>
          <cell r="AG198">
            <v>-5.4387413455581166</v>
          </cell>
          <cell r="AH198">
            <v>0.20448979164011571</v>
          </cell>
          <cell r="AI198">
            <v>-5.4387413455581166</v>
          </cell>
          <cell r="AJ198">
            <v>0.22689893115599991</v>
          </cell>
          <cell r="AK198">
            <v>4905.2820000000002</v>
          </cell>
          <cell r="AL198">
            <v>2.5109445028685447E-2</v>
          </cell>
          <cell r="AM198">
            <v>6.8499999999999991E-2</v>
          </cell>
          <cell r="AN198">
            <v>0.18553840413589406</v>
          </cell>
          <cell r="AO198">
            <v>0.20386643233743373</v>
          </cell>
          <cell r="AP198">
            <v>174.2</v>
          </cell>
          <cell r="AQ198">
            <v>8.9192632920189752E-3</v>
          </cell>
          <cell r="AR198">
            <v>1.8500000000000003E-2</v>
          </cell>
          <cell r="AS198">
            <v>2.4E-2</v>
          </cell>
          <cell r="AT198">
            <v>4.8600000000000004E-2</v>
          </cell>
          <cell r="AU198">
            <v>2.0999999999999999E-3</v>
          </cell>
          <cell r="AV198">
            <v>5.3899999999999997E-2</v>
          </cell>
          <cell r="AW198">
            <v>72.900000000000006</v>
          </cell>
          <cell r="AX198">
            <v>0.74400000000000011</v>
          </cell>
          <cell r="AY198">
            <v>0.85450000000000004</v>
          </cell>
          <cell r="AZ198">
            <v>6.6400000000000001E-2</v>
          </cell>
          <cell r="BA198">
            <v>-7.2625698324022325E-2</v>
          </cell>
          <cell r="BB198">
            <v>-7.5398017484211738E-2</v>
          </cell>
          <cell r="BC198">
            <v>0.1275</v>
          </cell>
          <cell r="BD198">
            <v>3.7647058823529367E-2</v>
          </cell>
        </row>
        <row r="199">
          <cell r="A199" t="str">
            <v>4Q91</v>
          </cell>
          <cell r="B199">
            <v>7.0900000000000005E-2</v>
          </cell>
          <cell r="C199">
            <v>-0.12252475247524741</v>
          </cell>
          <cell r="D199">
            <v>6720.9</v>
          </cell>
          <cell r="E199">
            <v>8.5081480147655153E-3</v>
          </cell>
          <cell r="F199">
            <v>5054.54</v>
          </cell>
          <cell r="G199">
            <v>1.5622519736617324E-2</v>
          </cell>
          <cell r="H199">
            <v>25803.627101922371</v>
          </cell>
          <cell r="I199">
            <v>6.202776158060308E-3</v>
          </cell>
          <cell r="J199">
            <v>-2.3053718567052073E-3</v>
          </cell>
          <cell r="K199">
            <v>2814.5360000000001</v>
          </cell>
          <cell r="L199">
            <v>6.3467551335410155E-2</v>
          </cell>
          <cell r="M199">
            <v>263.76859000000002</v>
          </cell>
          <cell r="N199">
            <v>1346.5491098220314</v>
          </cell>
          <cell r="O199">
            <v>9.503578828418191E-2</v>
          </cell>
          <cell r="P199">
            <v>0.1052871576695511</v>
          </cell>
          <cell r="Q199">
            <v>9.6779009654785586E-2</v>
          </cell>
          <cell r="R199">
            <v>513.32222000000002</v>
          </cell>
          <cell r="S199">
            <v>-6.7493236757451114E-2</v>
          </cell>
          <cell r="T199">
            <v>777.09081000000003</v>
          </cell>
          <cell r="U199">
            <v>0.15374115349764766</v>
          </cell>
          <cell r="V199">
            <v>-3.0389306682237271E-2</v>
          </cell>
          <cell r="W199">
            <v>3967.0793950727084</v>
          </cell>
          <cell r="X199">
            <v>-1.5241544489045245E-2</v>
          </cell>
          <cell r="Y199">
            <v>-2.4375028591125614E-2</v>
          </cell>
          <cell r="Z199">
            <v>-2.374969250381076E-2</v>
          </cell>
          <cell r="AA199">
            <v>-1.5241544489045245E-2</v>
          </cell>
          <cell r="AB199">
            <v>872.43799999999999</v>
          </cell>
          <cell r="AC199">
            <v>15282.014999999999</v>
          </cell>
          <cell r="AD199">
            <v>7.8015292474880829E-2</v>
          </cell>
          <cell r="AE199">
            <v>195.88486455934859</v>
          </cell>
          <cell r="AF199">
            <v>4.4538305803390518E-3</v>
          </cell>
          <cell r="AG199">
            <v>-5.413990748513192</v>
          </cell>
          <cell r="AH199">
            <v>0.18535488206075376</v>
          </cell>
          <cell r="AI199">
            <v>-5.413990748513192</v>
          </cell>
          <cell r="AJ199">
            <v>0.20364551654366192</v>
          </cell>
          <cell r="AK199">
            <v>6080.5640000000003</v>
          </cell>
          <cell r="AL199">
            <v>3.1041520301624579E-2</v>
          </cell>
          <cell r="AM199">
            <v>7.0999999999999994E-2</v>
          </cell>
          <cell r="AN199">
            <v>0.15016801086376566</v>
          </cell>
          <cell r="AO199">
            <v>0.16202945990180018</v>
          </cell>
          <cell r="AP199">
            <v>176.49</v>
          </cell>
          <cell r="AQ199">
            <v>2.6283654125719647E-2</v>
          </cell>
          <cell r="AR199">
            <v>1.9799999999999998E-2</v>
          </cell>
          <cell r="AS199">
            <v>2.35E-2</v>
          </cell>
          <cell r="AT199">
            <v>4.6500000000000007E-2</v>
          </cell>
          <cell r="AU199">
            <v>2.0999999999999999E-3</v>
          </cell>
          <cell r="AV199">
            <v>5.3200000000000004E-2</v>
          </cell>
          <cell r="AW199">
            <v>52.5</v>
          </cell>
          <cell r="AX199">
            <v>0.754</v>
          </cell>
          <cell r="AY199">
            <v>0.85225000000000006</v>
          </cell>
          <cell r="AZ199">
            <v>6.5099999999999991E-2</v>
          </cell>
          <cell r="BA199">
            <v>-8.4388185654008518E-2</v>
          </cell>
          <cell r="BB199">
            <v>-8.8162787594671721E-2</v>
          </cell>
          <cell r="BC199">
            <v>0.12570000000000001</v>
          </cell>
          <cell r="BD199">
            <v>5.4097056483691341E-2</v>
          </cell>
        </row>
        <row r="200">
          <cell r="A200" t="str">
            <v>1Q92</v>
          </cell>
          <cell r="B200">
            <v>7.5399999999999995E-2</v>
          </cell>
          <cell r="C200">
            <v>-7.0283600493218246E-2</v>
          </cell>
          <cell r="D200">
            <v>6783.3</v>
          </cell>
          <cell r="E200">
            <v>2.2906173658654438E-2</v>
          </cell>
          <cell r="F200">
            <v>5148</v>
          </cell>
          <cell r="G200">
            <v>3.2615236490552535E-2</v>
          </cell>
          <cell r="H200">
            <v>26253.0770105558</v>
          </cell>
          <cell r="I200">
            <v>2.3196483022209113E-2</v>
          </cell>
          <cell r="J200">
            <v>2.9030936355467496E-4</v>
          </cell>
          <cell r="K200">
            <v>2854.5839999999998</v>
          </cell>
          <cell r="L200">
            <v>6.4974397716779819E-2</v>
          </cell>
          <cell r="M200">
            <v>266.75569000000002</v>
          </cell>
          <cell r="N200">
            <v>1360.364738262228</v>
          </cell>
          <cell r="O200">
            <v>7.0821929069846634E-2</v>
          </cell>
          <cell r="P200">
            <v>8.0679085467232348E-2</v>
          </cell>
          <cell r="Q200">
            <v>5.7772911808577909E-2</v>
          </cell>
          <cell r="R200">
            <v>510.65943999999996</v>
          </cell>
          <cell r="S200">
            <v>-5.6550306573451503E-2</v>
          </cell>
          <cell r="T200">
            <v>777.41512999999998</v>
          </cell>
          <cell r="U200">
            <v>0.15101304001554</v>
          </cell>
          <cell r="V200">
            <v>-4.4725684508345798E-2</v>
          </cell>
          <cell r="W200">
            <v>3964.5569691261162</v>
          </cell>
          <cell r="X200">
            <v>-1.3569186795234889E-2</v>
          </cell>
          <cell r="Y200">
            <v>-2.2566680067491407E-2</v>
          </cell>
          <cell r="Z200">
            <v>-3.6475360453889327E-2</v>
          </cell>
          <cell r="AA200">
            <v>-1.3569186795234889E-2</v>
          </cell>
          <cell r="AB200">
            <v>893.25900000000001</v>
          </cell>
          <cell r="AC200">
            <v>15889.610999999999</v>
          </cell>
          <cell r="AD200">
            <v>8.1031697989660936E-2</v>
          </cell>
          <cell r="AE200">
            <v>196.09129999999999</v>
          </cell>
          <cell r="AF200">
            <v>4.5553219342214573E-3</v>
          </cell>
          <cell r="AG200">
            <v>-5.3914590736609282</v>
          </cell>
          <cell r="AH200">
            <v>0.14645873169882531</v>
          </cell>
          <cell r="AI200">
            <v>-5.3914590736609282</v>
          </cell>
          <cell r="AJ200">
            <v>0.15772715239979274</v>
          </cell>
          <cell r="AK200">
            <v>6763.0230000000001</v>
          </cell>
          <cell r="AL200">
            <v>3.4489153776837631E-2</v>
          </cell>
          <cell r="AM200">
            <v>7.3800000000000004E-2</v>
          </cell>
          <cell r="AN200">
            <v>0.11625980611586183</v>
          </cell>
          <cell r="AO200">
            <v>0.12328767123287654</v>
          </cell>
          <cell r="AP200">
            <v>177.67</v>
          </cell>
          <cell r="AQ200">
            <v>2.57490906991511E-2</v>
          </cell>
          <cell r="AR200">
            <v>1.6500000000000001E-2</v>
          </cell>
          <cell r="AS200">
            <v>2.3900000000000001E-2</v>
          </cell>
          <cell r="AT200">
            <v>4.9200000000000001E-2</v>
          </cell>
          <cell r="AU200">
            <v>2.0999999999999999E-3</v>
          </cell>
          <cell r="AV200">
            <v>5.28E-2</v>
          </cell>
          <cell r="AW200">
            <v>56.5</v>
          </cell>
          <cell r="AX200">
            <v>0.7659999999999999</v>
          </cell>
          <cell r="AY200">
            <v>0.85</v>
          </cell>
          <cell r="AZ200">
            <v>6.3799999999999996E-2</v>
          </cell>
          <cell r="BA200">
            <v>-8.333333333333337E-2</v>
          </cell>
          <cell r="BB200">
            <v>-8.701137698962981E-2</v>
          </cell>
          <cell r="BC200">
            <v>0.1232</v>
          </cell>
          <cell r="BD200">
            <v>6.4935064935064846E-2</v>
          </cell>
        </row>
        <row r="201">
          <cell r="A201" t="str">
            <v>2Q92</v>
          </cell>
          <cell r="B201">
            <v>7.2599999999999998E-2</v>
          </cell>
          <cell r="C201">
            <v>-0.12318840579710144</v>
          </cell>
          <cell r="D201">
            <v>6846.8</v>
          </cell>
          <cell r="E201">
            <v>2.6737647147034638E-2</v>
          </cell>
          <cell r="F201">
            <v>5184.4399999999996</v>
          </cell>
          <cell r="G201">
            <v>3.1965524448380966E-2</v>
          </cell>
          <cell r="H201">
            <v>26368.994291216604</v>
          </cell>
          <cell r="I201">
            <v>2.2609334789314595E-2</v>
          </cell>
          <cell r="J201">
            <v>-4.1283123577200431E-3</v>
          </cell>
          <cell r="K201">
            <v>2886.181</v>
          </cell>
          <cell r="L201">
            <v>5.321965405035356E-2</v>
          </cell>
          <cell r="M201">
            <v>270.70759000000004</v>
          </cell>
          <cell r="N201">
            <v>1376.8674910499506</v>
          </cell>
          <cell r="O201">
            <v>6.3457167248124113E-2</v>
          </cell>
          <cell r="P201">
            <v>7.3187087181934674E-2</v>
          </cell>
          <cell r="Q201">
            <v>4.6449440034900036E-2</v>
          </cell>
          <cell r="R201">
            <v>503.80604</v>
          </cell>
          <cell r="S201">
            <v>-5.486527592453494E-2</v>
          </cell>
          <cell r="T201">
            <v>774.51363000000003</v>
          </cell>
          <cell r="U201">
            <v>0.14939195554389675</v>
          </cell>
          <cell r="V201">
            <v>-4.4283446537583093E-2</v>
          </cell>
          <cell r="W201">
            <v>3939.3156228906983</v>
          </cell>
          <cell r="X201">
            <v>-1.3733465682157719E-2</v>
          </cell>
          <cell r="Y201">
            <v>-2.2675331016661415E-2</v>
          </cell>
          <cell r="Z201">
            <v>-4.0471112829192357E-2</v>
          </cell>
          <cell r="AA201">
            <v>-1.3733465682157719E-2</v>
          </cell>
          <cell r="AB201">
            <v>899.84</v>
          </cell>
          <cell r="AC201">
            <v>16491.565999999999</v>
          </cell>
          <cell r="AD201">
            <v>8.3879070778564671E-2</v>
          </cell>
          <cell r="AE201">
            <v>196.61121477533612</v>
          </cell>
          <cell r="AF201">
            <v>4.5767480813758768E-3</v>
          </cell>
          <cell r="AG201">
            <v>-5.3867665589442773</v>
          </cell>
          <cell r="AH201">
            <v>9.2765661297110433E-2</v>
          </cell>
          <cell r="AI201">
            <v>-5.3867665589442773</v>
          </cell>
          <cell r="AJ201">
            <v>9.7204587639565965E-2</v>
          </cell>
          <cell r="AK201">
            <v>4739.6509999999998</v>
          </cell>
          <cell r="AL201">
            <v>2.4106717439368392E-2</v>
          </cell>
          <cell r="AM201">
            <v>7.5999999999999998E-2</v>
          </cell>
          <cell r="AN201">
            <v>0.10828877543691477</v>
          </cell>
          <cell r="AO201">
            <v>0.11436950146627578</v>
          </cell>
          <cell r="AP201">
            <v>177.46</v>
          </cell>
          <cell r="AQ201">
            <v>1.9065120018376236E-2</v>
          </cell>
          <cell r="AR201">
            <v>1.18E-2</v>
          </cell>
          <cell r="AS201">
            <v>2.29E-2</v>
          </cell>
          <cell r="AT201">
            <v>4.8399999999999999E-2</v>
          </cell>
          <cell r="AU201">
            <v>2.0999999999999999E-3</v>
          </cell>
          <cell r="AV201">
            <v>5.0599999999999999E-2</v>
          </cell>
          <cell r="AW201">
            <v>72.599999999999994</v>
          </cell>
          <cell r="AX201">
            <v>0.77599999999999991</v>
          </cell>
          <cell r="AY201">
            <v>0.84924999999999995</v>
          </cell>
          <cell r="AZ201">
            <v>6.25E-2</v>
          </cell>
          <cell r="BA201">
            <v>-7.6809453471196387E-2</v>
          </cell>
          <cell r="BB201">
            <v>-7.9919623175873422E-2</v>
          </cell>
          <cell r="BC201">
            <v>0.121</v>
          </cell>
          <cell r="BD201">
            <v>6.5289256198347356E-2</v>
          </cell>
        </row>
        <row r="202">
          <cell r="A202" t="str">
            <v>3Q92</v>
          </cell>
          <cell r="B202">
            <v>6.4199999999999993E-2</v>
          </cell>
          <cell r="C202">
            <v>-0.16078431372549029</v>
          </cell>
          <cell r="D202">
            <v>6899.7</v>
          </cell>
          <cell r="E202">
            <v>3.2132118655477271E-2</v>
          </cell>
          <cell r="F202">
            <v>5186.08</v>
          </cell>
          <cell r="G202">
            <v>2.8771840731277587E-2</v>
          </cell>
          <cell r="H202">
            <v>26307.583925893101</v>
          </cell>
          <cell r="I202">
            <v>1.9501071679971504E-2</v>
          </cell>
          <cell r="J202">
            <v>-1.2631046975505766E-2</v>
          </cell>
          <cell r="K202">
            <v>2940.7449999999999</v>
          </cell>
          <cell r="L202">
            <v>6.4343149954378731E-2</v>
          </cell>
          <cell r="M202">
            <v>273.17700000000002</v>
          </cell>
          <cell r="N202">
            <v>1385.753180460714</v>
          </cell>
          <cell r="O202">
            <v>4.5991138334046333E-2</v>
          </cell>
          <cell r="P202">
            <v>5.5502793144990958E-2</v>
          </cell>
          <cell r="Q202">
            <v>2.3370674489513688E-2</v>
          </cell>
          <cell r="R202">
            <v>503.45600000000002</v>
          </cell>
          <cell r="S202">
            <v>-3.4433536649345453E-2</v>
          </cell>
          <cell r="T202">
            <v>776.63300000000004</v>
          </cell>
          <cell r="U202">
            <v>0.14975337827414928</v>
          </cell>
          <cell r="V202">
            <v>-3.2438733875131742E-2</v>
          </cell>
          <cell r="W202">
            <v>3939.6495671331982</v>
          </cell>
          <cell r="X202">
            <v>-4.6002152284336795E-3</v>
          </cell>
          <cell r="Y202">
            <v>-1.3570252269666683E-2</v>
          </cell>
          <cell r="Z202">
            <v>-3.673233388391095E-2</v>
          </cell>
          <cell r="AA202">
            <v>-4.6002152284336795E-3</v>
          </cell>
          <cell r="AB202">
            <v>905.75300000000004</v>
          </cell>
          <cell r="AC202">
            <v>17082.940999999999</v>
          </cell>
          <cell r="AD202">
            <v>8.6657148377691853E-2</v>
          </cell>
          <cell r="AE202">
            <v>197.13250804820689</v>
          </cell>
          <cell r="AF202">
            <v>4.5946404728869307E-3</v>
          </cell>
          <cell r="AG202">
            <v>-5.3828647693505616</v>
          </cell>
          <cell r="AH202">
            <v>5.5876576207554846E-2</v>
          </cell>
          <cell r="AI202">
            <v>-5.3828647693505616</v>
          </cell>
          <cell r="AJ202">
            <v>5.7467159074693352E-2</v>
          </cell>
          <cell r="AK202">
            <v>4900.5569999999998</v>
          </cell>
          <cell r="AL202">
            <v>2.4859202820072757E-2</v>
          </cell>
          <cell r="AM202">
            <v>7.6299999999999993E-2</v>
          </cell>
          <cell r="AN202">
            <v>0.10783919302223172</v>
          </cell>
          <cell r="AO202">
            <v>0.11386861313868613</v>
          </cell>
          <cell r="AP202">
            <v>179.09</v>
          </cell>
          <cell r="AQ202">
            <v>2.8071182548794482E-2</v>
          </cell>
          <cell r="AR202">
            <v>1.3300000000000001E-2</v>
          </cell>
          <cell r="AS202">
            <v>2.1000000000000001E-2</v>
          </cell>
          <cell r="AT202">
            <v>4.36E-2</v>
          </cell>
          <cell r="AU202">
            <v>2.7000000000000001E-3</v>
          </cell>
          <cell r="AV202">
            <v>4.99E-2</v>
          </cell>
          <cell r="AW202">
            <v>57.3</v>
          </cell>
          <cell r="AX202">
            <v>0.76200000000000001</v>
          </cell>
          <cell r="AY202">
            <v>0.84849999999999992</v>
          </cell>
          <cell r="AZ202">
            <v>6.1799999999999994E-2</v>
          </cell>
          <cell r="BA202">
            <v>-6.9277108433735024E-2</v>
          </cell>
          <cell r="BB202">
            <v>-7.1793692018743166E-2</v>
          </cell>
          <cell r="BC202">
            <v>0.11990000000000001</v>
          </cell>
          <cell r="BD202">
            <v>6.3386155129274258E-2</v>
          </cell>
        </row>
        <row r="203">
          <cell r="A203" t="str">
            <v>4Q92</v>
          </cell>
          <cell r="B203">
            <v>6.7699999999999996E-2</v>
          </cell>
          <cell r="C203">
            <v>-4.5133991537376739E-2</v>
          </cell>
          <cell r="D203">
            <v>6990.6</v>
          </cell>
          <cell r="E203">
            <v>4.0128554211489753E-2</v>
          </cell>
          <cell r="F203">
            <v>5280.46</v>
          </cell>
          <cell r="G203">
            <v>4.4696451111278179E-2</v>
          </cell>
          <cell r="H203">
            <v>26715.514904301308</v>
          </cell>
          <cell r="I203">
            <v>3.5339520245624811E-2</v>
          </cell>
          <cell r="J203">
            <v>-4.7890339658649417E-3</v>
          </cell>
          <cell r="K203">
            <v>2984.1019999999999</v>
          </cell>
          <cell r="L203">
            <v>6.0246520207948961E-2</v>
          </cell>
          <cell r="M203">
            <v>278.44968999999998</v>
          </cell>
          <cell r="N203">
            <v>1408.7649264066158</v>
          </cell>
          <cell r="O203">
            <v>4.6203897155156382E-2</v>
          </cell>
          <cell r="P203">
            <v>5.5659015351297025E-2</v>
          </cell>
          <cell r="Q203">
            <v>1.5530461139807272E-2</v>
          </cell>
          <cell r="R203">
            <v>503.71580999999998</v>
          </cell>
          <cell r="S203">
            <v>-1.8714190864365987E-2</v>
          </cell>
          <cell r="T203">
            <v>782.16549999999995</v>
          </cell>
          <cell r="U203">
            <v>0.14812450051700041</v>
          </cell>
          <cell r="V203">
            <v>-3.6533178351190077E-2</v>
          </cell>
          <cell r="W203">
            <v>3957.2223012541112</v>
          </cell>
          <cell r="X203">
            <v>6.5303693399745288E-3</v>
          </cell>
          <cell r="Y203">
            <v>-2.4847231015442395E-3</v>
          </cell>
          <cell r="Z203">
            <v>-3.3598184871515224E-2</v>
          </cell>
          <cell r="AA203">
            <v>6.5303693399745288E-3</v>
          </cell>
          <cell r="AB203">
            <v>900.87400000000002</v>
          </cell>
          <cell r="AC203">
            <v>17642.626</v>
          </cell>
          <cell r="AD203">
            <v>8.9259617126919585E-2</v>
          </cell>
          <cell r="AE203">
            <v>197.6551834735487</v>
          </cell>
          <cell r="AF203">
            <v>4.5578060952828989E-3</v>
          </cell>
          <cell r="AG203">
            <v>-5.3909138906864484</v>
          </cell>
          <cell r="AH203">
            <v>2.3076857826743895E-2</v>
          </cell>
          <cell r="AI203">
            <v>-5.3909138906864484</v>
          </cell>
          <cell r="AJ203">
            <v>2.3345188611986201E-2</v>
          </cell>
          <cell r="AK203">
            <v>4778.652</v>
          </cell>
          <cell r="AL203">
            <v>2.4176709742800676E-2</v>
          </cell>
          <cell r="AM203">
            <v>7.4099999999999999E-2</v>
          </cell>
          <cell r="AN203">
            <v>4.2735655260725938E-2</v>
          </cell>
          <cell r="AO203">
            <v>4.3661971830986079E-2</v>
          </cell>
          <cell r="AP203">
            <v>179.9</v>
          </cell>
          <cell r="AQ203">
            <v>1.9321208000453227E-2</v>
          </cell>
          <cell r="AR203">
            <v>1.03E-2</v>
          </cell>
          <cell r="AS203">
            <v>2.1299999999999999E-2</v>
          </cell>
          <cell r="AT203">
            <v>4.58E-2</v>
          </cell>
          <cell r="AU203">
            <v>2.7000000000000001E-3</v>
          </cell>
          <cell r="AV203">
            <v>4.6799999999999994E-2</v>
          </cell>
          <cell r="AW203">
            <v>78.099999999999994</v>
          </cell>
          <cell r="AX203">
            <v>0.77800000000000002</v>
          </cell>
          <cell r="AY203">
            <v>0.84774999999999989</v>
          </cell>
          <cell r="AZ203">
            <v>6.0299999999999999E-2</v>
          </cell>
          <cell r="BA203">
            <v>-7.3732718894009119E-2</v>
          </cell>
          <cell r="BB203">
            <v>-7.6592445481383692E-2</v>
          </cell>
          <cell r="BC203">
            <v>0.11699999999999999</v>
          </cell>
          <cell r="BD203">
            <v>7.4358974358974539E-2</v>
          </cell>
        </row>
        <row r="204">
          <cell r="A204" t="str">
            <v>1Q93</v>
          </cell>
          <cell r="B204">
            <v>5.9800000000000006E-2</v>
          </cell>
          <cell r="C204">
            <v>-0.20689655172413779</v>
          </cell>
          <cell r="D204">
            <v>6988.7</v>
          </cell>
          <cell r="E204">
            <v>3.0280247077381084E-2</v>
          </cell>
          <cell r="F204">
            <v>5179.8100000000004</v>
          </cell>
          <cell r="G204">
            <v>6.1790986790988267E-3</v>
          </cell>
          <cell r="H204">
            <v>26156.219255531345</v>
          </cell>
          <cell r="I204">
            <v>-3.6893867711396133E-3</v>
          </cell>
          <cell r="J204">
            <v>-3.3969633848520697E-2</v>
          </cell>
          <cell r="K204">
            <v>2995.1489999999999</v>
          </cell>
          <cell r="L204">
            <v>4.9241851001757153E-2</v>
          </cell>
          <cell r="M204">
            <v>284.89040999999997</v>
          </cell>
          <cell r="N204">
            <v>1438.596401751844</v>
          </cell>
          <cell r="O204">
            <v>5.7507858950792468E-2</v>
          </cell>
          <cell r="P204">
            <v>6.7982504890523376E-2</v>
          </cell>
          <cell r="Q204">
            <v>3.7702257813142293E-2</v>
          </cell>
          <cell r="R204">
            <v>503.98559</v>
          </cell>
          <cell r="S204">
            <v>-1.3069081813115946E-2</v>
          </cell>
          <cell r="T204">
            <v>788.87599999999998</v>
          </cell>
          <cell r="U204">
            <v>0.15229825032192298</v>
          </cell>
          <cell r="V204">
            <v>8.5105915770633533E-3</v>
          </cell>
          <cell r="W204">
            <v>3983.5464276540151</v>
          </cell>
          <cell r="X204">
            <v>1.4742278041334211E-2</v>
          </cell>
          <cell r="Y204">
            <v>4.7898059419448913E-3</v>
          </cell>
          <cell r="Z204">
            <v>-1.5537969036046873E-2</v>
          </cell>
          <cell r="AA204">
            <v>1.4742278041334211E-2</v>
          </cell>
          <cell r="AB204">
            <v>871.91899999999998</v>
          </cell>
          <cell r="AC204">
            <v>18143.071000000004</v>
          </cell>
          <cell r="AD204">
            <v>9.1616129364720425E-2</v>
          </cell>
          <cell r="AE204">
            <v>198.03359</v>
          </cell>
          <cell r="AF204">
            <v>4.402884379362107E-3</v>
          </cell>
          <cell r="AG204">
            <v>-5.4254954120667964</v>
          </cell>
          <cell r="AH204">
            <v>-3.4036338405868449E-2</v>
          </cell>
          <cell r="AI204">
            <v>-5.4254954120667964</v>
          </cell>
          <cell r="AJ204">
            <v>-3.346361839196843E-2</v>
          </cell>
          <cell r="AK204">
            <v>5345.9350000000004</v>
          </cell>
          <cell r="AL204">
            <v>2.6995092095234957E-2</v>
          </cell>
          <cell r="AM204">
            <v>7.1500000000000008E-2</v>
          </cell>
          <cell r="AN204">
            <v>-3.1661281906464847E-2</v>
          </cell>
          <cell r="AO204">
            <v>-3.1165311653116534E-2</v>
          </cell>
          <cell r="AP204">
            <v>179.69</v>
          </cell>
          <cell r="AQ204">
            <v>1.1369392694321023E-2</v>
          </cell>
          <cell r="AR204">
            <v>9.0000000000000011E-3</v>
          </cell>
          <cell r="AS204">
            <v>1.8500000000000003E-2</v>
          </cell>
          <cell r="AT204">
            <v>4.0999999999999995E-2</v>
          </cell>
          <cell r="AU204">
            <v>2.0999999999999999E-3</v>
          </cell>
          <cell r="AV204">
            <v>4.5999999999999999E-2</v>
          </cell>
          <cell r="AW204">
            <v>63.2</v>
          </cell>
          <cell r="AX204">
            <v>0.76900000000000002</v>
          </cell>
          <cell r="AY204">
            <v>0.84699999999999998</v>
          </cell>
          <cell r="AZ204">
            <v>6.1500000000000006E-2</v>
          </cell>
          <cell r="BA204">
            <v>-3.6050156739811712E-2</v>
          </cell>
          <cell r="BB204">
            <v>-3.67160155382718E-2</v>
          </cell>
          <cell r="BC204">
            <v>0.11890000000000001</v>
          </cell>
          <cell r="BD204">
            <v>3.61648444070648E-2</v>
          </cell>
        </row>
        <row r="205">
          <cell r="A205" t="str">
            <v>2Q93</v>
          </cell>
          <cell r="B205">
            <v>5.96E-2</v>
          </cell>
          <cell r="C205">
            <v>-0.17906336088154262</v>
          </cell>
          <cell r="D205">
            <v>7031.2</v>
          </cell>
          <cell r="E205">
            <v>2.693228953671789E-2</v>
          </cell>
          <cell r="F205">
            <v>5252.18</v>
          </cell>
          <cell r="G205">
            <v>1.3066020630965181E-2</v>
          </cell>
          <cell r="H205">
            <v>26457.173393142682</v>
          </cell>
          <cell r="I205">
            <v>3.3440449397590388E-3</v>
          </cell>
          <cell r="J205">
            <v>-2.3588244596958852E-2</v>
          </cell>
          <cell r="K205">
            <v>3049.134</v>
          </cell>
          <cell r="L205">
            <v>5.6459730003073361E-2</v>
          </cell>
          <cell r="M205">
            <v>289.96131000000003</v>
          </cell>
          <cell r="N205">
            <v>1460.6423724953822</v>
          </cell>
          <cell r="O205">
            <v>6.0844548941705323E-2</v>
          </cell>
          <cell r="P205">
            <v>7.1123679982522781E-2</v>
          </cell>
          <cell r="Q205">
            <v>4.419139044580489E-2</v>
          </cell>
          <cell r="R205">
            <v>508.42268999999999</v>
          </cell>
          <cell r="S205">
            <v>9.163546352084273E-3</v>
          </cell>
          <cell r="T205">
            <v>798.38400000000001</v>
          </cell>
          <cell r="U205">
            <v>0.15201002250494081</v>
          </cell>
          <cell r="V205">
            <v>1.752481886666768E-2</v>
          </cell>
          <cell r="W205">
            <v>4021.7555229087402</v>
          </cell>
          <cell r="X205">
            <v>3.0819819142498428E-2</v>
          </cell>
          <cell r="Y205">
            <v>2.0927467588278015E-2</v>
          </cell>
          <cell r="Z205">
            <v>3.8875296057805375E-3</v>
          </cell>
          <cell r="AA205">
            <v>3.0819819142498428E-2</v>
          </cell>
          <cell r="AB205">
            <v>852.30600000000004</v>
          </cell>
          <cell r="AC205">
            <v>18593.802000000003</v>
          </cell>
          <cell r="AD205">
            <v>9.3663858350582663E-2</v>
          </cell>
          <cell r="AE205">
            <v>198.51629355694095</v>
          </cell>
          <cell r="AF205">
            <v>4.2933805821612865E-3</v>
          </cell>
          <cell r="AG205">
            <v>-5.4506808418728054</v>
          </cell>
          <cell r="AH205">
            <v>-6.3914282928528146E-2</v>
          </cell>
          <cell r="AI205">
            <v>-5.4506808418728054</v>
          </cell>
          <cell r="AJ205">
            <v>-6.1914593981629684E-2</v>
          </cell>
          <cell r="AK205">
            <v>3950.9349999999999</v>
          </cell>
          <cell r="AL205">
            <v>1.9902321009568631E-2</v>
          </cell>
          <cell r="AM205">
            <v>7.0699999999999999E-2</v>
          </cell>
          <cell r="AN205">
            <v>-7.2287767383803936E-2</v>
          </cell>
          <cell r="AO205">
            <v>-6.9736842105263097E-2</v>
          </cell>
          <cell r="AP205">
            <v>181.13</v>
          </cell>
          <cell r="AQ205">
            <v>2.0680716781246389E-2</v>
          </cell>
          <cell r="AR205">
            <v>7.7000000000000002E-3</v>
          </cell>
          <cell r="AS205">
            <v>1.78E-2</v>
          </cell>
          <cell r="AT205">
            <v>3.8599999999999995E-2</v>
          </cell>
          <cell r="AU205">
            <v>2.5000000000000001E-3</v>
          </cell>
          <cell r="AV205">
            <v>4.4400000000000002E-2</v>
          </cell>
          <cell r="AW205">
            <v>58.6</v>
          </cell>
          <cell r="AX205">
            <v>0.77500000000000002</v>
          </cell>
          <cell r="AY205">
            <v>0.84724999999999995</v>
          </cell>
          <cell r="AZ205">
            <v>6.08E-2</v>
          </cell>
          <cell r="BA205">
            <v>-2.7200000000000002E-2</v>
          </cell>
          <cell r="BB205">
            <v>-2.7576767770234493E-2</v>
          </cell>
          <cell r="BC205">
            <v>0.1167</v>
          </cell>
          <cell r="BD205">
            <v>3.6846615252784876E-2</v>
          </cell>
        </row>
        <row r="206">
          <cell r="A206" t="str">
            <v>3Q93</v>
          </cell>
          <cell r="B206">
            <v>5.3600000000000002E-2</v>
          </cell>
          <cell r="C206">
            <v>-0.16510903426791268</v>
          </cell>
          <cell r="D206">
            <v>7062</v>
          </cell>
          <cell r="E206">
            <v>2.3522761859211316E-2</v>
          </cell>
          <cell r="F206">
            <v>5256.47</v>
          </cell>
          <cell r="G206">
            <v>1.3572871995804148E-2</v>
          </cell>
          <cell r="H206">
            <v>26414.399054935329</v>
          </cell>
          <cell r="I206">
            <v>4.0602409306427223E-3</v>
          </cell>
          <cell r="J206">
            <v>-1.9462520928568594E-2</v>
          </cell>
          <cell r="K206">
            <v>3102.386</v>
          </cell>
          <cell r="L206">
            <v>5.49660035127153E-2</v>
          </cell>
          <cell r="M206">
            <v>299.44799999999998</v>
          </cell>
          <cell r="N206">
            <v>1504.7625056743925</v>
          </cell>
          <cell r="O206">
            <v>8.5880607666447561E-2</v>
          </cell>
          <cell r="P206">
            <v>9.6168418278258949E-2</v>
          </cell>
          <cell r="Q206">
            <v>7.2645656419047633E-2</v>
          </cell>
          <cell r="R206">
            <v>515.26431000000002</v>
          </cell>
          <cell r="S206">
            <v>2.3454502478866157E-2</v>
          </cell>
          <cell r="T206">
            <v>814.71231</v>
          </cell>
          <cell r="U206">
            <v>0.15499228759985312</v>
          </cell>
          <cell r="V206">
            <v>3.4983580244267509E-2</v>
          </cell>
          <cell r="W206">
            <v>4094.0281350998252</v>
          </cell>
          <cell r="X206">
            <v>4.9031279896682101E-2</v>
          </cell>
          <cell r="Y206">
            <v>3.9185862939318472E-2</v>
          </cell>
          <cell r="Z206">
            <v>2.5508518037470784E-2</v>
          </cell>
          <cell r="AA206">
            <v>4.9031279896682101E-2</v>
          </cell>
          <cell r="AB206">
            <v>832.37400000000002</v>
          </cell>
          <cell r="AC206">
            <v>18996.842000000004</v>
          </cell>
          <cell r="AD206">
            <v>9.5461434265116302E-2</v>
          </cell>
          <cell r="AE206">
            <v>199.0001736957127</v>
          </cell>
          <cell r="AF206">
            <v>4.1827802686884435E-3</v>
          </cell>
          <cell r="AG206">
            <v>-5.4767791175005502</v>
          </cell>
          <cell r="AH206">
            <v>-9.3914348149988308E-2</v>
          </cell>
          <cell r="AI206">
            <v>-5.4767791175005502</v>
          </cell>
          <cell r="AJ206">
            <v>-8.9639267017491919E-2</v>
          </cell>
          <cell r="AK206">
            <v>4010.3519999999999</v>
          </cell>
          <cell r="AL206">
            <v>2.0152505023096869E-2</v>
          </cell>
          <cell r="AM206">
            <v>6.8000000000000005E-2</v>
          </cell>
          <cell r="AN206">
            <v>-0.11516523311430447</v>
          </cell>
          <cell r="AO206">
            <v>-0.10878112712975085</v>
          </cell>
          <cell r="AP206">
            <v>182.28</v>
          </cell>
          <cell r="AQ206">
            <v>1.7812273158746894E-2</v>
          </cell>
          <cell r="AR206">
            <v>6.3E-3</v>
          </cell>
          <cell r="AS206">
            <v>1.72E-2</v>
          </cell>
          <cell r="AT206">
            <v>3.6400000000000002E-2</v>
          </cell>
          <cell r="AU206">
            <v>1.9E-3</v>
          </cell>
          <cell r="AV206">
            <v>4.0899999999999999E-2</v>
          </cell>
          <cell r="AW206">
            <v>63.8</v>
          </cell>
          <cell r="AX206">
            <v>0.77800000000000002</v>
          </cell>
          <cell r="AY206">
            <v>0.84749999999999992</v>
          </cell>
          <cell r="AZ206">
            <v>6.1200000000000004E-2</v>
          </cell>
          <cell r="BA206">
            <v>-9.7087378640775546E-3</v>
          </cell>
          <cell r="BB206">
            <v>-9.7561749453645725E-3</v>
          </cell>
          <cell r="BC206">
            <v>0.11710000000000001</v>
          </cell>
          <cell r="BD206">
            <v>2.3911187019641345E-2</v>
          </cell>
        </row>
        <row r="207">
          <cell r="A207" t="str">
            <v>4Q93</v>
          </cell>
          <cell r="B207">
            <v>5.7699999999999994E-2</v>
          </cell>
          <cell r="C207">
            <v>-0.14771048744460857</v>
          </cell>
          <cell r="D207">
            <v>7168.7</v>
          </cell>
          <cell r="E207">
            <v>2.5477069207221037E-2</v>
          </cell>
          <cell r="F207">
            <v>5325.88</v>
          </cell>
          <cell r="G207">
            <v>8.6015233521321566E-3</v>
          </cell>
          <cell r="H207">
            <v>26698.116508764477</v>
          </cell>
          <cell r="I207">
            <v>-6.512468728061549E-4</v>
          </cell>
          <cell r="J207">
            <v>-2.6128316080027192E-2</v>
          </cell>
          <cell r="K207">
            <v>3146.509</v>
          </cell>
          <cell r="L207">
            <v>5.4424077997333953E-2</v>
          </cell>
          <cell r="M207">
            <v>309.90800000000002</v>
          </cell>
          <cell r="N207">
            <v>1553.5385496853442</v>
          </cell>
          <cell r="O207">
            <v>0.10276634558755471</v>
          </cell>
          <cell r="P207">
            <v>0.112976638616477</v>
          </cell>
          <cell r="Q207">
            <v>8.7499569409255962E-2</v>
          </cell>
          <cell r="R207">
            <v>528.84668999999997</v>
          </cell>
          <cell r="S207">
            <v>4.9890989127381102E-2</v>
          </cell>
          <cell r="T207">
            <v>838.75468999999998</v>
          </cell>
          <cell r="U207">
            <v>0.1574865918871623</v>
          </cell>
          <cell r="V207">
            <v>6.3204205499328481E-2</v>
          </cell>
          <cell r="W207">
            <v>4204.5953787717017</v>
          </cell>
          <cell r="X207">
            <v>7.2349381301016313E-2</v>
          </cell>
          <cell r="Y207">
            <v>6.2511797085342824E-2</v>
          </cell>
          <cell r="Z207">
            <v>4.6872312093795276E-2</v>
          </cell>
          <cell r="AA207">
            <v>7.2349381301016313E-2</v>
          </cell>
          <cell r="AB207">
            <v>812.89800000000002</v>
          </cell>
          <cell r="AC207">
            <v>19360.751</v>
          </cell>
          <cell r="AD207">
            <v>9.7053554698036448E-2</v>
          </cell>
          <cell r="AE207">
            <v>199.48523328421376</v>
          </cell>
          <cell r="AF207">
            <v>4.0749783160231971E-3</v>
          </cell>
          <cell r="AG207">
            <v>-5.5028898535247697</v>
          </cell>
          <cell r="AH207">
            <v>-0.11197596283832195</v>
          </cell>
          <cell r="AI207">
            <v>-5.5028898535247697</v>
          </cell>
          <cell r="AJ207">
            <v>-0.10593425195499306</v>
          </cell>
          <cell r="AK207">
            <v>4492.8239999999996</v>
          </cell>
          <cell r="AL207">
            <v>2.2522088106636508E-2</v>
          </cell>
          <cell r="AM207">
            <v>6.6199999999999995E-2</v>
          </cell>
          <cell r="AN207">
            <v>-0.11273506935907869</v>
          </cell>
          <cell r="AO207">
            <v>-0.10661268556005399</v>
          </cell>
          <cell r="AP207">
            <v>183.73</v>
          </cell>
          <cell r="AQ207">
            <v>2.1289605336297868E-2</v>
          </cell>
          <cell r="AR207">
            <v>4.7999999999999996E-3</v>
          </cell>
          <cell r="AS207">
            <v>1.5700000000000002E-2</v>
          </cell>
          <cell r="AT207">
            <v>3.3700000000000001E-2</v>
          </cell>
          <cell r="AU207">
            <v>1.8E-3</v>
          </cell>
          <cell r="AV207">
            <v>3.9E-2</v>
          </cell>
          <cell r="AW207">
            <v>79.8</v>
          </cell>
          <cell r="AX207">
            <v>0.78299999999999992</v>
          </cell>
          <cell r="AY207">
            <v>0.84774999999999989</v>
          </cell>
          <cell r="AZ207">
            <v>6.13E-2</v>
          </cell>
          <cell r="BA207">
            <v>1.6583747927031434E-2</v>
          </cell>
          <cell r="BB207">
            <v>1.6447739209025883E-2</v>
          </cell>
          <cell r="BC207">
            <v>0.11599999999999999</v>
          </cell>
          <cell r="BD207">
            <v>8.6206896551723755E-3</v>
          </cell>
        </row>
        <row r="208">
          <cell r="A208" t="str">
            <v>1Q94</v>
          </cell>
          <cell r="B208">
            <v>6.480000000000001E-2</v>
          </cell>
          <cell r="C208">
            <v>8.3612040133779431E-2</v>
          </cell>
          <cell r="D208">
            <v>7229.4</v>
          </cell>
          <cell r="E208">
            <v>3.4441312404309699E-2</v>
          </cell>
          <cell r="F208">
            <v>5283.51</v>
          </cell>
          <cell r="G208">
            <v>2.002003934507246E-2</v>
          </cell>
          <cell r="H208">
            <v>26430.831492825146</v>
          </cell>
          <cell r="I208">
            <v>1.0498927028061544E-2</v>
          </cell>
          <cell r="J208">
            <v>-2.3942385376248154E-2</v>
          </cell>
          <cell r="K208">
            <v>3180.4</v>
          </cell>
          <cell r="L208">
            <v>6.1850345341750934E-2</v>
          </cell>
          <cell r="M208">
            <v>319.77740999999997</v>
          </cell>
          <cell r="N208">
            <v>1599.6908946745739</v>
          </cell>
          <cell r="O208">
            <v>0.11198032521599366</v>
          </cell>
          <cell r="P208">
            <v>0.12245761449113002</v>
          </cell>
          <cell r="Q208">
            <v>8.8016302086820319E-2</v>
          </cell>
          <cell r="R208">
            <v>543.45921999999996</v>
          </cell>
          <cell r="S208">
            <v>7.8322933796579397E-2</v>
          </cell>
          <cell r="T208">
            <v>863.23662999999999</v>
          </cell>
          <cell r="U208">
            <v>0.16338317330713861</v>
          </cell>
          <cell r="V208">
            <v>7.2784309483429288E-2</v>
          </cell>
          <cell r="W208">
            <v>4318.3531224440285</v>
          </cell>
          <cell r="X208">
            <v>9.4261493568063903E-2</v>
          </cell>
          <cell r="Y208">
            <v>8.4047393665545256E-2</v>
          </cell>
          <cell r="Z208">
            <v>5.9820181163754205E-2</v>
          </cell>
          <cell r="AA208">
            <v>9.4261493568063903E-2</v>
          </cell>
          <cell r="AB208">
            <v>798.91099999999994</v>
          </cell>
          <cell r="AC208">
            <v>19694.376</v>
          </cell>
          <cell r="AD208">
            <v>9.8521386996965971E-2</v>
          </cell>
          <cell r="AE208">
            <v>199.89949999999999</v>
          </cell>
          <cell r="AF208">
            <v>3.9965632730447048E-3</v>
          </cell>
          <cell r="AG208">
            <v>-5.5223204689092507</v>
          </cell>
          <cell r="AH208">
            <v>-9.6825056842454238E-2</v>
          </cell>
          <cell r="AI208">
            <v>-5.5223204689092507</v>
          </cell>
          <cell r="AJ208">
            <v>-9.2285209264629908E-2</v>
          </cell>
          <cell r="AK208">
            <v>5416.8410000000003</v>
          </cell>
          <cell r="AL208">
            <v>2.709782165538183E-2</v>
          </cell>
          <cell r="AM208">
            <v>6.5599999999999992E-2</v>
          </cell>
          <cell r="AN208">
            <v>-8.6121753749918817E-2</v>
          </cell>
          <cell r="AO208">
            <v>-8.2517482517482699E-2</v>
          </cell>
          <cell r="AP208">
            <v>184.81</v>
          </cell>
          <cell r="AQ208">
            <v>2.8493516611942882E-2</v>
          </cell>
          <cell r="AR208">
            <v>4.0999999999999995E-3</v>
          </cell>
          <cell r="AS208">
            <v>1.5100000000000001E-2</v>
          </cell>
          <cell r="AT208">
            <v>3.32E-2</v>
          </cell>
          <cell r="AU208">
            <v>1.7000000000000001E-3</v>
          </cell>
          <cell r="AV208">
            <v>3.5900000000000001E-2</v>
          </cell>
          <cell r="AW208">
            <v>86.7</v>
          </cell>
          <cell r="AX208">
            <v>0.79400000000000004</v>
          </cell>
          <cell r="AY208">
            <v>0.84799999999999998</v>
          </cell>
          <cell r="AZ208">
            <v>6.2800000000000009E-2</v>
          </cell>
          <cell r="BA208">
            <v>2.1138211382113914E-2</v>
          </cell>
          <cell r="BB208">
            <v>2.0917898661680898E-2</v>
          </cell>
          <cell r="BC208">
            <v>0.11779999999999999</v>
          </cell>
          <cell r="BD208">
            <v>9.3378607809848635E-3</v>
          </cell>
        </row>
        <row r="209">
          <cell r="A209" t="str">
            <v>2Q94</v>
          </cell>
          <cell r="B209">
            <v>7.0999999999999994E-2</v>
          </cell>
          <cell r="C209">
            <v>0.19127516778523468</v>
          </cell>
          <cell r="D209">
            <v>7330.2</v>
          </cell>
          <cell r="E209">
            <v>4.2524746842644179E-2</v>
          </cell>
          <cell r="F209">
            <v>5371.7</v>
          </cell>
          <cell r="G209">
            <v>2.2756265017573662E-2</v>
          </cell>
          <cell r="H209">
            <v>26809.13369181117</v>
          </cell>
          <cell r="I209">
            <v>1.3303019692939344E-2</v>
          </cell>
          <cell r="J209">
            <v>-2.9221727149704835E-2</v>
          </cell>
          <cell r="K209">
            <v>3228.1379999999999</v>
          </cell>
          <cell r="L209">
            <v>5.8706504863348163E-2</v>
          </cell>
          <cell r="M209">
            <v>334.85280999999998</v>
          </cell>
          <cell r="N209">
            <v>1671.1867286647885</v>
          </cell>
          <cell r="O209">
            <v>0.14414504202675515</v>
          </cell>
          <cell r="P209">
            <v>0.15481893084287668</v>
          </cell>
          <cell r="Q209">
            <v>0.1122941840002325</v>
          </cell>
          <cell r="R209">
            <v>560.20582000000002</v>
          </cell>
          <cell r="S209">
            <v>0.10185054880221811</v>
          </cell>
          <cell r="T209">
            <v>895.05862999999999</v>
          </cell>
          <cell r="U209">
            <v>0.16662483571308898</v>
          </cell>
          <cell r="V209">
            <v>9.6143747414241254E-2</v>
          </cell>
          <cell r="W209">
            <v>4467.0674970082746</v>
          </cell>
          <cell r="X209">
            <v>0.12108788502775614</v>
          </cell>
          <cell r="Y209">
            <v>0.11072576927238531</v>
          </cell>
          <cell r="Z209">
            <v>7.8563138185111958E-2</v>
          </cell>
          <cell r="AA209">
            <v>0.12108788502775614</v>
          </cell>
          <cell r="AB209">
            <v>788.50900000000001</v>
          </cell>
          <cell r="AC209">
            <v>20009.885000000002</v>
          </cell>
          <cell r="AD209">
            <v>9.9865532721999939E-2</v>
          </cell>
          <cell r="AE209">
            <v>200.3682797717847</v>
          </cell>
          <cell r="AF209">
            <v>3.9352985457483357E-3</v>
          </cell>
          <cell r="AG209">
            <v>-5.5377685306772744</v>
          </cell>
          <cell r="AH209">
            <v>-8.7087688804468932E-2</v>
          </cell>
          <cell r="AI209">
            <v>-5.5377685306772744</v>
          </cell>
          <cell r="AJ209">
            <v>-8.340328316123613E-2</v>
          </cell>
          <cell r="AK209">
            <v>3976.27</v>
          </cell>
          <cell r="AL209">
            <v>1.9844807793573359E-2</v>
          </cell>
          <cell r="AM209">
            <v>6.1699999999999998E-2</v>
          </cell>
          <cell r="AN209">
            <v>-0.13616164199118502</v>
          </cell>
          <cell r="AO209">
            <v>-0.12729844413012736</v>
          </cell>
          <cell r="AP209">
            <v>185.67</v>
          </cell>
          <cell r="AQ209">
            <v>2.5064870534974748E-2</v>
          </cell>
          <cell r="AR209">
            <v>2.8999999999999998E-3</v>
          </cell>
          <cell r="AS209">
            <v>1.44E-2</v>
          </cell>
          <cell r="AT209">
            <v>2.9900000000000003E-2</v>
          </cell>
          <cell r="AU209">
            <v>1.8E-3</v>
          </cell>
          <cell r="AV209">
            <v>3.3000000000000002E-2</v>
          </cell>
          <cell r="AW209">
            <v>92.5</v>
          </cell>
          <cell r="AX209">
            <v>0.80299999999999994</v>
          </cell>
          <cell r="AY209">
            <v>0.84749999999999992</v>
          </cell>
          <cell r="AZ209">
            <v>6.2899999999999998E-2</v>
          </cell>
          <cell r="BA209">
            <v>3.4539473684210398E-2</v>
          </cell>
          <cell r="BB209">
            <v>3.3956374734273397E-2</v>
          </cell>
          <cell r="BC209">
            <v>0.11720000000000001</v>
          </cell>
          <cell r="BD209">
            <v>-4.2662116040956821E-3</v>
          </cell>
        </row>
        <row r="210">
          <cell r="A210" t="str">
            <v>3Q94</v>
          </cell>
          <cell r="B210">
            <v>7.46E-2</v>
          </cell>
          <cell r="C210">
            <v>0.39179104477611926</v>
          </cell>
          <cell r="D210">
            <v>7370.2</v>
          </cell>
          <cell r="E210">
            <v>4.3642027754177359E-2</v>
          </cell>
          <cell r="F210">
            <v>5412.39</v>
          </cell>
          <cell r="G210">
            <v>2.9662492128748053E-2</v>
          </cell>
          <cell r="H210">
            <v>26949.012232021982</v>
          </cell>
          <cell r="I210">
            <v>2.0239460151063371E-2</v>
          </cell>
          <cell r="J210">
            <v>-2.3402567603113988E-2</v>
          </cell>
          <cell r="K210">
            <v>3280.5610000000001</v>
          </cell>
          <cell r="L210">
            <v>5.743160264390057E-2</v>
          </cell>
          <cell r="M210">
            <v>350.08390999999995</v>
          </cell>
          <cell r="N210">
            <v>1743.1145155511858</v>
          </cell>
          <cell r="O210">
            <v>0.15839842432143181</v>
          </cell>
          <cell r="P210">
            <v>0.1690975060778499</v>
          </cell>
          <cell r="Q210">
            <v>0.12545547832367254</v>
          </cell>
          <cell r="R210">
            <v>577.4967200000001</v>
          </cell>
          <cell r="S210">
            <v>0.12077764516622569</v>
          </cell>
          <cell r="T210">
            <v>927.58063000000004</v>
          </cell>
          <cell r="U210">
            <v>0.17138096663396393</v>
          </cell>
          <cell r="V210">
            <v>0.10573867440696016</v>
          </cell>
          <cell r="W210">
            <v>4618.5477661544455</v>
          </cell>
          <cell r="X210">
            <v>0.13853763913300887</v>
          </cell>
          <cell r="Y210">
            <v>0.12811822824510966</v>
          </cell>
          <cell r="Z210">
            <v>9.4895611378831513E-2</v>
          </cell>
          <cell r="AA210">
            <v>0.13853763913300887</v>
          </cell>
          <cell r="AB210">
            <v>783.37199999999996</v>
          </cell>
          <cell r="AC210">
            <v>20310.956999999999</v>
          </cell>
          <cell r="AD210">
            <v>0.10113096592024456</v>
          </cell>
          <cell r="AE210">
            <v>200.83815886835228</v>
          </cell>
          <cell r="AF210">
            <v>3.9005137490505165E-3</v>
          </cell>
          <cell r="AG210">
            <v>-5.5466470039964664</v>
          </cell>
          <cell r="AH210">
            <v>-6.9867886495916839E-2</v>
          </cell>
          <cell r="AI210">
            <v>-5.5466470039964664</v>
          </cell>
          <cell r="AJ210">
            <v>-6.7482990141969568E-2</v>
          </cell>
          <cell r="AK210">
            <v>3941.1</v>
          </cell>
          <cell r="AL210">
            <v>1.9623262940701214E-2</v>
          </cell>
          <cell r="AM210">
            <v>0.06</v>
          </cell>
          <cell r="AN210">
            <v>-0.12516314295400616</v>
          </cell>
          <cell r="AO210">
            <v>-0.11764705882352955</v>
          </cell>
          <cell r="AP210">
            <v>186.27</v>
          </cell>
          <cell r="AQ210">
            <v>2.188940092165903E-2</v>
          </cell>
          <cell r="AR210">
            <v>1.8E-3</v>
          </cell>
          <cell r="AS210">
            <v>1.43E-2</v>
          </cell>
          <cell r="AT210">
            <v>2.9600000000000001E-2</v>
          </cell>
          <cell r="AU210">
            <v>1.2999999999999999E-3</v>
          </cell>
          <cell r="AV210">
            <v>3.2400000000000005E-2</v>
          </cell>
          <cell r="AW210">
            <v>89.5</v>
          </cell>
          <cell r="AX210">
            <v>0.80500000000000005</v>
          </cell>
          <cell r="AY210">
            <v>0.84699999999999998</v>
          </cell>
          <cell r="AZ210">
            <v>6.4100000000000004E-2</v>
          </cell>
          <cell r="BA210">
            <v>4.7385620915032733E-2</v>
          </cell>
          <cell r="BB210">
            <v>4.6297174408344008E-2</v>
          </cell>
          <cell r="BC210">
            <v>0.11849999999999999</v>
          </cell>
          <cell r="BD210">
            <v>-1.1814345991561059E-2</v>
          </cell>
        </row>
        <row r="211">
          <cell r="A211" t="str">
            <v>4Q94</v>
          </cell>
          <cell r="B211">
            <v>7.8100000000000003E-2</v>
          </cell>
          <cell r="C211">
            <v>0.35355285961871763</v>
          </cell>
          <cell r="D211">
            <v>7461.1</v>
          </cell>
          <cell r="E211">
            <v>4.0788427469415689E-2</v>
          </cell>
          <cell r="F211">
            <v>5485.47</v>
          </cell>
          <cell r="G211">
            <v>2.9965001089022003E-2</v>
          </cell>
          <cell r="H211">
            <v>27248.986328216015</v>
          </cell>
          <cell r="I211">
            <v>2.0633283972324445E-2</v>
          </cell>
          <cell r="J211">
            <v>-2.0155143497091244E-2</v>
          </cell>
          <cell r="K211">
            <v>3330.0070000000001</v>
          </cell>
          <cell r="L211">
            <v>5.8317964448854287E-2</v>
          </cell>
          <cell r="M211">
            <v>365.56959000000001</v>
          </cell>
          <cell r="N211">
            <v>1815.9612138835023</v>
          </cell>
          <cell r="O211">
            <v>0.16891931278519579</v>
          </cell>
          <cell r="P211">
            <v>0.1796068187978368</v>
          </cell>
          <cell r="Q211">
            <v>0.13881839132842111</v>
          </cell>
          <cell r="R211">
            <v>594.86140999999998</v>
          </cell>
          <cell r="S211">
            <v>0.12482770762921858</v>
          </cell>
          <cell r="T211">
            <v>960.43100000000004</v>
          </cell>
          <cell r="U211">
            <v>0.1750863645230035</v>
          </cell>
          <cell r="V211">
            <v>0.11175410188856749</v>
          </cell>
          <cell r="W211">
            <v>4770.9259531443677</v>
          </cell>
          <cell r="X211">
            <v>0.14506781476238317</v>
          </cell>
          <cell r="Y211">
            <v>0.13469323998023075</v>
          </cell>
          <cell r="Z211">
            <v>0.10427938729296748</v>
          </cell>
          <cell r="AA211">
            <v>0.14506781476238317</v>
          </cell>
          <cell r="AB211">
            <v>780.45500000000004</v>
          </cell>
          <cell r="AC211">
            <v>20598.562000000002</v>
          </cell>
          <cell r="AD211">
            <v>0.10232303418283392</v>
          </cell>
          <cell r="AE211">
            <v>201.30913986770429</v>
          </cell>
          <cell r="AF211">
            <v>3.8768979913822938E-3</v>
          </cell>
          <cell r="AG211">
            <v>-5.5527199318640736</v>
          </cell>
          <cell r="AH211">
            <v>-4.9830078339303696E-2</v>
          </cell>
          <cell r="AI211">
            <v>-5.5527199318640736</v>
          </cell>
          <cell r="AJ211">
            <v>-4.8608927282393855E-2</v>
          </cell>
          <cell r="AK211">
            <v>4830.4880000000003</v>
          </cell>
          <cell r="AL211">
            <v>2.3995373499556379E-2</v>
          </cell>
          <cell r="AM211">
            <v>5.62E-2</v>
          </cell>
          <cell r="AN211">
            <v>-0.16376370604331708</v>
          </cell>
          <cell r="AO211">
            <v>-0.15105740181268879</v>
          </cell>
          <cell r="AP211">
            <v>185.88</v>
          </cell>
          <cell r="AQ211">
            <v>1.170195395417184E-2</v>
          </cell>
          <cell r="AR211">
            <v>1.4000000000000002E-3</v>
          </cell>
          <cell r="AS211">
            <v>1.44E-2</v>
          </cell>
          <cell r="AT211">
            <v>0.03</v>
          </cell>
          <cell r="AU211">
            <v>1.6000000000000001E-3</v>
          </cell>
          <cell r="AV211">
            <v>3.27E-2</v>
          </cell>
          <cell r="AW211">
            <v>103.4</v>
          </cell>
          <cell r="AX211">
            <v>0.80799999999999994</v>
          </cell>
          <cell r="AY211">
            <v>0.84650000000000003</v>
          </cell>
          <cell r="AZ211">
            <v>6.5199999999999994E-2</v>
          </cell>
          <cell r="BA211">
            <v>6.3621533442087985E-2</v>
          </cell>
          <cell r="BB211">
            <v>6.1679625990441453E-2</v>
          </cell>
          <cell r="BC211">
            <v>0.1201</v>
          </cell>
          <cell r="BD211">
            <v>-3.4138218151540389E-2</v>
          </cell>
        </row>
        <row r="212">
          <cell r="A212" t="str">
            <v>1Q95</v>
          </cell>
          <cell r="B212">
            <v>7.2000000000000008E-2</v>
          </cell>
          <cell r="C212">
            <v>0.11111111111111116</v>
          </cell>
          <cell r="D212">
            <v>7488.7</v>
          </cell>
          <cell r="E212">
            <v>3.5867430215508866E-2</v>
          </cell>
          <cell r="F212">
            <v>5507.85</v>
          </cell>
          <cell r="G212">
            <v>4.2460409841185154E-2</v>
          </cell>
          <cell r="H212">
            <v>27287.292782096512</v>
          </cell>
          <cell r="I212">
            <v>3.240387233008013E-2</v>
          </cell>
          <cell r="J212">
            <v>-3.4635578854287363E-3</v>
          </cell>
          <cell r="K212">
            <v>3361.181</v>
          </cell>
          <cell r="L212">
            <v>5.6842221104263624E-2</v>
          </cell>
          <cell r="M212">
            <v>385.55991</v>
          </cell>
          <cell r="N212">
            <v>1910.1620685401344</v>
          </cell>
          <cell r="O212">
            <v>0.1940819785241823</v>
          </cell>
          <cell r="P212">
            <v>0.20571340545912875</v>
          </cell>
          <cell r="Q212">
            <v>0.16984597524361988</v>
          </cell>
          <cell r="R212">
            <v>609.4342200000001</v>
          </cell>
          <cell r="S212">
            <v>0.1213982532120812</v>
          </cell>
          <cell r="T212">
            <v>994.99413000000004</v>
          </cell>
          <cell r="U212">
            <v>0.18065018655192133</v>
          </cell>
          <cell r="V212">
            <v>0.10568415887187488</v>
          </cell>
          <cell r="W212">
            <v>4929.4545315826317</v>
          </cell>
          <cell r="X212">
            <v>0.15263196141248092</v>
          </cell>
          <cell r="Y212">
            <v>0.14151260719335124</v>
          </cell>
          <cell r="Z212">
            <v>0.11676453119697205</v>
          </cell>
          <cell r="AA212">
            <v>0.15263196141248092</v>
          </cell>
          <cell r="AB212">
            <v>787.29100000000005</v>
          </cell>
          <cell r="AC212">
            <v>20875.812000000005</v>
          </cell>
          <cell r="AD212">
            <v>0.10342409363145399</v>
          </cell>
          <cell r="AE212">
            <v>201.8467</v>
          </cell>
          <cell r="AF212">
            <v>3.9004402846318518E-3</v>
          </cell>
          <cell r="AG212">
            <v>-5.5466658387231806</v>
          </cell>
          <cell r="AH212">
            <v>-2.4345369813930023E-2</v>
          </cell>
          <cell r="AI212">
            <v>-5.5466658387231806</v>
          </cell>
          <cell r="AJ212">
            <v>-2.4051411636884623E-2</v>
          </cell>
          <cell r="AK212">
            <v>4767.4179999999997</v>
          </cell>
          <cell r="AL212">
            <v>2.3619003927237845E-2</v>
          </cell>
          <cell r="AM212">
            <v>5.4800000000000001E-2</v>
          </cell>
          <cell r="AN212">
            <v>-0.17988550199607342</v>
          </cell>
          <cell r="AO212">
            <v>-0.16463414634146334</v>
          </cell>
          <cell r="AP212">
            <v>186.66</v>
          </cell>
          <cell r="AQ212">
            <v>1.0010280828959495E-2</v>
          </cell>
          <cell r="AR212">
            <v>2.7000000000000001E-3</v>
          </cell>
          <cell r="AS212">
            <v>1.4800000000000001E-2</v>
          </cell>
          <cell r="AT212">
            <v>3.0099999999999998E-2</v>
          </cell>
          <cell r="AU212">
            <v>1.2999999999999999E-3</v>
          </cell>
          <cell r="AV212">
            <v>3.4599999999999999E-2</v>
          </cell>
          <cell r="AW212">
            <v>100.2</v>
          </cell>
          <cell r="AX212">
            <v>0.80200000000000005</v>
          </cell>
          <cell r="AY212">
            <v>0.84599999999999997</v>
          </cell>
          <cell r="AZ212">
            <v>6.5599999999999992E-2</v>
          </cell>
          <cell r="BA212">
            <v>4.4585987261146265E-2</v>
          </cell>
          <cell r="BB212">
            <v>4.3620622475890145E-2</v>
          </cell>
          <cell r="BC212">
            <v>0.12140000000000001</v>
          </cell>
          <cell r="BD212">
            <v>-2.9654036243822235E-2</v>
          </cell>
        </row>
        <row r="213">
          <cell r="A213" t="str">
            <v>2Q95</v>
          </cell>
          <cell r="B213">
            <v>6.1699999999999998E-2</v>
          </cell>
          <cell r="C213">
            <v>-0.13098591549295768</v>
          </cell>
          <cell r="D213">
            <v>7503.3</v>
          </cell>
          <cell r="E213">
            <v>2.3614635344192614E-2</v>
          </cell>
          <cell r="F213">
            <v>5502.4</v>
          </cell>
          <cell r="G213">
            <v>2.4331217305508357E-2</v>
          </cell>
          <cell r="H213">
            <v>27197.75486073735</v>
          </cell>
          <cell r="I213">
            <v>1.4495849563571861E-2</v>
          </cell>
          <cell r="J213">
            <v>-9.1187857806207528E-3</v>
          </cell>
          <cell r="K213">
            <v>3413.549</v>
          </cell>
          <cell r="L213">
            <v>5.7435896482740167E-2</v>
          </cell>
          <cell r="M213">
            <v>406.08740999999998</v>
          </cell>
          <cell r="N213">
            <v>2007.2451710547653</v>
          </cell>
          <cell r="O213">
            <v>0.20108970268000759</v>
          </cell>
          <cell r="P213">
            <v>0.21273406664856709</v>
          </cell>
          <cell r="Q213">
            <v>0.18911943130437447</v>
          </cell>
          <cell r="R213">
            <v>623.85308999999995</v>
          </cell>
          <cell r="S213">
            <v>0.1136140820529139</v>
          </cell>
          <cell r="T213">
            <v>1029.9404999999999</v>
          </cell>
          <cell r="U213">
            <v>0.18718023044489676</v>
          </cell>
          <cell r="V213">
            <v>0.12336333082543649</v>
          </cell>
          <cell r="W213">
            <v>5090.8820224166284</v>
          </cell>
          <cell r="X213">
            <v>0.15069612814078992</v>
          </cell>
          <cell r="Y213">
            <v>0.13964743667431501</v>
          </cell>
          <cell r="Z213">
            <v>0.12708149279659731</v>
          </cell>
          <cell r="AA213">
            <v>0.15069612814078992</v>
          </cell>
          <cell r="AB213">
            <v>806.81600000000003</v>
          </cell>
          <cell r="AC213">
            <v>21156.563999999998</v>
          </cell>
          <cell r="AD213">
            <v>0.10457455680566675</v>
          </cell>
          <cell r="AE213">
            <v>202.3108167631608</v>
          </cell>
          <cell r="AF213">
            <v>3.9880022873147476E-3</v>
          </cell>
          <cell r="AG213">
            <v>-5.5244648533333747</v>
          </cell>
          <cell r="AH213">
            <v>1.3303677343899555E-2</v>
          </cell>
          <cell r="AI213">
            <v>-5.5244648533333747</v>
          </cell>
          <cell r="AJ213">
            <v>1.3392564999510137E-2</v>
          </cell>
          <cell r="AK213">
            <v>4148.8270000000002</v>
          </cell>
          <cell r="AL213">
            <v>2.0507193171272236E-2</v>
          </cell>
          <cell r="AM213">
            <v>5.6799999999999996E-2</v>
          </cell>
          <cell r="AN213">
            <v>-8.2747605184236475E-2</v>
          </cell>
          <cell r="AO213">
            <v>-7.9416531604538099E-2</v>
          </cell>
          <cell r="AP213">
            <v>189.78</v>
          </cell>
          <cell r="AQ213">
            <v>2.2136047826789573E-2</v>
          </cell>
          <cell r="AR213">
            <v>1.2999999999999999E-3</v>
          </cell>
          <cell r="AS213">
            <v>1.66E-2</v>
          </cell>
          <cell r="AT213">
            <v>3.27E-2</v>
          </cell>
          <cell r="AU213">
            <v>1.1999999999999999E-3</v>
          </cell>
          <cell r="AV213">
            <v>3.7100000000000001E-2</v>
          </cell>
          <cell r="AW213">
            <v>94.6</v>
          </cell>
          <cell r="AX213">
            <v>0.80200000000000005</v>
          </cell>
          <cell r="AY213">
            <v>0.84549999999999992</v>
          </cell>
          <cell r="AZ213">
            <v>6.7799999999999999E-2</v>
          </cell>
          <cell r="BA213">
            <v>7.7901430842607367E-2</v>
          </cell>
          <cell r="BB213">
            <v>7.5016031239955094E-2</v>
          </cell>
          <cell r="BC213">
            <v>0.1244</v>
          </cell>
          <cell r="BD213">
            <v>-5.7877813504823017E-2</v>
          </cell>
        </row>
        <row r="214">
          <cell r="A214" t="str">
            <v>3Q95</v>
          </cell>
          <cell r="B214">
            <v>6.2E-2</v>
          </cell>
          <cell r="C214">
            <v>-0.16890080428954424</v>
          </cell>
          <cell r="D214">
            <v>7561.4</v>
          </cell>
          <cell r="E214">
            <v>2.5942308214159659E-2</v>
          </cell>
          <cell r="F214">
            <v>5540.99</v>
          </cell>
          <cell r="G214">
            <v>2.3760298130770297E-2</v>
          </cell>
          <cell r="H214">
            <v>27325.669610915695</v>
          </cell>
          <cell r="I214">
            <v>1.3976667332027626E-2</v>
          </cell>
          <cell r="J214">
            <v>-1.1965640882132034E-2</v>
          </cell>
          <cell r="K214">
            <v>3473.0639999999999</v>
          </cell>
          <cell r="L214">
            <v>5.8679902614217516E-2</v>
          </cell>
          <cell r="M214">
            <v>429.03209000000004</v>
          </cell>
          <cell r="N214">
            <v>2115.7932325849079</v>
          </cell>
          <cell r="O214">
            <v>0.21380047822955461</v>
          </cell>
          <cell r="P214">
            <v>0.22551216364099713</v>
          </cell>
          <cell r="Q214">
            <v>0.19956985542683747</v>
          </cell>
          <cell r="R214">
            <v>636.66640999999993</v>
          </cell>
          <cell r="S214">
            <v>0.10245891959351705</v>
          </cell>
          <cell r="T214">
            <v>1065.6985</v>
          </cell>
          <cell r="U214">
            <v>0.19232998074351335</v>
          </cell>
          <cell r="V214">
            <v>0.12223652673340557</v>
          </cell>
          <cell r="W214">
            <v>5255.5455100710233</v>
          </cell>
          <cell r="X214">
            <v>0.14890120118183137</v>
          </cell>
          <cell r="Y214">
            <v>0.13792165333540818</v>
          </cell>
          <cell r="Z214">
            <v>0.12295889296767171</v>
          </cell>
          <cell r="AA214">
            <v>0.14890120118183137</v>
          </cell>
          <cell r="AB214">
            <v>832.41499999999996</v>
          </cell>
          <cell r="AC214">
            <v>21450.342000000004</v>
          </cell>
          <cell r="AD214">
            <v>0.10578343554728463</v>
          </cell>
          <cell r="AE214">
            <v>202.77600069447371</v>
          </cell>
          <cell r="AF214">
            <v>4.1050962497983911E-3</v>
          </cell>
          <cell r="AG214">
            <v>-5.4955260893859004</v>
          </cell>
          <cell r="AH214">
            <v>5.112091461056658E-2</v>
          </cell>
          <cell r="AI214">
            <v>-5.4955260893859004</v>
          </cell>
          <cell r="AJ214">
            <v>5.2450142189006455E-2</v>
          </cell>
          <cell r="AK214">
            <v>4539.04</v>
          </cell>
          <cell r="AL214">
            <v>2.2384503020350294E-2</v>
          </cell>
          <cell r="AM214">
            <v>5.6600000000000004E-2</v>
          </cell>
          <cell r="AN214">
            <v>-5.833557701296329E-2</v>
          </cell>
          <cell r="AO214">
            <v>-5.6666666666666532E-2</v>
          </cell>
          <cell r="AP214">
            <v>192.66</v>
          </cell>
          <cell r="AQ214">
            <v>3.4305041069415232E-2</v>
          </cell>
          <cell r="AR214">
            <v>2.8999999999999998E-3</v>
          </cell>
          <cell r="AS214">
            <v>1.84E-2</v>
          </cell>
          <cell r="AT214">
            <v>3.6299999999999999E-2</v>
          </cell>
          <cell r="AU214">
            <v>1.1999999999999999E-3</v>
          </cell>
          <cell r="AV214">
            <v>3.8300000000000001E-2</v>
          </cell>
          <cell r="AW214">
            <v>97.3</v>
          </cell>
          <cell r="AX214">
            <v>0.79200000000000004</v>
          </cell>
          <cell r="AY214">
            <v>0.84499999999999997</v>
          </cell>
          <cell r="AZ214">
            <v>6.9199999999999998E-2</v>
          </cell>
          <cell r="BA214">
            <v>7.956318252730088E-2</v>
          </cell>
          <cell r="BB214">
            <v>7.6556498696999334E-2</v>
          </cell>
          <cell r="BC214">
            <v>0.12590000000000001</v>
          </cell>
          <cell r="BD214">
            <v>-5.8776806989674468E-2</v>
          </cell>
        </row>
        <row r="215">
          <cell r="A215" t="str">
            <v>4Q95</v>
          </cell>
          <cell r="B215">
            <v>5.7099999999999998E-2</v>
          </cell>
          <cell r="C215">
            <v>-0.26888604353393086</v>
          </cell>
          <cell r="D215">
            <v>7621.9</v>
          </cell>
          <cell r="E215">
            <v>2.1551781908833778E-2</v>
          </cell>
          <cell r="F215">
            <v>5580.79</v>
          </cell>
          <cell r="G215">
            <v>1.7376815477980756E-2</v>
          </cell>
          <cell r="H215">
            <v>27458.807818562665</v>
          </cell>
          <cell r="I215">
            <v>7.7001576432729202E-3</v>
          </cell>
          <cell r="J215">
            <v>-1.3851624265560858E-2</v>
          </cell>
          <cell r="K215">
            <v>3510.319</v>
          </cell>
          <cell r="L215">
            <v>5.4147633923892657E-2</v>
          </cell>
          <cell r="M215">
            <v>443.12690999999995</v>
          </cell>
          <cell r="N215">
            <v>2180.289288957928</v>
          </cell>
          <cell r="O215">
            <v>0.2006254716725453</v>
          </cell>
          <cell r="P215">
            <v>0.21215473639369176</v>
          </cell>
          <cell r="Q215">
            <v>0.19060295448485798</v>
          </cell>
          <cell r="R215">
            <v>652.71034000000009</v>
          </cell>
          <cell r="S215">
            <v>9.7247743806410547E-2</v>
          </cell>
          <cell r="T215">
            <v>1095.83725</v>
          </cell>
          <cell r="U215">
            <v>0.19635880404028822</v>
          </cell>
          <cell r="V215">
            <v>0.12149683714798853</v>
          </cell>
          <cell r="W215">
            <v>5391.7786636250803</v>
          </cell>
          <cell r="X215">
            <v>0.14098488074624838</v>
          </cell>
          <cell r="Y215">
            <v>0.13013253959046001</v>
          </cell>
          <cell r="Z215">
            <v>0.1194330988374146</v>
          </cell>
          <cell r="AA215">
            <v>0.14098488074624838</v>
          </cell>
          <cell r="AB215">
            <v>874.64200000000005</v>
          </cell>
          <cell r="AC215">
            <v>21775.153000000002</v>
          </cell>
          <cell r="AD215">
            <v>0.10713890711651906</v>
          </cell>
          <cell r="AE215">
            <v>203.24225424773473</v>
          </cell>
          <cell r="AF215">
            <v>4.3034456749032465E-3</v>
          </cell>
          <cell r="AG215">
            <v>-5.4483392574229361</v>
          </cell>
          <cell r="AH215">
            <v>0.10438067444113737</v>
          </cell>
          <cell r="AI215">
            <v>-5.4483392574229361</v>
          </cell>
          <cell r="AJ215">
            <v>0.11002293185662815</v>
          </cell>
          <cell r="AK215">
            <v>5110.8609999999999</v>
          </cell>
          <cell r="AL215">
            <v>2.5146645902531184E-2</v>
          </cell>
          <cell r="AM215">
            <v>5.57E-2</v>
          </cell>
          <cell r="AN215">
            <v>-8.9366099664070792E-3</v>
          </cell>
          <cell r="AO215">
            <v>-8.8967971530249379E-3</v>
          </cell>
          <cell r="AP215">
            <v>194.24</v>
          </cell>
          <cell r="AQ215">
            <v>4.4975252851301883E-2</v>
          </cell>
          <cell r="AR215">
            <v>2.3E-3</v>
          </cell>
          <cell r="AS215">
            <v>2.0099999999999996E-2</v>
          </cell>
          <cell r="AT215">
            <v>3.95E-2</v>
          </cell>
          <cell r="AU215">
            <v>1.1000000000000001E-3</v>
          </cell>
          <cell r="AV215">
            <v>3.9199999999999999E-2</v>
          </cell>
          <cell r="AW215">
            <v>99.2</v>
          </cell>
          <cell r="AX215">
            <v>0.79099999999999993</v>
          </cell>
          <cell r="AY215">
            <v>0.84450000000000003</v>
          </cell>
          <cell r="AZ215">
            <v>7.0499999999999993E-2</v>
          </cell>
          <cell r="BA215">
            <v>8.1288343558282294E-2</v>
          </cell>
          <cell r="BB215">
            <v>7.8153240885615774E-2</v>
          </cell>
          <cell r="BC215">
            <v>0.127</v>
          </cell>
          <cell r="BD215">
            <v>-5.4330708661417315E-2</v>
          </cell>
        </row>
        <row r="216">
          <cell r="A216" t="str">
            <v>1Q96</v>
          </cell>
          <cell r="B216">
            <v>6.2699999999999992E-2</v>
          </cell>
          <cell r="C216">
            <v>-0.12916666666666687</v>
          </cell>
          <cell r="D216">
            <v>7676.4</v>
          </cell>
          <cell r="E216">
            <v>2.5064430408482163E-2</v>
          </cell>
          <cell r="F216">
            <v>5617.6</v>
          </cell>
          <cell r="G216">
            <v>1.9926105467650723E-2</v>
          </cell>
          <cell r="H216">
            <v>27541.075551167149</v>
          </cell>
          <cell r="I216">
            <v>9.3004011463220237E-3</v>
          </cell>
          <cell r="J216">
            <v>-1.576402926216014E-2</v>
          </cell>
          <cell r="K216">
            <v>3565.3240000000001</v>
          </cell>
          <cell r="L216">
            <v>6.073549743378881E-2</v>
          </cell>
          <cell r="M216">
            <v>459.70590999999996</v>
          </cell>
          <cell r="N216">
            <v>2253.7729989013183</v>
          </cell>
          <cell r="O216">
            <v>0.17988574687999792</v>
          </cell>
          <cell r="P216">
            <v>0.19230733817735346</v>
          </cell>
          <cell r="Q216">
            <v>0.1672429077688713</v>
          </cell>
          <cell r="R216">
            <v>663.69346999999993</v>
          </cell>
          <cell r="S216">
            <v>8.9032168229739028E-2</v>
          </cell>
          <cell r="T216">
            <v>1123.3993799999998</v>
          </cell>
          <cell r="U216">
            <v>0.1999785281970948</v>
          </cell>
          <cell r="V216">
            <v>0.10699320058337292</v>
          </cell>
          <cell r="W216">
            <v>5507.6237536873987</v>
          </cell>
          <cell r="X216">
            <v>0.12905126385016952</v>
          </cell>
          <cell r="Y216">
            <v>0.11728868141504933</v>
          </cell>
          <cell r="Z216">
            <v>0.10398683344168735</v>
          </cell>
          <cell r="AA216">
            <v>0.12905126385016952</v>
          </cell>
          <cell r="AB216">
            <v>927.91600000000005</v>
          </cell>
          <cell r="AC216">
            <v>22142.482000000004</v>
          </cell>
          <cell r="AD216">
            <v>0.10855663800419373</v>
          </cell>
          <cell r="AE216">
            <v>203.9717</v>
          </cell>
          <cell r="AF216">
            <v>4.5492389385390231E-3</v>
          </cell>
          <cell r="AG216">
            <v>-5.3927953262649977</v>
          </cell>
          <cell r="AH216">
            <v>0.15387051245818281</v>
          </cell>
          <cell r="AI216">
            <v>-5.3927953262649977</v>
          </cell>
          <cell r="AJ216">
            <v>0.16633985051982636</v>
          </cell>
          <cell r="AK216">
            <v>5674.4309999999996</v>
          </cell>
          <cell r="AL216">
            <v>2.7819697536471968E-2</v>
          </cell>
          <cell r="AM216">
            <v>5.5599999999999997E-2</v>
          </cell>
          <cell r="AN216">
            <v>1.4493007302566824E-2</v>
          </cell>
          <cell r="AO216">
            <v>1.4598540145985384E-2</v>
          </cell>
          <cell r="AP216">
            <v>196.59</v>
          </cell>
          <cell r="AQ216">
            <v>5.3198328511732562E-2</v>
          </cell>
          <cell r="AR216">
            <v>3.4000000000000002E-3</v>
          </cell>
          <cell r="AS216">
            <v>2.18E-2</v>
          </cell>
          <cell r="AT216">
            <v>4.2699999999999995E-2</v>
          </cell>
          <cell r="AU216">
            <v>1.1999999999999999E-3</v>
          </cell>
          <cell r="AV216">
            <v>4.0300000000000002E-2</v>
          </cell>
          <cell r="AW216">
            <v>98.4</v>
          </cell>
          <cell r="AX216">
            <v>0.79299999999999993</v>
          </cell>
          <cell r="AY216">
            <v>0.84399999999999997</v>
          </cell>
          <cell r="AZ216">
            <v>7.2099999999999997E-2</v>
          </cell>
          <cell r="BA216">
            <v>9.9085365853658569E-2</v>
          </cell>
          <cell r="BB216">
            <v>9.4478348340860066E-2</v>
          </cell>
          <cell r="BC216">
            <v>0.12839999999999999</v>
          </cell>
          <cell r="BD216">
            <v>-5.4517133956386132E-2</v>
          </cell>
        </row>
        <row r="217">
          <cell r="A217" t="str">
            <v>2Q96</v>
          </cell>
          <cell r="B217">
            <v>6.9099999999999995E-2</v>
          </cell>
          <cell r="C217">
            <v>0.11993517017828204</v>
          </cell>
          <cell r="D217">
            <v>7802.9</v>
          </cell>
          <cell r="E217">
            <v>3.9929097863606655E-2</v>
          </cell>
          <cell r="F217">
            <v>5647.23</v>
          </cell>
          <cell r="G217">
            <v>2.6321241640011594E-2</v>
          </cell>
          <cell r="H217">
            <v>27620.129067006397</v>
          </cell>
          <cell r="I217">
            <v>1.5529745320220778E-2</v>
          </cell>
          <cell r="J217">
            <v>-2.4399352543385877E-2</v>
          </cell>
          <cell r="K217">
            <v>3598.614</v>
          </cell>
          <cell r="L217">
            <v>5.4214836230562335E-2</v>
          </cell>
          <cell r="M217">
            <v>475.32900000000001</v>
          </cell>
          <cell r="N217">
            <v>2324.7943379835929</v>
          </cell>
          <cell r="O217">
            <v>0.15820148505424592</v>
          </cell>
          <cell r="P217">
            <v>0.1705090783287273</v>
          </cell>
          <cell r="Q217">
            <v>0.13057998046512065</v>
          </cell>
          <cell r="R217">
            <v>675.88325000000009</v>
          </cell>
          <cell r="S217">
            <v>8.3401302059752824E-2</v>
          </cell>
          <cell r="T217">
            <v>1151.21225</v>
          </cell>
          <cell r="U217">
            <v>0.20385432326999256</v>
          </cell>
          <cell r="V217">
            <v>8.9080416160746356E-2</v>
          </cell>
          <cell r="W217">
            <v>5630.48271958444</v>
          </cell>
          <cell r="X217">
            <v>0.11774636495991775</v>
          </cell>
          <cell r="Y217">
            <v>0.10599355765696261</v>
          </cell>
          <cell r="Z217">
            <v>7.7817267096311094E-2</v>
          </cell>
          <cell r="AA217">
            <v>0.11774636495991775</v>
          </cell>
          <cell r="AB217">
            <v>989.17200000000003</v>
          </cell>
          <cell r="AC217">
            <v>22551.195000000003</v>
          </cell>
          <cell r="AD217">
            <v>0.11029600645187632</v>
          </cell>
          <cell r="AE217">
            <v>204.46066657761907</v>
          </cell>
          <cell r="AF217">
            <v>4.8379574250506626E-3</v>
          </cell>
          <cell r="AG217">
            <v>-5.3312626669465688</v>
          </cell>
          <cell r="AH217">
            <v>0.19320218638680553</v>
          </cell>
          <cell r="AI217">
            <v>-5.3312626669465688</v>
          </cell>
          <cell r="AJ217">
            <v>0.21312804670135166</v>
          </cell>
          <cell r="AK217">
            <v>4032.1129999999998</v>
          </cell>
          <cell r="AL217">
            <v>1.972072705959459E-2</v>
          </cell>
          <cell r="AM217">
            <v>5.4699999999999999E-2</v>
          </cell>
          <cell r="AN217">
            <v>-3.7672616299170153E-2</v>
          </cell>
          <cell r="AO217">
            <v>-3.6971830985915499E-2</v>
          </cell>
          <cell r="AP217">
            <v>197</v>
          </cell>
          <cell r="AQ217">
            <v>3.8044051006428381E-2</v>
          </cell>
          <cell r="AR217">
            <v>2.8000000000000004E-3</v>
          </cell>
          <cell r="AS217">
            <v>2.2700000000000001E-2</v>
          </cell>
          <cell r="AT217">
            <v>4.4199999999999996E-2</v>
          </cell>
          <cell r="AU217">
            <v>1E-3</v>
          </cell>
          <cell r="AV217">
            <v>4.2500000000000003E-2</v>
          </cell>
          <cell r="AW217">
            <v>100.1</v>
          </cell>
          <cell r="AX217">
            <v>0.79400000000000004</v>
          </cell>
          <cell r="AY217">
            <v>0.84275</v>
          </cell>
          <cell r="AZ217">
            <v>7.3800000000000004E-2</v>
          </cell>
          <cell r="BA217">
            <v>8.8495575221239076E-2</v>
          </cell>
          <cell r="BB217">
            <v>8.4796536660077054E-2</v>
          </cell>
          <cell r="BC217">
            <v>0.13</v>
          </cell>
          <cell r="BD217">
            <v>-4.3076923076923124E-2</v>
          </cell>
        </row>
        <row r="218">
          <cell r="A218" t="str">
            <v>3Q96</v>
          </cell>
          <cell r="B218">
            <v>6.83E-2</v>
          </cell>
          <cell r="C218">
            <v>0.10161290322580641</v>
          </cell>
          <cell r="D218">
            <v>7841.9</v>
          </cell>
          <cell r="E218">
            <v>3.7096304917078937E-2</v>
          </cell>
          <cell r="F218">
            <v>5710.86</v>
          </cell>
          <cell r="G218">
            <v>3.0656976460885055E-2</v>
          </cell>
          <cell r="H218">
            <v>27864.540425203213</v>
          </cell>
          <cell r="I218">
            <v>1.9720315072252026E-2</v>
          </cell>
          <cell r="J218">
            <v>-1.7375989844826911E-2</v>
          </cell>
          <cell r="K218">
            <v>3666.761</v>
          </cell>
          <cell r="L218">
            <v>5.5771215272738983E-2</v>
          </cell>
          <cell r="M218">
            <v>485.65199999999999</v>
          </cell>
          <cell r="N218">
            <v>2369.6027895239581</v>
          </cell>
          <cell r="O218">
            <v>0.11995952772235974</v>
          </cell>
          <cell r="P218">
            <v>0.13197127049400881</v>
          </cell>
          <cell r="Q218">
            <v>9.4874965576929871E-2</v>
          </cell>
          <cell r="R218">
            <v>685.03612999999996</v>
          </cell>
          <cell r="S218">
            <v>7.5973412826978004E-2</v>
          </cell>
          <cell r="T218">
            <v>1170.68813</v>
          </cell>
          <cell r="U218">
            <v>0.20499331624308775</v>
          </cell>
          <cell r="V218">
            <v>6.584171355199131E-2</v>
          </cell>
          <cell r="W218">
            <v>5712.0445473519849</v>
          </cell>
          <cell r="X218">
            <v>9.8517197875384044E-2</v>
          </cell>
          <cell r="Y218">
            <v>8.686044796038539E-2</v>
          </cell>
          <cell r="Z218">
            <v>6.1420892958305107E-2</v>
          </cell>
          <cell r="AA218">
            <v>9.8517197875384044E-2</v>
          </cell>
          <cell r="AB218">
            <v>1058.444</v>
          </cell>
          <cell r="AC218">
            <v>23015.128000000001</v>
          </cell>
          <cell r="AD218">
            <v>0.1122958651669322</v>
          </cell>
          <cell r="AE218">
            <v>204.95080531938655</v>
          </cell>
          <cell r="AF218">
            <v>5.1643807807955E-3</v>
          </cell>
          <cell r="AG218">
            <v>-5.265970071149316</v>
          </cell>
          <cell r="AH218">
            <v>0.22955601823658384</v>
          </cell>
          <cell r="AI218">
            <v>-5.265970071149316</v>
          </cell>
          <cell r="AJ218">
            <v>0.25804133850677258</v>
          </cell>
          <cell r="AK218">
            <v>3879.3409999999999</v>
          </cell>
          <cell r="AL218">
            <v>1.8928156900650386E-2</v>
          </cell>
          <cell r="AM218">
            <v>5.2600000000000001E-2</v>
          </cell>
          <cell r="AN218">
            <v>-7.3292865465473131E-2</v>
          </cell>
          <cell r="AO218">
            <v>-7.067137809187285E-2</v>
          </cell>
          <cell r="AP218">
            <v>197.77</v>
          </cell>
          <cell r="AQ218">
            <v>2.652340911450235E-2</v>
          </cell>
          <cell r="AR218">
            <v>2E-3</v>
          </cell>
          <cell r="AS218">
            <v>2.35E-2</v>
          </cell>
          <cell r="AT218">
            <v>4.4800000000000006E-2</v>
          </cell>
          <cell r="AU218">
            <v>8.9999999999999998E-4</v>
          </cell>
          <cell r="AV218">
            <v>4.4699999999999997E-2</v>
          </cell>
          <cell r="AW218">
            <v>111.8</v>
          </cell>
          <cell r="AX218">
            <v>0.78299999999999992</v>
          </cell>
          <cell r="AY218">
            <v>0.84150000000000003</v>
          </cell>
          <cell r="AZ218">
            <v>7.4200000000000002E-2</v>
          </cell>
          <cell r="BA218">
            <v>7.225433526011571E-2</v>
          </cell>
          <cell r="BB218">
            <v>6.9763287549710978E-2</v>
          </cell>
          <cell r="BC218">
            <v>0.13039999999999999</v>
          </cell>
          <cell r="BD218">
            <v>-3.4509202453987586E-2</v>
          </cell>
        </row>
        <row r="219">
          <cell r="A219" t="str">
            <v>4Q96</v>
          </cell>
          <cell r="B219">
            <v>6.3E-2</v>
          </cell>
          <cell r="C219">
            <v>0.10332749562171628</v>
          </cell>
          <cell r="D219">
            <v>7931.3</v>
          </cell>
          <cell r="E219">
            <v>4.0593552788674714E-2</v>
          </cell>
          <cell r="F219">
            <v>5735.29</v>
          </cell>
          <cell r="G219">
            <v>2.7684252587895308E-2</v>
          </cell>
          <cell r="H219">
            <v>27916.816799460812</v>
          </cell>
          <cell r="I219">
            <v>1.6679856748497368E-2</v>
          </cell>
          <cell r="J219">
            <v>-2.3913696040177346E-2</v>
          </cell>
          <cell r="K219">
            <v>3721.9169999999999</v>
          </cell>
          <cell r="L219">
            <v>6.027885214990425E-2</v>
          </cell>
          <cell r="M219">
            <v>499.44430999999997</v>
          </cell>
          <cell r="N219">
            <v>2431.070670149742</v>
          </cell>
          <cell r="O219">
            <v>0.11502206723754327</v>
          </cell>
          <cell r="P219">
            <v>0.12709090495090902</v>
          </cell>
          <cell r="Q219">
            <v>8.6497352162234309E-2</v>
          </cell>
          <cell r="R219">
            <v>683.10594000000003</v>
          </cell>
          <cell r="S219">
            <v>4.6568283260228327E-2</v>
          </cell>
          <cell r="T219">
            <v>1182.55025</v>
          </cell>
          <cell r="U219">
            <v>0.20618839675064382</v>
          </cell>
          <cell r="V219">
            <v>5.0059342938037155E-2</v>
          </cell>
          <cell r="W219">
            <v>5756.123698262265</v>
          </cell>
          <cell r="X219">
            <v>7.912945102021296E-2</v>
          </cell>
          <cell r="Y219">
            <v>6.7574182355665036E-2</v>
          </cell>
          <cell r="Z219">
            <v>3.8535898231538246E-2</v>
          </cell>
          <cell r="AA219">
            <v>7.912945102021296E-2</v>
          </cell>
          <cell r="AB219">
            <v>1125.0060000000001</v>
          </cell>
          <cell r="AC219">
            <v>23523.381000000001</v>
          </cell>
          <cell r="AD219">
            <v>0.11450125763142183</v>
          </cell>
          <cell r="AE219">
            <v>205.44211903524661</v>
          </cell>
          <cell r="AF219">
            <v>5.4760241243763108E-3</v>
          </cell>
          <cell r="AG219">
            <v>-5.2073759660915133</v>
          </cell>
          <cell r="AH219">
            <v>0.24096329133142308</v>
          </cell>
          <cell r="AI219">
            <v>-5.2073759660915133</v>
          </cell>
          <cell r="AJ219">
            <v>0.27247432361265411</v>
          </cell>
          <cell r="AK219">
            <v>4684.9009999999998</v>
          </cell>
          <cell r="AL219">
            <v>2.2803994730974501E-2</v>
          </cell>
          <cell r="AM219">
            <v>5.2999999999999999E-2</v>
          </cell>
          <cell r="AN219">
            <v>-4.9688233381116532E-2</v>
          </cell>
          <cell r="AO219">
            <v>-4.8473967684021568E-2</v>
          </cell>
          <cell r="AP219">
            <v>199.48</v>
          </cell>
          <cell r="AQ219">
            <v>2.6976935749587927E-2</v>
          </cell>
          <cell r="AR219">
            <v>1.6000000000000001E-3</v>
          </cell>
          <cell r="AS219">
            <v>2.4300000000000002E-2</v>
          </cell>
          <cell r="AT219">
            <v>4.6500000000000007E-2</v>
          </cell>
          <cell r="AU219">
            <v>8.0000000000000004E-4</v>
          </cell>
          <cell r="AV219">
            <v>4.5899999999999996E-2</v>
          </cell>
          <cell r="AW219">
            <v>114.2</v>
          </cell>
          <cell r="AX219">
            <v>0.78799999999999992</v>
          </cell>
          <cell r="AY219">
            <v>0.84025000000000005</v>
          </cell>
          <cell r="AZ219">
            <v>7.4400000000000008E-2</v>
          </cell>
          <cell r="BA219">
            <v>5.5319148936170404E-2</v>
          </cell>
          <cell r="BB219">
            <v>5.3843232020823396E-2</v>
          </cell>
          <cell r="BC219">
            <v>0.13089999999999999</v>
          </cell>
          <cell r="BD219">
            <v>-2.9793735676088562E-2</v>
          </cell>
        </row>
        <row r="220">
          <cell r="A220" t="str">
            <v>1Q97</v>
          </cell>
          <cell r="B220">
            <v>6.6900000000000001E-2</v>
          </cell>
          <cell r="C220">
            <v>6.6985645933014482E-2</v>
          </cell>
          <cell r="D220">
            <v>8018.7</v>
          </cell>
          <cell r="E220">
            <v>4.4591214631858778E-2</v>
          </cell>
          <cell r="F220">
            <v>5797.99</v>
          </cell>
          <cell r="G220">
            <v>3.2111577898034538E-2</v>
          </cell>
          <cell r="H220">
            <v>28131.504481567936</v>
          </cell>
          <cell r="I220">
            <v>2.1438121735799953E-2</v>
          </cell>
          <cell r="J220">
            <v>-2.3153092896058824E-2</v>
          </cell>
          <cell r="K220">
            <v>3765.4769999999999</v>
          </cell>
          <cell r="L220">
            <v>5.6138796922804213E-2</v>
          </cell>
          <cell r="M220">
            <v>508.91759000000002</v>
          </cell>
          <cell r="N220">
            <v>2469.2380400507341</v>
          </cell>
          <cell r="O220">
            <v>9.5601926748812627E-2</v>
          </cell>
          <cell r="P220">
            <v>0.1070503531268503</v>
          </cell>
          <cell r="Q220">
            <v>6.2459138494991517E-2</v>
          </cell>
          <cell r="R220">
            <v>688.47490999999991</v>
          </cell>
          <cell r="S220">
            <v>3.7338682871175477E-2</v>
          </cell>
          <cell r="T220">
            <v>1197.3924999999999</v>
          </cell>
          <cell r="U220">
            <v>0.20651855211892398</v>
          </cell>
          <cell r="V220">
            <v>3.2703630638702741E-2</v>
          </cell>
          <cell r="W220">
            <v>5809.6775744604311</v>
          </cell>
          <cell r="X220">
            <v>6.5865373719540488E-2</v>
          </cell>
          <cell r="Y220">
            <v>5.4842856789337757E-2</v>
          </cell>
          <cell r="Z220">
            <v>2.127415908768171E-2</v>
          </cell>
          <cell r="AA220">
            <v>6.5865373719540488E-2</v>
          </cell>
          <cell r="AB220">
            <v>1193.057</v>
          </cell>
          <cell r="AC220">
            <v>24078.021000000001</v>
          </cell>
          <cell r="AD220">
            <v>0.11682513348053152</v>
          </cell>
          <cell r="AE220">
            <v>206.10309000000001</v>
          </cell>
          <cell r="AF220">
            <v>5.7886419849406436E-3</v>
          </cell>
          <cell r="AG220">
            <v>-5.1518575598224539</v>
          </cell>
          <cell r="AH220">
            <v>0.24093776644254428</v>
          </cell>
          <cell r="AI220">
            <v>-5.1518575598224539</v>
          </cell>
          <cell r="AJ220">
            <v>0.27244184426146045</v>
          </cell>
          <cell r="AK220">
            <v>4964.4570000000003</v>
          </cell>
          <cell r="AL220">
            <v>2.4087251675848239E-2</v>
          </cell>
          <cell r="AM220">
            <v>5.2499999999999998E-2</v>
          </cell>
          <cell r="AN220">
            <v>-5.7370031658958619E-2</v>
          </cell>
          <cell r="AO220">
            <v>-5.5755395683453224E-2</v>
          </cell>
          <cell r="AP220">
            <v>201.41</v>
          </cell>
          <cell r="AQ220">
            <v>2.4518032453329175E-2</v>
          </cell>
          <cell r="AR220">
            <v>2.3999999999999998E-3</v>
          </cell>
          <cell r="AS220">
            <v>2.6099999999999998E-2</v>
          </cell>
          <cell r="AT220">
            <v>4.9800000000000004E-2</v>
          </cell>
          <cell r="AU220">
            <v>1E-3</v>
          </cell>
          <cell r="AV220">
            <v>4.6699999999999998E-2</v>
          </cell>
          <cell r="AW220">
            <v>118.5</v>
          </cell>
          <cell r="AX220">
            <v>0.79500000000000004</v>
          </cell>
          <cell r="AY220">
            <v>0.83899999999999997</v>
          </cell>
          <cell r="AZ220">
            <v>7.4700000000000003E-2</v>
          </cell>
          <cell r="BA220">
            <v>3.6061026352288472E-2</v>
          </cell>
          <cell r="BB220">
            <v>3.5426047847868215E-2</v>
          </cell>
          <cell r="BC220">
            <v>0.13119999999999998</v>
          </cell>
          <cell r="BD220">
            <v>-2.1341463414634165E-2</v>
          </cell>
        </row>
        <row r="221">
          <cell r="A221" t="str">
            <v>2Q97</v>
          </cell>
          <cell r="B221">
            <v>6.4899999999999999E-2</v>
          </cell>
          <cell r="C221">
            <v>-6.0781476121562927E-2</v>
          </cell>
          <cell r="D221">
            <v>8115.4</v>
          </cell>
          <cell r="E221">
            <v>4.0049212472285989E-2</v>
          </cell>
          <cell r="F221">
            <v>5857.92</v>
          </cell>
          <cell r="G221">
            <v>3.7308556584378705E-2</v>
          </cell>
          <cell r="H221">
            <v>28354.768911396786</v>
          </cell>
          <cell r="I221">
            <v>2.6597987381165256E-2</v>
          </cell>
          <cell r="J221">
            <v>-1.3451225091120733E-2</v>
          </cell>
          <cell r="K221">
            <v>3819.607</v>
          </cell>
          <cell r="L221">
            <v>6.1410587520639881E-2</v>
          </cell>
          <cell r="M221">
            <v>516.755</v>
          </cell>
          <cell r="N221">
            <v>2501.3091009793316</v>
          </cell>
          <cell r="O221">
            <v>7.5927044432170465E-2</v>
          </cell>
          <cell r="P221">
            <v>8.7152267166531017E-2</v>
          </cell>
          <cell r="Q221">
            <v>4.7103054694245028E-2</v>
          </cell>
          <cell r="R221">
            <v>695.3238799999998</v>
          </cell>
          <cell r="S221">
            <v>2.876329602782679E-2</v>
          </cell>
          <cell r="T221">
            <v>1212.0788799999998</v>
          </cell>
          <cell r="U221">
            <v>0.20691284278378669</v>
          </cell>
          <cell r="V221">
            <v>1.5003456707382679E-2</v>
          </cell>
          <cell r="W221">
            <v>5866.965841934446</v>
          </cell>
          <cell r="X221">
            <v>5.2871770605289914E-2</v>
          </cell>
          <cell r="Y221">
            <v>4.2000505840724678E-2</v>
          </cell>
          <cell r="Z221">
            <v>1.2822558133003925E-2</v>
          </cell>
          <cell r="AA221">
            <v>5.2871770605289914E-2</v>
          </cell>
          <cell r="AB221">
            <v>1263.0060000000001</v>
          </cell>
          <cell r="AC221">
            <v>24680.231</v>
          </cell>
          <cell r="AD221">
            <v>0.11946258171584645</v>
          </cell>
          <cell r="AE221">
            <v>206.59381913162036</v>
          </cell>
          <cell r="AF221">
            <v>6.1134742816063743E-3</v>
          </cell>
          <cell r="AG221">
            <v>-5.097260045208805</v>
          </cell>
          <cell r="AH221">
            <v>0.23400262173776373</v>
          </cell>
          <cell r="AI221">
            <v>-5.097260045208805</v>
          </cell>
          <cell r="AJ221">
            <v>0.2636478051566058</v>
          </cell>
          <cell r="AK221">
            <v>3777.9279999999999</v>
          </cell>
          <cell r="AL221">
            <v>1.828674263286208E-2</v>
          </cell>
          <cell r="AM221">
            <v>4.9800000000000004E-2</v>
          </cell>
          <cell r="AN221">
            <v>-9.3848725397328164E-2</v>
          </cell>
          <cell r="AO221">
            <v>-8.9579524680073019E-2</v>
          </cell>
          <cell r="AP221">
            <v>203.07</v>
          </cell>
          <cell r="AQ221">
            <v>3.0812182741116745E-2</v>
          </cell>
          <cell r="AR221">
            <v>2.3E-3</v>
          </cell>
          <cell r="AS221">
            <v>2.75E-2</v>
          </cell>
          <cell r="AT221">
            <v>5.33E-2</v>
          </cell>
          <cell r="AU221">
            <v>1E-3</v>
          </cell>
          <cell r="AV221">
            <v>4.6799999999999994E-2</v>
          </cell>
          <cell r="AW221">
            <v>129.9</v>
          </cell>
          <cell r="AX221">
            <v>0.79400000000000004</v>
          </cell>
          <cell r="AY221">
            <v>0.83850000000000002</v>
          </cell>
          <cell r="AZ221">
            <v>7.5499999999999998E-2</v>
          </cell>
          <cell r="BA221">
            <v>2.3035230352303371E-2</v>
          </cell>
          <cell r="BB221">
            <v>2.277392464855206E-2</v>
          </cell>
          <cell r="BC221">
            <v>0.1321</v>
          </cell>
          <cell r="BD221">
            <v>-1.5897047691142974E-2</v>
          </cell>
        </row>
        <row r="222">
          <cell r="A222" t="str">
            <v>3Q97</v>
          </cell>
          <cell r="B222">
            <v>6.2100000000000002E-2</v>
          </cell>
          <cell r="C222">
            <v>-9.07759882869692E-2</v>
          </cell>
          <cell r="D222">
            <v>8192.2000000000007</v>
          </cell>
          <cell r="E222">
            <v>4.4670296739310666E-2</v>
          </cell>
          <cell r="F222">
            <v>5909.74</v>
          </cell>
          <cell r="G222">
            <v>3.4824877514069597E-2</v>
          </cell>
          <cell r="H222">
            <v>28537.651435538566</v>
          </cell>
          <cell r="I222">
            <v>2.4156544484994713E-2</v>
          </cell>
          <cell r="J222">
            <v>-2.0513752254315953E-2</v>
          </cell>
          <cell r="K222">
            <v>3914.105</v>
          </cell>
          <cell r="L222">
            <v>6.7455719093772348E-2</v>
          </cell>
          <cell r="M222">
            <v>526.96481000000006</v>
          </cell>
          <cell r="N222">
            <v>2544.6699967468635</v>
          </cell>
          <cell r="O222">
            <v>7.3880402233184261E-2</v>
          </cell>
          <cell r="P222">
            <v>8.5066693846622909E-2</v>
          </cell>
          <cell r="Q222">
            <v>4.0396397107312243E-2</v>
          </cell>
          <cell r="R222">
            <v>697.05956999999978</v>
          </cell>
          <cell r="S222">
            <v>1.7551541405560256E-2</v>
          </cell>
          <cell r="T222">
            <v>1224.0243799999998</v>
          </cell>
          <cell r="U222">
            <v>0.20711983606723813</v>
          </cell>
          <cell r="V222">
            <v>1.0373605652726159E-2</v>
          </cell>
          <cell r="W222">
            <v>5910.7136870727309</v>
          </cell>
          <cell r="X222">
            <v>4.5559742713031426E-2</v>
          </cell>
          <cell r="Y222">
            <v>3.4780740604140714E-2</v>
          </cell>
          <cell r="Z222">
            <v>8.894459737207594E-4</v>
          </cell>
          <cell r="AA222">
            <v>4.5559742713031426E-2</v>
          </cell>
          <cell r="AB222">
            <v>1313.1120000000001</v>
          </cell>
          <cell r="AC222">
            <v>25307.914000000001</v>
          </cell>
          <cell r="AD222">
            <v>0.12220984819849716</v>
          </cell>
          <cell r="AE222">
            <v>207.08571668376572</v>
          </cell>
          <cell r="AF222">
            <v>6.340910522598781E-3</v>
          </cell>
          <cell r="AG222">
            <v>-5.0607329052928707</v>
          </cell>
          <cell r="AH222">
            <v>0.20523716585644586</v>
          </cell>
          <cell r="AI222">
            <v>-5.0607329052928707</v>
          </cell>
          <cell r="AJ222">
            <v>0.22781622652194389</v>
          </cell>
          <cell r="AK222">
            <v>3730.8</v>
          </cell>
          <cell r="AL222">
            <v>1.8015728268199159E-2</v>
          </cell>
          <cell r="AM222">
            <v>4.8399999999999999E-2</v>
          </cell>
          <cell r="AN222">
            <v>-8.3216306021078171E-2</v>
          </cell>
          <cell r="AO222">
            <v>-7.9847908745247165E-2</v>
          </cell>
          <cell r="AP222">
            <v>206.03</v>
          </cell>
          <cell r="AQ222">
            <v>4.1765687414673458E-2</v>
          </cell>
          <cell r="AR222">
            <v>3.2000000000000002E-3</v>
          </cell>
          <cell r="AS222">
            <v>2.7999999999999997E-2</v>
          </cell>
          <cell r="AT222">
            <v>5.5099999999999996E-2</v>
          </cell>
          <cell r="AU222">
            <v>8.9999999999999998E-4</v>
          </cell>
          <cell r="AV222">
            <v>4.6799999999999994E-2</v>
          </cell>
          <cell r="AW222">
            <v>130.19999999999999</v>
          </cell>
          <cell r="AX222">
            <v>0.78900000000000003</v>
          </cell>
          <cell r="AY222">
            <v>0.83800000000000008</v>
          </cell>
          <cell r="AZ222">
            <v>7.5199999999999989E-2</v>
          </cell>
          <cell r="BA222">
            <v>1.3477088948786964E-2</v>
          </cell>
          <cell r="BB222">
            <v>1.3387080782459279E-2</v>
          </cell>
          <cell r="BC222">
            <v>0.1321</v>
          </cell>
          <cell r="BD222">
            <v>-1.2869038607115857E-2</v>
          </cell>
        </row>
        <row r="223">
          <cell r="A223" t="str">
            <v>4Q97</v>
          </cell>
          <cell r="B223">
            <v>5.8099999999999999E-2</v>
          </cell>
          <cell r="C223">
            <v>-7.7777777777777835E-2</v>
          </cell>
          <cell r="D223">
            <v>8253.2000000000007</v>
          </cell>
          <cell r="E223">
            <v>4.058603255456239E-2</v>
          </cell>
          <cell r="F223">
            <v>5972.96</v>
          </cell>
          <cell r="G223">
            <v>4.1439927187640002E-2</v>
          </cell>
          <cell r="H223">
            <v>28774.424069320798</v>
          </cell>
          <cell r="I223">
            <v>3.0720095203567332E-2</v>
          </cell>
          <cell r="J223">
            <v>-9.8659373509950576E-3</v>
          </cell>
          <cell r="K223">
            <v>3959.5650000000001</v>
          </cell>
          <cell r="L223">
            <v>6.3850967122587754E-2</v>
          </cell>
          <cell r="M223">
            <v>531.16318999999999</v>
          </cell>
          <cell r="N223">
            <v>2558.8510351774021</v>
          </cell>
          <cell r="O223">
            <v>5.2561353561881186E-2</v>
          </cell>
          <cell r="P223">
            <v>6.3508341901022058E-2</v>
          </cell>
          <cell r="Q223">
            <v>2.2922309346459668E-2</v>
          </cell>
          <cell r="R223">
            <v>703.29743999999982</v>
          </cell>
          <cell r="S223">
            <v>2.9558372746692596E-2</v>
          </cell>
          <cell r="T223">
            <v>1234.4606299999998</v>
          </cell>
          <cell r="U223">
            <v>0.2066748530042056</v>
          </cell>
          <cell r="V223">
            <v>2.3592804504419806E-3</v>
          </cell>
          <cell r="W223">
            <v>5946.9498648075505</v>
          </cell>
          <cell r="X223">
            <v>4.3896976048163561E-2</v>
          </cell>
          <cell r="Y223">
            <v>3.3151852974058649E-2</v>
          </cell>
          <cell r="Z223">
            <v>3.3109434936011706E-3</v>
          </cell>
          <cell r="AA223">
            <v>4.3896976048163561E-2</v>
          </cell>
          <cell r="AB223">
            <v>1350.1179999999999</v>
          </cell>
          <cell r="AC223">
            <v>25939.924999999999</v>
          </cell>
          <cell r="AD223">
            <v>0.12496423921746945</v>
          </cell>
          <cell r="AE223">
            <v>207.57878543843216</v>
          </cell>
          <cell r="AF223">
            <v>6.5041232279511758E-3</v>
          </cell>
          <cell r="AG223">
            <v>-5.0353189604291515</v>
          </cell>
          <cell r="AH223">
            <v>0.17205700566236132</v>
          </cell>
          <cell r="AI223">
            <v>-5.0353189604291515</v>
          </cell>
          <cell r="AJ223">
            <v>0.18774553950526274</v>
          </cell>
          <cell r="AK223">
            <v>4245.402</v>
          </cell>
          <cell r="AL223">
            <v>2.0452003276891634E-2</v>
          </cell>
          <cell r="AM223">
            <v>4.6699999999999998E-2</v>
          </cell>
          <cell r="AN223">
            <v>-0.12654774887727019</v>
          </cell>
          <cell r="AO223">
            <v>-0.11886792452830186</v>
          </cell>
          <cell r="AP223">
            <v>208.99</v>
          </cell>
          <cell r="AQ223">
            <v>4.767395227591753E-2</v>
          </cell>
          <cell r="AR223">
            <v>2.5999999999999999E-3</v>
          </cell>
          <cell r="AS223">
            <v>2.7699999999999999E-2</v>
          </cell>
          <cell r="AT223">
            <v>5.4100000000000002E-2</v>
          </cell>
          <cell r="AU223">
            <v>8.9999999999999998E-4</v>
          </cell>
          <cell r="AV223">
            <v>4.7699999999999992E-2</v>
          </cell>
          <cell r="AW223">
            <v>136.19999999999999</v>
          </cell>
          <cell r="AX223">
            <v>0.79900000000000004</v>
          </cell>
          <cell r="AY223">
            <v>0.83750000000000013</v>
          </cell>
          <cell r="AZ223">
            <v>7.4700000000000003E-2</v>
          </cell>
          <cell r="BA223">
            <v>4.0322580645160144E-3</v>
          </cell>
          <cell r="BB223">
            <v>4.0241502997253268E-3</v>
          </cell>
          <cell r="BC223">
            <v>0.13170000000000001</v>
          </cell>
          <cell r="BD223">
            <v>-6.0744115413821076E-3</v>
          </cell>
        </row>
        <row r="224">
          <cell r="A224" t="str">
            <v>1Q98</v>
          </cell>
          <cell r="B224">
            <v>5.6500000000000002E-2</v>
          </cell>
          <cell r="C224">
            <v>-0.15545590433482814</v>
          </cell>
          <cell r="D224">
            <v>8391.1</v>
          </cell>
          <cell r="E224">
            <v>4.6441443126691517E-2</v>
          </cell>
          <cell r="F224">
            <v>6031.51</v>
          </cell>
          <cell r="G224">
            <v>4.0276026692008804E-2</v>
          </cell>
          <cell r="H224">
            <v>28955.880940950552</v>
          </cell>
          <cell r="I224">
            <v>2.93043857616202E-2</v>
          </cell>
          <cell r="J224">
            <v>-1.7137057365071318E-2</v>
          </cell>
          <cell r="K224">
            <v>4044.0349999999999</v>
          </cell>
          <cell r="L224">
            <v>7.3976816217440788E-2</v>
          </cell>
          <cell r="M224">
            <v>539.6503100000001</v>
          </cell>
          <cell r="N224">
            <v>2590.7360057609217</v>
          </cell>
          <cell r="O224">
            <v>4.9204638734502648E-2</v>
          </cell>
          <cell r="P224">
            <v>6.0388401980761008E-2</v>
          </cell>
          <cell r="Q224">
            <v>1.3946958854069491E-2</v>
          </cell>
          <cell r="R224">
            <v>708.00906999999972</v>
          </cell>
          <cell r="S224">
            <v>2.8373089151498387E-2</v>
          </cell>
          <cell r="T224">
            <v>1247.6593799999998</v>
          </cell>
          <cell r="U224">
            <v>0.20685688658395654</v>
          </cell>
          <cell r="V224">
            <v>1.6382763754694274E-3</v>
          </cell>
          <cell r="W224">
            <v>5989.723379740758</v>
          </cell>
          <cell r="X224">
            <v>4.1980286330505656E-2</v>
          </cell>
          <cell r="Y224">
            <v>3.0990670819980748E-2</v>
          </cell>
          <cell r="Z224">
            <v>-4.4611567961858611E-3</v>
          </cell>
          <cell r="AA224">
            <v>4.1980286330505656E-2</v>
          </cell>
          <cell r="AB224">
            <v>1370.49</v>
          </cell>
          <cell r="AC224">
            <v>26545.89</v>
          </cell>
          <cell r="AD224">
            <v>0.12744066250600095</v>
          </cell>
          <cell r="AE224">
            <v>208.3</v>
          </cell>
          <cell r="AF224">
            <v>6.5794047047527601E-3</v>
          </cell>
          <cell r="AG224">
            <v>-5.023811008139921</v>
          </cell>
          <cell r="AH224">
            <v>0.12804655168253271</v>
          </cell>
          <cell r="AI224">
            <v>-5.023811008139921</v>
          </cell>
          <cell r="AJ224">
            <v>0.13660591238313136</v>
          </cell>
          <cell r="AK224">
            <v>4881.433</v>
          </cell>
          <cell r="AL224">
            <v>2.3434627940470475E-2</v>
          </cell>
          <cell r="AM224">
            <v>4.6699999999999998E-2</v>
          </cell>
          <cell r="AN224">
            <v>-0.11706900492272647</v>
          </cell>
          <cell r="AO224">
            <v>-0.11047619047619051</v>
          </cell>
          <cell r="AP224">
            <v>212.19</v>
          </cell>
          <cell r="AQ224">
            <v>5.3522665210267606E-2</v>
          </cell>
          <cell r="AR224">
            <v>3.4000000000000002E-3</v>
          </cell>
          <cell r="AS224">
            <v>2.6600000000000002E-2</v>
          </cell>
          <cell r="AT224">
            <v>5.2199999999999996E-2</v>
          </cell>
          <cell r="AU224">
            <v>8.9999999999999998E-4</v>
          </cell>
          <cell r="AV224">
            <v>4.7100000000000003E-2</v>
          </cell>
          <cell r="AW224">
            <v>133.80000000000001</v>
          </cell>
          <cell r="AX224">
            <v>0.79299999999999993</v>
          </cell>
          <cell r="AY224">
            <v>0.83699999999999997</v>
          </cell>
          <cell r="AZ224">
            <v>7.5300000000000006E-2</v>
          </cell>
          <cell r="BA224">
            <v>8.0321285140563248E-3</v>
          </cell>
          <cell r="BB224">
            <v>8.0000426670763704E-3</v>
          </cell>
          <cell r="BC224">
            <v>0.13239999999999999</v>
          </cell>
          <cell r="BD224">
            <v>-9.0634441087613649E-3</v>
          </cell>
        </row>
        <row r="225">
          <cell r="A225" t="str">
            <v>2Q98</v>
          </cell>
          <cell r="B225">
            <v>5.5E-2</v>
          </cell>
          <cell r="C225">
            <v>-0.15254237288135597</v>
          </cell>
          <cell r="D225">
            <v>8436.2999999999993</v>
          </cell>
          <cell r="E225">
            <v>3.9542105133449912E-2</v>
          </cell>
          <cell r="F225">
            <v>6087.5</v>
          </cell>
          <cell r="G225">
            <v>3.9191385338140483E-2</v>
          </cell>
          <cell r="H225">
            <v>29197.074737030045</v>
          </cell>
          <cell r="I225">
            <v>2.97059668609998E-2</v>
          </cell>
          <cell r="J225">
            <v>-9.8361382724501123E-3</v>
          </cell>
          <cell r="K225">
            <v>4122.8419999999996</v>
          </cell>
          <cell r="L225">
            <v>7.9389057565346199E-2</v>
          </cell>
          <cell r="M225">
            <v>545.26468999999997</v>
          </cell>
          <cell r="N225">
            <v>2615.2170686478057</v>
          </cell>
          <cell r="O225">
            <v>4.5539340829118702E-2</v>
          </cell>
          <cell r="P225">
            <v>5.5170612766204385E-2</v>
          </cell>
          <cell r="Q225">
            <v>1.5628507632754474E-2</v>
          </cell>
          <cell r="R225">
            <v>718.99843999999985</v>
          </cell>
          <cell r="S225">
            <v>3.4048248134380232E-2</v>
          </cell>
          <cell r="T225">
            <v>1264.2631299999998</v>
          </cell>
          <cell r="U225">
            <v>0.20768182833675561</v>
          </cell>
          <cell r="V225">
            <v>3.7164708706480809E-3</v>
          </cell>
          <cell r="W225">
            <v>6063.7018634712977</v>
          </cell>
          <cell r="X225">
            <v>4.3053509850778049E-2</v>
          </cell>
          <cell r="Y225">
            <v>3.3532839092170974E-2</v>
          </cell>
          <cell r="Z225">
            <v>3.5114047173281371E-3</v>
          </cell>
          <cell r="AA225">
            <v>4.3053509850778049E-2</v>
          </cell>
          <cell r="AB225">
            <v>1379.249</v>
          </cell>
          <cell r="AC225">
            <v>27112.454000000002</v>
          </cell>
          <cell r="AD225">
            <v>0.13003767486526313</v>
          </cell>
          <cell r="AE225">
            <v>208.49691466793931</v>
          </cell>
          <cell r="AF225">
            <v>6.6152010076343257E-3</v>
          </cell>
          <cell r="AG225">
            <v>-5.0183850952352609</v>
          </cell>
          <cell r="AH225">
            <v>7.8874949973544051E-2</v>
          </cell>
          <cell r="AI225">
            <v>-5.0183850952352609</v>
          </cell>
          <cell r="AJ225">
            <v>8.2069000852346363E-2</v>
          </cell>
          <cell r="AK225">
            <v>3703.3049999999998</v>
          </cell>
          <cell r="AL225">
            <v>1.7761917512774877E-2</v>
          </cell>
          <cell r="AM225">
            <v>4.4199999999999996E-2</v>
          </cell>
          <cell r="AN225">
            <v>-0.119290194946955</v>
          </cell>
          <cell r="AO225">
            <v>-0.11244979919678733</v>
          </cell>
          <cell r="AP225">
            <v>214.56</v>
          </cell>
          <cell r="AQ225">
            <v>5.6581474368444518E-2</v>
          </cell>
          <cell r="AR225">
            <v>3.4000000000000002E-3</v>
          </cell>
          <cell r="AS225">
            <v>2.63E-2</v>
          </cell>
          <cell r="AT225">
            <v>5.2400000000000002E-2</v>
          </cell>
          <cell r="AU225">
            <v>8.0000000000000004E-4</v>
          </cell>
          <cell r="AV225">
            <v>4.7E-2</v>
          </cell>
          <cell r="AW225">
            <v>138.19999999999999</v>
          </cell>
          <cell r="AX225">
            <v>0.79500000000000004</v>
          </cell>
          <cell r="AZ225">
            <v>7.5999999999999998E-2</v>
          </cell>
          <cell r="BA225">
            <v>6.6225165562914245E-3</v>
          </cell>
          <cell r="BB225">
            <v>6.6006840313520927E-3</v>
          </cell>
          <cell r="BC225">
            <v>0.13320000000000001</v>
          </cell>
          <cell r="BD225">
            <v>-8.258258258258433E-3</v>
          </cell>
        </row>
        <row r="226">
          <cell r="A226" t="str">
            <v>3Q98</v>
          </cell>
          <cell r="B226">
            <v>4.8099999999999997E-2</v>
          </cell>
          <cell r="C226">
            <v>-0.22544283413848643</v>
          </cell>
          <cell r="D226">
            <v>8515.7000000000007</v>
          </cell>
          <cell r="E226">
            <v>3.9488782012157886E-2</v>
          </cell>
          <cell r="F226">
            <v>6154.67</v>
          </cell>
          <cell r="G226">
            <v>4.1445139718498725E-2</v>
          </cell>
          <cell r="H226">
            <v>29491.35836800321</v>
          </cell>
          <cell r="I226">
            <v>3.3419250866487671E-2</v>
          </cell>
          <cell r="J226">
            <v>-6.069531145670215E-3</v>
          </cell>
          <cell r="K226">
            <v>4223.3980000000001</v>
          </cell>
          <cell r="L226">
            <v>7.9020108045134263E-2</v>
          </cell>
          <cell r="M226">
            <v>551.91018999999994</v>
          </cell>
          <cell r="N226">
            <v>2644.5904004995782</v>
          </cell>
          <cell r="O226">
            <v>3.9266546892309906E-2</v>
          </cell>
          <cell r="P226">
            <v>4.7337847853635484E-2</v>
          </cell>
          <cell r="Q226">
            <v>7.8490658414775982E-3</v>
          </cell>
          <cell r="R226">
            <v>732.1335600000001</v>
          </cell>
          <cell r="S226">
            <v>5.0317062571854976E-2</v>
          </cell>
          <cell r="T226">
            <v>1284.04375</v>
          </cell>
          <cell r="U226">
            <v>0.20862917914364215</v>
          </cell>
          <cell r="V226">
            <v>7.287293699450581E-3</v>
          </cell>
          <cell r="W226">
            <v>6152.7578881474919</v>
          </cell>
          <cell r="X226">
            <v>4.9034456323492792E-2</v>
          </cell>
          <cell r="Y226">
            <v>4.0950080462217819E-2</v>
          </cell>
          <cell r="Z226">
            <v>9.5456743113349063E-3</v>
          </cell>
          <cell r="AA226">
            <v>4.9034456323492792E-2</v>
          </cell>
          <cell r="AB226">
            <v>1389.8389999999999</v>
          </cell>
          <cell r="AC226">
            <v>27653.481000000003</v>
          </cell>
          <cell r="AD226">
            <v>0.13250730230764085</v>
          </cell>
          <cell r="AE226">
            <v>208.69401548751782</v>
          </cell>
          <cell r="AF226">
            <v>6.6596974367150816E-3</v>
          </cell>
          <cell r="AG226">
            <v>-5.0116812253844696</v>
          </cell>
          <cell r="AH226">
            <v>4.9051679908400536E-2</v>
          </cell>
          <cell r="AI226">
            <v>-5.0116812253844696</v>
          </cell>
          <cell r="AJ226">
            <v>5.0274627434049979E-2</v>
          </cell>
          <cell r="AK226">
            <v>3695.509</v>
          </cell>
          <cell r="AL226">
            <v>1.770778616419421E-2</v>
          </cell>
          <cell r="AM226">
            <v>4.5100000000000001E-2</v>
          </cell>
          <cell r="AN226">
            <v>-7.0617567213953292E-2</v>
          </cell>
          <cell r="AO226">
            <v>-6.8181818181818121E-2</v>
          </cell>
          <cell r="AP226">
            <v>217.73</v>
          </cell>
          <cell r="AQ226">
            <v>5.6787846430131461E-2</v>
          </cell>
          <cell r="AR226">
            <v>3.9000000000000003E-3</v>
          </cell>
          <cell r="AS226">
            <v>2.5899999999999999E-2</v>
          </cell>
          <cell r="AT226">
            <v>5.1699999999999996E-2</v>
          </cell>
          <cell r="AU226">
            <v>8.0000000000000004E-4</v>
          </cell>
          <cell r="AV226">
            <v>4.7100000000000003E-2</v>
          </cell>
          <cell r="AW226">
            <v>126.4</v>
          </cell>
          <cell r="AX226">
            <v>0.79299999999999993</v>
          </cell>
          <cell r="AZ226">
            <v>7.5899999999999995E-2</v>
          </cell>
          <cell r="BA226">
            <v>9.3085106382979621E-3</v>
          </cell>
          <cell r="BB226">
            <v>9.2654534457901911E-3</v>
          </cell>
          <cell r="BC226">
            <v>0.1331</v>
          </cell>
          <cell r="BD226">
            <v>-7.5131480090158131E-3</v>
          </cell>
        </row>
        <row r="227">
          <cell r="A227" t="str">
            <v>4Q98</v>
          </cell>
          <cell r="B227">
            <v>4.6500000000000007E-2</v>
          </cell>
          <cell r="C227">
            <v>-0.19965576592082601</v>
          </cell>
          <cell r="D227">
            <v>8639.5</v>
          </cell>
          <cell r="E227">
            <v>4.6806087335821145E-2</v>
          </cell>
          <cell r="F227">
            <v>6226.6</v>
          </cell>
          <cell r="G227">
            <v>4.2464707615654573E-2</v>
          </cell>
          <cell r="H227">
            <v>29807.847054735619</v>
          </cell>
          <cell r="I227">
            <v>3.5914636655287602E-2</v>
          </cell>
          <cell r="J227">
            <v>-1.0891450680533543E-2</v>
          </cell>
          <cell r="K227">
            <v>4328.4340000000002</v>
          </cell>
          <cell r="L227">
            <v>9.3158970745523817E-2</v>
          </cell>
          <cell r="M227">
            <v>560.50437999999997</v>
          </cell>
          <cell r="N227">
            <v>2683.2346437139713</v>
          </cell>
          <cell r="O227">
            <v>4.860916357639633E-2</v>
          </cell>
          <cell r="P227">
            <v>5.5239501818640679E-2</v>
          </cell>
          <cell r="Q227">
            <v>8.4334144828195345E-3</v>
          </cell>
          <cell r="R227">
            <v>740.51886999999999</v>
          </cell>
          <cell r="S227">
            <v>5.2924165343187113E-2</v>
          </cell>
          <cell r="T227">
            <v>1301.02325</v>
          </cell>
          <cell r="U227">
            <v>0.20894601387595155</v>
          </cell>
          <cell r="V227">
            <v>1.0989052798308974E-2</v>
          </cell>
          <cell r="W227">
            <v>6228.2308243110301</v>
          </cell>
          <cell r="X227">
            <v>5.3920407328016839E-2</v>
          </cell>
          <cell r="Y227">
            <v>4.7298357292033799E-2</v>
          </cell>
          <cell r="Z227">
            <v>7.1143199921956946E-3</v>
          </cell>
          <cell r="AA227">
            <v>5.3920407328016839E-2</v>
          </cell>
          <cell r="AB227">
            <v>1398.182</v>
          </cell>
          <cell r="AC227">
            <v>28179.225000000002</v>
          </cell>
          <cell r="AD227">
            <v>0.13489898643256068</v>
          </cell>
          <cell r="AE227">
            <v>208.89130263471245</v>
          </cell>
          <cell r="AF227">
            <v>6.6933471253467951E-3</v>
          </cell>
          <cell r="AG227">
            <v>-5.0066412122690611</v>
          </cell>
          <cell r="AH227">
            <v>2.8677748160090662E-2</v>
          </cell>
          <cell r="AI227">
            <v>-5.0066412122690611</v>
          </cell>
          <cell r="AJ227">
            <v>2.9092913950713228E-2</v>
          </cell>
          <cell r="AK227">
            <v>4207.6099999999997</v>
          </cell>
          <cell r="AL227">
            <v>2.0142581078915638E-2</v>
          </cell>
          <cell r="AM227">
            <v>4.4199999999999996E-2</v>
          </cell>
          <cell r="AN227">
            <v>-5.5019375591199259E-2</v>
          </cell>
          <cell r="AO227">
            <v>-5.3533190578158529E-2</v>
          </cell>
          <cell r="AP227">
            <v>220.3</v>
          </cell>
          <cell r="AQ227">
            <v>5.4117421886214601E-2</v>
          </cell>
          <cell r="AR227">
            <v>4.8999999999999998E-3</v>
          </cell>
          <cell r="AS227">
            <v>2.5699999999999997E-2</v>
          </cell>
          <cell r="AT227">
            <v>5.1399999999999994E-2</v>
          </cell>
          <cell r="AU227">
            <v>7.000000000000001E-4</v>
          </cell>
          <cell r="AV227">
            <v>4.7100000000000003E-2</v>
          </cell>
          <cell r="AW227">
            <v>126.7</v>
          </cell>
          <cell r="AX227">
            <v>0.78700000000000003</v>
          </cell>
          <cell r="AZ227">
            <v>7.5700000000000003E-2</v>
          </cell>
          <cell r="BA227">
            <v>1.3386880856760319E-2</v>
          </cell>
          <cell r="BB227">
            <v>1.3298068304631415E-2</v>
          </cell>
          <cell r="BC227">
            <v>0.13289999999999999</v>
          </cell>
          <cell r="BD227">
            <v>-9.0293453724603623E-3</v>
          </cell>
        </row>
        <row r="228">
          <cell r="A228" t="str">
            <v>1Q99</v>
          </cell>
          <cell r="B228">
            <v>5.2300000000000006E-2</v>
          </cell>
          <cell r="C228">
            <v>-7.4336283185840624E-2</v>
          </cell>
          <cell r="D228">
            <v>8717.6</v>
          </cell>
          <cell r="E228">
            <v>3.8910273980765409E-2</v>
          </cell>
          <cell r="F228">
            <v>6283.13</v>
          </cell>
          <cell r="G228">
            <v>4.1717579843190133E-2</v>
          </cell>
          <cell r="H228">
            <v>30050.219319083626</v>
          </cell>
          <cell r="I228">
            <v>3.7793302865305689E-2</v>
          </cell>
          <cell r="J228">
            <v>-1.1169711154597195E-3</v>
          </cell>
          <cell r="K228">
            <v>4420.8980000000001</v>
          </cell>
          <cell r="L228">
            <v>9.3189846279767785E-2</v>
          </cell>
          <cell r="M228">
            <v>567.25468999999998</v>
          </cell>
          <cell r="N228">
            <v>2712.9993879290723</v>
          </cell>
          <cell r="O228">
            <v>4.7192528260802336E-2</v>
          </cell>
          <cell r="P228">
            <v>5.1152347156068201E-2</v>
          </cell>
          <cell r="Q228">
            <v>1.2242073175302792E-2</v>
          </cell>
          <cell r="R228">
            <v>764.46406000000002</v>
          </cell>
          <cell r="S228">
            <v>7.9737664942626019E-2</v>
          </cell>
          <cell r="T228">
            <v>1331.71875</v>
          </cell>
          <cell r="U228">
            <v>0.21195148755476967</v>
          </cell>
          <cell r="V228">
            <v>2.4628626365530204E-2</v>
          </cell>
          <cell r="W228">
            <v>6369.1886860268523</v>
          </cell>
          <cell r="X228">
            <v>6.7373652895552416E-2</v>
          </cell>
          <cell r="Y228">
            <v>6.3352726366224577E-2</v>
          </cell>
          <cell r="Z228">
            <v>2.8463378914787008E-2</v>
          </cell>
          <cell r="AA228">
            <v>6.7373652895552416E-2</v>
          </cell>
          <cell r="AB228">
            <v>1378.0709999999999</v>
          </cell>
          <cell r="AC228">
            <v>28664.037000000004</v>
          </cell>
          <cell r="AD228">
            <v>0.13709100375455036</v>
          </cell>
          <cell r="AE228">
            <v>209.08765867175717</v>
          </cell>
          <cell r="AF228">
            <v>6.5908768061887762E-3</v>
          </cell>
          <cell r="AG228">
            <v>-5.0220688883032336</v>
          </cell>
          <cell r="AH228">
            <v>1.7421198366874505E-3</v>
          </cell>
          <cell r="AI228">
            <v>-5.0220688883032336</v>
          </cell>
          <cell r="AJ228">
            <v>1.7436382090509905E-3</v>
          </cell>
          <cell r="AK228">
            <v>4824.4219999999996</v>
          </cell>
          <cell r="AL228">
            <v>2.3073681300213752E-2</v>
          </cell>
          <cell r="AM228">
            <v>4.2999999999999997E-2</v>
          </cell>
          <cell r="AN228">
            <v>-8.2544048981289253E-2</v>
          </cell>
          <cell r="AO228">
            <v>-7.9229122055674561E-2</v>
          </cell>
          <cell r="AP228">
            <v>223.11</v>
          </cell>
          <cell r="AQ228">
            <v>5.146331118337355E-2</v>
          </cell>
          <cell r="AR228">
            <v>4.8999999999999998E-3</v>
          </cell>
          <cell r="AS228">
            <v>2.5000000000000001E-2</v>
          </cell>
          <cell r="AT228">
            <v>4.9800000000000004E-2</v>
          </cell>
          <cell r="AU228">
            <v>1E-3</v>
          </cell>
          <cell r="AV228">
            <v>4.6399999999999997E-2</v>
          </cell>
          <cell r="AW228">
            <v>134</v>
          </cell>
          <cell r="AX228">
            <v>0.78500000000000003</v>
          </cell>
          <cell r="AZ228">
            <v>7.5899999999999995E-2</v>
          </cell>
          <cell r="BA228">
            <v>7.9681274900396115E-3</v>
          </cell>
          <cell r="BB228">
            <v>7.9365495957361212E-3</v>
          </cell>
          <cell r="BC228">
            <v>0.13339999999999999</v>
          </cell>
          <cell r="BD228">
            <v>-7.496251874062998E-3</v>
          </cell>
        </row>
        <row r="229">
          <cell r="A229" t="str">
            <v>2Q99</v>
          </cell>
          <cell r="B229">
            <v>5.9000000000000004E-2</v>
          </cell>
          <cell r="C229">
            <v>7.2727272727272751E-2</v>
          </cell>
          <cell r="D229">
            <v>8758.2999999999993</v>
          </cell>
          <cell r="E229">
            <v>3.8168391356400377E-2</v>
          </cell>
          <cell r="F229">
            <v>6320.66</v>
          </cell>
          <cell r="G229">
            <v>3.8301437371663249E-2</v>
          </cell>
          <cell r="H229">
            <v>30161.967154900256</v>
          </cell>
          <cell r="I229">
            <v>3.3047571599577275E-2</v>
          </cell>
          <cell r="J229">
            <v>-5.1208197568231029E-3</v>
          </cell>
          <cell r="K229">
            <v>4533.0309999999999</v>
          </cell>
          <cell r="L229">
            <v>9.9491806865264376E-2</v>
          </cell>
          <cell r="M229">
            <v>578.57431000000008</v>
          </cell>
          <cell r="N229">
            <v>2760.9362526839095</v>
          </cell>
          <cell r="O229">
            <v>5.5719728118571732E-2</v>
          </cell>
          <cell r="P229">
            <v>6.1088899778197758E-2</v>
          </cell>
          <cell r="Q229">
            <v>2.2920508421797381E-2</v>
          </cell>
          <cell r="R229">
            <v>769.8664399999999</v>
          </cell>
          <cell r="S229">
            <v>7.0748414975698726E-2</v>
          </cell>
          <cell r="T229">
            <v>1348.44075</v>
          </cell>
          <cell r="U229">
            <v>0.21333859913363479</v>
          </cell>
          <cell r="V229">
            <v>2.7237678145373145E-2</v>
          </cell>
          <cell r="W229">
            <v>6434.7118199411243</v>
          </cell>
          <cell r="X229">
            <v>6.6582357740670783E-2</v>
          </cell>
          <cell r="Y229">
            <v>6.1185388863665757E-2</v>
          </cell>
          <cell r="Z229">
            <v>2.8413966384270406E-2</v>
          </cell>
          <cell r="AA229">
            <v>6.6582357740670783E-2</v>
          </cell>
          <cell r="AB229">
            <v>1352.03</v>
          </cell>
          <cell r="AC229">
            <v>29116.226999999999</v>
          </cell>
          <cell r="AD229">
            <v>0.13894161091541388</v>
          </cell>
          <cell r="AE229">
            <v>209.5572867492204</v>
          </cell>
          <cell r="AF229">
            <v>6.4518395946688784E-3</v>
          </cell>
          <cell r="AG229">
            <v>-5.0433899803628668</v>
          </cell>
          <cell r="AH229">
            <v>-2.5004885127605243E-2</v>
          </cell>
          <cell r="AI229">
            <v>-5.0433899803628668</v>
          </cell>
          <cell r="AJ229">
            <v>-2.4694852473404638E-2</v>
          </cell>
          <cell r="AK229">
            <v>3810.0810000000001</v>
          </cell>
          <cell r="AL229">
            <v>1.8181572490769876E-2</v>
          </cell>
          <cell r="AM229">
            <v>4.2599999999999999E-2</v>
          </cell>
          <cell r="AN229">
            <v>-3.6870535808327685E-2</v>
          </cell>
          <cell r="AO229">
            <v>-3.6199095022624417E-2</v>
          </cell>
          <cell r="AP229">
            <v>226.81</v>
          </cell>
          <cell r="AQ229">
            <v>5.7093586875466062E-2</v>
          </cell>
          <cell r="AR229">
            <v>5.3E-3</v>
          </cell>
          <cell r="AS229">
            <v>2.0799999999999999E-2</v>
          </cell>
          <cell r="AT229">
            <v>4.1100000000000005E-2</v>
          </cell>
          <cell r="AU229">
            <v>1.1000000000000001E-3</v>
          </cell>
          <cell r="AV229">
            <v>4.4699999999999997E-2</v>
          </cell>
          <cell r="AW229">
            <v>139</v>
          </cell>
          <cell r="AX229">
            <v>0.78400000000000003</v>
          </cell>
          <cell r="AZ229">
            <v>7.5999999999999998E-2</v>
          </cell>
          <cell r="BA229">
            <v>0</v>
          </cell>
          <cell r="BB229">
            <v>0</v>
          </cell>
          <cell r="BC229">
            <v>0.13390000000000002</v>
          </cell>
          <cell r="BD229">
            <v>-5.2277819268110592E-3</v>
          </cell>
        </row>
        <row r="230">
          <cell r="A230" t="str">
            <v>3Q99</v>
          </cell>
          <cell r="B230">
            <v>5.9200000000000003E-2</v>
          </cell>
          <cell r="C230">
            <v>0.23076923076923084</v>
          </cell>
          <cell r="D230">
            <v>8879.7999999999993</v>
          </cell>
          <cell r="E230">
            <v>4.2756320678276394E-2</v>
          </cell>
          <cell r="F230">
            <v>6366.23</v>
          </cell>
          <cell r="G230">
            <v>3.4373898194379082E-2</v>
          </cell>
          <cell r="H230">
            <v>30311.343820586833</v>
          </cell>
          <cell r="I230">
            <v>2.7804261924851525E-2</v>
          </cell>
          <cell r="J230">
            <v>-1.4952058753424868E-2</v>
          </cell>
          <cell r="K230">
            <v>4663.1480000000001</v>
          </cell>
          <cell r="L230">
            <v>0.10412232046328573</v>
          </cell>
          <cell r="M230">
            <v>584.38118999999995</v>
          </cell>
          <cell r="N230">
            <v>2782.3969872866169</v>
          </cell>
          <cell r="O230">
            <v>5.2108858430782501E-2</v>
          </cell>
          <cell r="P230">
            <v>5.8833847586688082E-2</v>
          </cell>
          <cell r="Q230">
            <v>1.6077526908411688E-2</v>
          </cell>
          <cell r="R230">
            <v>781.90656000000001</v>
          </cell>
          <cell r="S230">
            <v>6.7983497437270834E-2</v>
          </cell>
          <cell r="T230">
            <v>1366.28775</v>
          </cell>
          <cell r="U230">
            <v>0.21461488981705029</v>
          </cell>
          <cell r="V230">
            <v>2.8690668764444371E-2</v>
          </cell>
          <cell r="W230">
            <v>6505.265714261971</v>
          </cell>
          <cell r="X230">
            <v>6.4050777086060995E-2</v>
          </cell>
          <cell r="Y230">
            <v>5.7292653558421502E-2</v>
          </cell>
          <cell r="Z230">
            <v>2.1294456407784601E-2</v>
          </cell>
          <cell r="AA230">
            <v>6.4050777086060995E-2</v>
          </cell>
          <cell r="AB230">
            <v>1315.751</v>
          </cell>
          <cell r="AC230">
            <v>29526.224999999999</v>
          </cell>
          <cell r="AD230">
            <v>0.14058234743309722</v>
          </cell>
          <cell r="AE230">
            <v>210.02796964996944</v>
          </cell>
          <cell r="AF230">
            <v>6.2646465715629103E-3</v>
          </cell>
          <cell r="AG230">
            <v>-5.0728331053837419</v>
          </cell>
          <cell r="AH230">
            <v>-6.1151879999271914E-2</v>
          </cell>
          <cell r="AI230">
            <v>-5.0728331053837419</v>
          </cell>
          <cell r="AJ230">
            <v>-5.9319641606275675E-2</v>
          </cell>
          <cell r="AK230">
            <v>4387.3370000000004</v>
          </cell>
          <cell r="AL230">
            <v>2.0889298731554151E-2</v>
          </cell>
          <cell r="AM230">
            <v>4.2099999999999999E-2</v>
          </cell>
          <cell r="AN230">
            <v>-6.8834505820296946E-2</v>
          </cell>
          <cell r="AO230">
            <v>-6.6518847006651893E-2</v>
          </cell>
          <cell r="AP230">
            <v>231.07</v>
          </cell>
          <cell r="AQ230">
            <v>6.1268543609057202E-2</v>
          </cell>
          <cell r="AR230">
            <v>5.3E-3</v>
          </cell>
          <cell r="AS230">
            <v>2.2700000000000001E-2</v>
          </cell>
          <cell r="AT230">
            <v>4.3899999999999995E-2</v>
          </cell>
          <cell r="AU230">
            <v>1.5E-3</v>
          </cell>
          <cell r="AV230">
            <v>4.58E-2</v>
          </cell>
          <cell r="AW230">
            <v>134.19999999999999</v>
          </cell>
          <cell r="AX230">
            <v>0.79</v>
          </cell>
          <cell r="AZ230">
            <v>7.5899999999999995E-2</v>
          </cell>
          <cell r="BA230">
            <v>0</v>
          </cell>
          <cell r="BB230">
            <v>0</v>
          </cell>
          <cell r="BC230">
            <v>0.13449999999999998</v>
          </cell>
          <cell r="BD230">
            <v>-1.0408921933085402E-2</v>
          </cell>
        </row>
        <row r="231">
          <cell r="A231" t="str">
            <v>4Q99</v>
          </cell>
          <cell r="B231">
            <v>6.2800000000000009E-2</v>
          </cell>
          <cell r="C231">
            <v>0.35053763440860219</v>
          </cell>
          <cell r="D231">
            <v>9037.2000000000007</v>
          </cell>
          <cell r="E231">
            <v>4.6032756525262064E-2</v>
          </cell>
          <cell r="F231">
            <v>6439.68</v>
          </cell>
          <cell r="G231">
            <v>3.4220923136222048E-2</v>
          </cell>
          <cell r="H231">
            <v>30592.346221547654</v>
          </cell>
          <cell r="I231">
            <v>2.6318545092219203E-2</v>
          </cell>
          <cell r="J231">
            <v>-1.9714211433042861E-2</v>
          </cell>
          <cell r="K231">
            <v>4759.9620000000004</v>
          </cell>
          <cell r="L231">
            <v>9.9696102562728317E-2</v>
          </cell>
          <cell r="M231">
            <v>595.61018999999999</v>
          </cell>
          <cell r="N231">
            <v>2829.5059918445913</v>
          </cell>
          <cell r="O231">
            <v>5.4513066337038563E-2</v>
          </cell>
          <cell r="P231">
            <v>6.2632534646740901E-2</v>
          </cell>
          <cell r="Q231">
            <v>1.6599778121478836E-2</v>
          </cell>
          <cell r="R231">
            <v>798.04731000000004</v>
          </cell>
          <cell r="S231">
            <v>7.7686663136619316E-2</v>
          </cell>
          <cell r="T231">
            <v>1393.6575</v>
          </cell>
          <cell r="U231">
            <v>0.21641719774895646</v>
          </cell>
          <cell r="V231">
            <v>3.5756527413059125E-2</v>
          </cell>
          <cell r="W231">
            <v>6620.7098418332198</v>
          </cell>
          <cell r="X231">
            <v>7.1201071925501846E-2</v>
          </cell>
          <cell r="Y231">
            <v>6.3016132284340332E-2</v>
          </cell>
          <cell r="Z231">
            <v>2.5168315400239782E-2</v>
          </cell>
          <cell r="AA231">
            <v>7.1201071925501846E-2</v>
          </cell>
          <cell r="AB231">
            <v>1281.5809999999999</v>
          </cell>
          <cell r="AC231">
            <v>29906.931999999997</v>
          </cell>
          <cell r="AD231">
            <v>0.14207588236811186</v>
          </cell>
          <cell r="AE231">
            <v>210.49970974322412</v>
          </cell>
          <cell r="AF231">
            <v>6.0882791789277201E-3</v>
          </cell>
          <cell r="AG231">
            <v>-5.1013898022258521</v>
          </cell>
          <cell r="AH231">
            <v>-9.4748589956791293E-2</v>
          </cell>
          <cell r="AI231">
            <v>-5.1013898022258521</v>
          </cell>
          <cell r="AJ231">
            <v>-9.0398411301240489E-2</v>
          </cell>
          <cell r="AM231">
            <v>4.0899999999999999E-2</v>
          </cell>
          <cell r="AN231">
            <v>-7.7594726034896339E-2</v>
          </cell>
          <cell r="AO231">
            <v>-7.4660633484162853E-2</v>
          </cell>
          <cell r="AP231">
            <v>234.48</v>
          </cell>
          <cell r="AQ231">
            <v>6.4366772582841403E-2</v>
          </cell>
          <cell r="AR231">
            <v>6.6E-3</v>
          </cell>
          <cell r="AS231">
            <v>2.2400000000000003E-2</v>
          </cell>
          <cell r="AT231">
            <v>4.41E-2</v>
          </cell>
          <cell r="AU231">
            <v>1.4000000000000002E-3</v>
          </cell>
          <cell r="AV231">
            <v>4.5199999999999997E-2</v>
          </cell>
          <cell r="AW231">
            <v>141.69999999999999</v>
          </cell>
          <cell r="AX231">
            <v>0.79299999999999993</v>
          </cell>
          <cell r="AZ231">
            <v>7.5800000000000006E-2</v>
          </cell>
          <cell r="BA231">
            <v>1.3210039630118242E-3</v>
          </cell>
          <cell r="BB231">
            <v>1.3201322049228162E-3</v>
          </cell>
          <cell r="BC231">
            <v>0.1351</v>
          </cell>
          <cell r="BD231">
            <v>-1.6284233900814238E-2</v>
          </cell>
        </row>
        <row r="232">
          <cell r="A232" t="str">
            <v>1Q00</v>
          </cell>
          <cell r="B232">
            <v>6.2600000000000003E-2</v>
          </cell>
          <cell r="C232">
            <v>0.19694072657743766</v>
          </cell>
          <cell r="D232">
            <v>9158.2000000000007</v>
          </cell>
          <cell r="E232">
            <v>5.054143342204287E-2</v>
          </cell>
          <cell r="F232">
            <v>6463.24</v>
          </cell>
          <cell r="G232">
            <v>2.8665649127106896E-2</v>
          </cell>
          <cell r="H232">
            <v>30636.381036480965</v>
          </cell>
          <cell r="I232">
            <v>1.9506071192801233E-2</v>
          </cell>
          <cell r="J232">
            <v>-3.1035362229241636E-2</v>
          </cell>
          <cell r="M232">
            <v>615.5</v>
          </cell>
          <cell r="N232">
            <v>2917.5293704015376</v>
          </cell>
          <cell r="O232">
            <v>7.5388878959014471E-2</v>
          </cell>
          <cell r="P232">
            <v>8.5050526422267181E-2</v>
          </cell>
          <cell r="Q232">
            <v>3.4509093000224311E-2</v>
          </cell>
          <cell r="R232">
            <v>813.9</v>
          </cell>
          <cell r="S232">
            <v>6.4667448198938215E-2</v>
          </cell>
          <cell r="T232">
            <v>1429.4</v>
          </cell>
          <cell r="U232">
            <v>0.22115842828055282</v>
          </cell>
          <cell r="V232">
            <v>4.3438905911920234E-2</v>
          </cell>
          <cell r="W232">
            <v>6775.4938782322633</v>
          </cell>
          <cell r="X232">
            <v>7.3349759474363507E-2</v>
          </cell>
          <cell r="Y232">
            <v>6.3792299495976756E-2</v>
          </cell>
          <cell r="Z232">
            <v>2.2808326052320638E-2</v>
          </cell>
          <cell r="AA232">
            <v>7.3349759474363507E-2</v>
          </cell>
          <cell r="AB232">
            <v>1263.096</v>
          </cell>
          <cell r="AC232">
            <v>30298.108999999997</v>
          </cell>
          <cell r="AD232">
            <v>0.14361595917973544</v>
          </cell>
          <cell r="AE232">
            <v>210.96617098161008</v>
          </cell>
          <cell r="AF232">
            <v>5.9871968767452486E-3</v>
          </cell>
          <cell r="AG232">
            <v>-5.1181319435399626</v>
          </cell>
          <cell r="AH232">
            <v>-9.6063055236729269E-2</v>
          </cell>
          <cell r="AI232">
            <v>-5.1181319435399626</v>
          </cell>
          <cell r="AJ232">
            <v>-9.1593265538915447E-2</v>
          </cell>
          <cell r="AN232" t="e">
            <v>#NUM!</v>
          </cell>
          <cell r="AP232">
            <v>237.84</v>
          </cell>
          <cell r="AQ232">
            <v>6.6021245125722716E-2</v>
          </cell>
          <cell r="AR232">
            <v>5.6999999999999993E-3</v>
          </cell>
          <cell r="AS232">
            <v>2.3300000000000001E-2</v>
          </cell>
          <cell r="AT232">
            <v>4.6300000000000001E-2</v>
          </cell>
          <cell r="AU232">
            <v>1.1999999999999999E-3</v>
          </cell>
          <cell r="AV232">
            <v>4.3799999999999999E-2</v>
          </cell>
          <cell r="AW232">
            <v>137.1</v>
          </cell>
          <cell r="AX232">
            <v>0.78400000000000003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>
        <row r="30">
          <cell r="B30">
            <v>0</v>
          </cell>
          <cell r="F30">
            <v>0</v>
          </cell>
          <cell r="G30">
            <v>0</v>
          </cell>
          <cell r="J30">
            <v>0</v>
          </cell>
          <cell r="N30">
            <v>0</v>
          </cell>
          <cell r="O30">
            <v>0</v>
          </cell>
          <cell r="R30">
            <v>0</v>
          </cell>
        </row>
        <row r="31">
          <cell r="B31">
            <v>1</v>
          </cell>
          <cell r="F31">
            <v>1</v>
          </cell>
          <cell r="G31">
            <v>0</v>
          </cell>
          <cell r="J31">
            <v>1</v>
          </cell>
          <cell r="N31">
            <v>1</v>
          </cell>
          <cell r="O31">
            <v>0</v>
          </cell>
          <cell r="R31">
            <v>1</v>
          </cell>
        </row>
        <row r="32">
          <cell r="B32">
            <v>2</v>
          </cell>
          <cell r="F32">
            <v>2</v>
          </cell>
          <cell r="G32">
            <v>0</v>
          </cell>
          <cell r="J32">
            <v>2</v>
          </cell>
          <cell r="N32">
            <v>2</v>
          </cell>
          <cell r="O32">
            <v>0</v>
          </cell>
          <cell r="R32">
            <v>2</v>
          </cell>
        </row>
        <row r="33">
          <cell r="B33">
            <v>3</v>
          </cell>
          <cell r="F33">
            <v>3</v>
          </cell>
          <cell r="G33">
            <v>0</v>
          </cell>
          <cell r="J33">
            <v>3</v>
          </cell>
          <cell r="N33">
            <v>3</v>
          </cell>
          <cell r="O33">
            <v>0</v>
          </cell>
          <cell r="R33">
            <v>3</v>
          </cell>
        </row>
        <row r="34">
          <cell r="B34">
            <v>4</v>
          </cell>
          <cell r="C34">
            <v>0.17965023847376793</v>
          </cell>
          <cell r="F34">
            <v>4</v>
          </cell>
          <cell r="G34">
            <v>0</v>
          </cell>
          <cell r="J34">
            <v>4</v>
          </cell>
          <cell r="K34">
            <v>5.42510121457489E-2</v>
          </cell>
          <cell r="N34">
            <v>4</v>
          </cell>
          <cell r="O34">
            <v>-8.0277512358091219E-3</v>
          </cell>
          <cell r="R34">
            <v>4</v>
          </cell>
          <cell r="S34">
            <v>2.9019607843137063E-2</v>
          </cell>
        </row>
        <row r="35">
          <cell r="B35">
            <v>5</v>
          </cell>
          <cell r="C35">
            <v>9.5628415300545999E-3</v>
          </cell>
          <cell r="F35">
            <v>5</v>
          </cell>
          <cell r="G35">
            <v>0</v>
          </cell>
          <cell r="J35">
            <v>5</v>
          </cell>
          <cell r="K35">
            <v>4.4035228182546016E-2</v>
          </cell>
          <cell r="N35">
            <v>5</v>
          </cell>
          <cell r="O35">
            <v>1.3417033115268984E-2</v>
          </cell>
          <cell r="R35">
            <v>5</v>
          </cell>
          <cell r="S35">
            <v>0.37730061349693278</v>
          </cell>
        </row>
        <row r="36">
          <cell r="B36">
            <v>6</v>
          </cell>
          <cell r="C36">
            <v>-3.5156249999999889E-2</v>
          </cell>
          <cell r="F36">
            <v>6</v>
          </cell>
          <cell r="G36">
            <v>0.19920759499416518</v>
          </cell>
          <cell r="J36">
            <v>6</v>
          </cell>
          <cell r="K36">
            <v>6.1025223759153757E-2</v>
          </cell>
          <cell r="N36">
            <v>6</v>
          </cell>
          <cell r="O36">
            <v>1.3498850110848615E-2</v>
          </cell>
          <cell r="R36">
            <v>6</v>
          </cell>
          <cell r="S36">
            <v>0.33101650738488275</v>
          </cell>
        </row>
        <row r="37">
          <cell r="B37">
            <v>7</v>
          </cell>
          <cell r="C37">
            <v>0.11366711772665772</v>
          </cell>
          <cell r="F37">
            <v>7</v>
          </cell>
          <cell r="G37">
            <v>8.3179298811405733E-2</v>
          </cell>
          <cell r="J37">
            <v>7</v>
          </cell>
          <cell r="K37">
            <v>5.6726094003241023E-3</v>
          </cell>
          <cell r="N37">
            <v>7</v>
          </cell>
          <cell r="O37">
            <v>3.7023122363494698E-2</v>
          </cell>
          <cell r="R37">
            <v>7</v>
          </cell>
          <cell r="S37">
            <v>6.8535825545171569E-2</v>
          </cell>
        </row>
        <row r="38">
          <cell r="B38">
            <v>8</v>
          </cell>
          <cell r="C38">
            <v>0.19137466307277617</v>
          </cell>
          <cell r="F38">
            <v>8</v>
          </cell>
          <cell r="G38">
            <v>2.1611148750711129E-2</v>
          </cell>
          <cell r="J38">
            <v>8</v>
          </cell>
          <cell r="K38">
            <v>-7.2347266881028771E-3</v>
          </cell>
          <cell r="N38">
            <v>8</v>
          </cell>
          <cell r="O38">
            <v>7.4708805151870505E-2</v>
          </cell>
          <cell r="R38">
            <v>8</v>
          </cell>
          <cell r="S38">
            <v>5.6402439024390461E-2</v>
          </cell>
        </row>
        <row r="39">
          <cell r="B39">
            <v>9</v>
          </cell>
          <cell r="C39">
            <v>0.27469553450608952</v>
          </cell>
          <cell r="F39">
            <v>9</v>
          </cell>
          <cell r="G39">
            <v>-1.7190778394867268E-2</v>
          </cell>
          <cell r="J39">
            <v>9</v>
          </cell>
          <cell r="K39">
            <v>1.6038492381715841E-3</v>
          </cell>
          <cell r="N39">
            <v>9</v>
          </cell>
          <cell r="O39">
            <v>6.102331963344465E-2</v>
          </cell>
          <cell r="R39">
            <v>9</v>
          </cell>
          <cell r="S39">
            <v>6.161841128433565E-2</v>
          </cell>
        </row>
        <row r="40">
          <cell r="B40">
            <v>10</v>
          </cell>
          <cell r="C40">
            <v>0.34143049932523595</v>
          </cell>
          <cell r="F40">
            <v>10</v>
          </cell>
          <cell r="G40">
            <v>-2.7830451927506106E-2</v>
          </cell>
          <cell r="J40">
            <v>10</v>
          </cell>
          <cell r="K40">
            <v>-6.4672594987873477E-3</v>
          </cell>
          <cell r="N40">
            <v>10</v>
          </cell>
          <cell r="O40">
            <v>6.4436178383307174E-2</v>
          </cell>
          <cell r="R40">
            <v>10</v>
          </cell>
          <cell r="S40">
            <v>-0.1945169712793734</v>
          </cell>
        </row>
        <row r="41">
          <cell r="B41">
            <v>11</v>
          </cell>
          <cell r="C41">
            <v>0.29647630619684096</v>
          </cell>
          <cell r="F41">
            <v>11</v>
          </cell>
          <cell r="G41">
            <v>-2.7385151338938374E-2</v>
          </cell>
          <cell r="J41">
            <v>11</v>
          </cell>
          <cell r="K41">
            <v>1.6233766233766378E-3</v>
          </cell>
          <cell r="N41">
            <v>11</v>
          </cell>
          <cell r="O41">
            <v>6.2617859457701042E-2</v>
          </cell>
          <cell r="R41">
            <v>11</v>
          </cell>
          <cell r="S41">
            <v>-0.23177842565597684</v>
          </cell>
        </row>
        <row r="42">
          <cell r="B42">
            <v>12</v>
          </cell>
          <cell r="C42">
            <v>0.17533936651583737</v>
          </cell>
          <cell r="F42">
            <v>12</v>
          </cell>
          <cell r="G42">
            <v>-3.1588670700877675E-2</v>
          </cell>
          <cell r="J42">
            <v>12</v>
          </cell>
          <cell r="K42">
            <v>1.0560519902518273E-2</v>
          </cell>
          <cell r="N42">
            <v>12</v>
          </cell>
          <cell r="O42">
            <v>3.6433371355227395E-2</v>
          </cell>
          <cell r="R42">
            <v>12</v>
          </cell>
          <cell r="S42">
            <v>-0.24170274170274175</v>
          </cell>
        </row>
        <row r="43">
          <cell r="B43">
            <v>13</v>
          </cell>
          <cell r="C43">
            <v>7.2186836518046471E-2</v>
          </cell>
          <cell r="F43">
            <v>13</v>
          </cell>
          <cell r="G43">
            <v>-3.2099346350173308E-2</v>
          </cell>
          <cell r="J43">
            <v>13</v>
          </cell>
          <cell r="K43">
            <v>1.464605370219707E-2</v>
          </cell>
          <cell r="N43">
            <v>13</v>
          </cell>
          <cell r="O43">
            <v>2.9559206589232723E-2</v>
          </cell>
          <cell r="R43">
            <v>13</v>
          </cell>
          <cell r="S43">
            <v>-0.24125874125874136</v>
          </cell>
        </row>
        <row r="44">
          <cell r="B44">
            <v>14</v>
          </cell>
          <cell r="C44">
            <v>-5.9356136820925443E-2</v>
          </cell>
          <cell r="F44">
            <v>14</v>
          </cell>
          <cell r="G44">
            <v>-5.1087326988417558E-2</v>
          </cell>
          <cell r="J44">
            <v>14</v>
          </cell>
          <cell r="K44">
            <v>8.1499592502036755E-3</v>
          </cell>
          <cell r="N44">
            <v>14</v>
          </cell>
          <cell r="O44">
            <v>3.6485498111851866E-2</v>
          </cell>
          <cell r="R44">
            <v>14</v>
          </cell>
          <cell r="S44">
            <v>-5.591572123176658E-2</v>
          </cell>
        </row>
        <row r="45">
          <cell r="B45">
            <v>15</v>
          </cell>
          <cell r="C45">
            <v>-0.20056232427366461</v>
          </cell>
          <cell r="F45">
            <v>15</v>
          </cell>
          <cell r="G45">
            <v>-7.8404759788798128E-2</v>
          </cell>
          <cell r="J45">
            <v>15</v>
          </cell>
          <cell r="K45">
            <v>-8.110300081103361E-4</v>
          </cell>
          <cell r="N45">
            <v>15</v>
          </cell>
          <cell r="O45">
            <v>5.2354386902031758E-2</v>
          </cell>
          <cell r="R45">
            <v>15</v>
          </cell>
          <cell r="S45">
            <v>0.12239089184060736</v>
          </cell>
        </row>
        <row r="46">
          <cell r="B46">
            <v>16</v>
          </cell>
          <cell r="C46">
            <v>-0.24350336862367661</v>
          </cell>
          <cell r="F46">
            <v>16</v>
          </cell>
          <cell r="G46">
            <v>-6.6476660777624041E-2</v>
          </cell>
          <cell r="J46">
            <v>16</v>
          </cell>
          <cell r="K46">
            <v>-7.2580645161289814E-3</v>
          </cell>
          <cell r="N46">
            <v>16</v>
          </cell>
          <cell r="O46">
            <v>7.3672519835615846E-2</v>
          </cell>
          <cell r="R46">
            <v>16</v>
          </cell>
          <cell r="S46">
            <v>0.17221693625118939</v>
          </cell>
        </row>
        <row r="47">
          <cell r="B47">
            <v>17</v>
          </cell>
          <cell r="C47">
            <v>-0.26039603960396029</v>
          </cell>
          <cell r="F47">
            <v>17</v>
          </cell>
          <cell r="G47">
            <v>-8.4865635420411922E-2</v>
          </cell>
          <cell r="J47">
            <v>17</v>
          </cell>
          <cell r="K47">
            <v>-1.9936204146730363E-2</v>
          </cell>
          <cell r="N47">
            <v>17</v>
          </cell>
          <cell r="O47">
            <v>0.11212127915521952</v>
          </cell>
          <cell r="R47">
            <v>17</v>
          </cell>
          <cell r="S47">
            <v>0.24976958525345627</v>
          </cell>
        </row>
        <row r="48">
          <cell r="B48">
            <v>18</v>
          </cell>
          <cell r="C48">
            <v>-0.20427807486631011</v>
          </cell>
          <cell r="F48">
            <v>18</v>
          </cell>
          <cell r="G48">
            <v>-5.8142364754115605E-2</v>
          </cell>
          <cell r="J48">
            <v>18</v>
          </cell>
          <cell r="K48">
            <v>-2.9272151898734333E-2</v>
          </cell>
          <cell r="N48">
            <v>18</v>
          </cell>
          <cell r="O48">
            <v>0.12472809557615183</v>
          </cell>
          <cell r="R48">
            <v>18</v>
          </cell>
          <cell r="S48">
            <v>7.4678111587982876E-2</v>
          </cell>
        </row>
        <row r="49">
          <cell r="B49">
            <v>19</v>
          </cell>
          <cell r="C49">
            <v>-0.14654161781946051</v>
          </cell>
          <cell r="F49">
            <v>19</v>
          </cell>
          <cell r="G49">
            <v>-2.9160371476653846E-2</v>
          </cell>
          <cell r="J49">
            <v>19</v>
          </cell>
          <cell r="K49">
            <v>-3.8971161340607852E-2</v>
          </cell>
          <cell r="N49">
            <v>19</v>
          </cell>
          <cell r="O49">
            <v>0.1271229691758109</v>
          </cell>
          <cell r="R49">
            <v>19</v>
          </cell>
          <cell r="S49">
            <v>-2.789518174133554E-2</v>
          </cell>
        </row>
        <row r="50">
          <cell r="B50">
            <v>20</v>
          </cell>
          <cell r="C50">
            <v>-7.5063613231552195E-2</v>
          </cell>
          <cell r="F50">
            <v>20</v>
          </cell>
          <cell r="G50">
            <v>-2.9149318677006653E-2</v>
          </cell>
          <cell r="J50">
            <v>20</v>
          </cell>
          <cell r="K50">
            <v>-5.9893858984078729E-2</v>
          </cell>
          <cell r="N50">
            <v>20</v>
          </cell>
          <cell r="O50">
            <v>0.14347569764585089</v>
          </cell>
          <cell r="R50">
            <v>20</v>
          </cell>
          <cell r="S50">
            <v>-3.7337662337662447E-2</v>
          </cell>
        </row>
        <row r="51">
          <cell r="B51">
            <v>21</v>
          </cell>
          <cell r="C51">
            <v>-2.5435073627844695E-2</v>
          </cell>
          <cell r="F51">
            <v>21</v>
          </cell>
          <cell r="G51">
            <v>4.4455112514145245E-2</v>
          </cell>
          <cell r="J51">
            <v>21</v>
          </cell>
          <cell r="K51">
            <v>-5.7142857142857273E-2</v>
          </cell>
          <cell r="N51">
            <v>21</v>
          </cell>
          <cell r="O51">
            <v>0.13353938287574896</v>
          </cell>
          <cell r="R51">
            <v>21</v>
          </cell>
          <cell r="S51">
            <v>-0.25073746312684364</v>
          </cell>
        </row>
        <row r="52">
          <cell r="B52">
            <v>22</v>
          </cell>
          <cell r="C52">
            <v>-3.2258064516129004E-2</v>
          </cell>
          <cell r="F52">
            <v>22</v>
          </cell>
          <cell r="G52">
            <v>9.634869222787712E-2</v>
          </cell>
          <cell r="J52">
            <v>22</v>
          </cell>
          <cell r="K52">
            <v>-7.3992673992673952E-2</v>
          </cell>
          <cell r="N52">
            <v>22</v>
          </cell>
          <cell r="O52">
            <v>0.12846768167415257</v>
          </cell>
          <cell r="R52">
            <v>22</v>
          </cell>
          <cell r="S52">
            <v>-0.17172523961661357</v>
          </cell>
        </row>
        <row r="53">
          <cell r="B53">
            <v>23</v>
          </cell>
          <cell r="C53">
            <v>-3.1593406593406703E-2</v>
          </cell>
          <cell r="F53">
            <v>23</v>
          </cell>
          <cell r="G53">
            <v>0.18595883706393312</v>
          </cell>
          <cell r="J53">
            <v>23</v>
          </cell>
          <cell r="K53">
            <v>-6.6229985443959194E-2</v>
          </cell>
          <cell r="N53">
            <v>23</v>
          </cell>
          <cell r="O53">
            <v>0.11877466736462239</v>
          </cell>
          <cell r="R53">
            <v>23</v>
          </cell>
          <cell r="S53">
            <v>-0.19478260869565223</v>
          </cell>
        </row>
        <row r="54">
          <cell r="B54">
            <v>24</v>
          </cell>
          <cell r="C54">
            <v>-3.5763411279229773E-2</v>
          </cell>
          <cell r="F54">
            <v>24</v>
          </cell>
          <cell r="G54">
            <v>0.2855871931085936</v>
          </cell>
          <cell r="J54">
            <v>24</v>
          </cell>
          <cell r="K54">
            <v>-4.1424418604651292E-2</v>
          </cell>
          <cell r="N54">
            <v>24</v>
          </cell>
          <cell r="O54">
            <v>9.0430142374239519E-2</v>
          </cell>
          <cell r="R54">
            <v>24</v>
          </cell>
          <cell r="S54">
            <v>-0.34401349072512644</v>
          </cell>
        </row>
        <row r="55">
          <cell r="B55">
            <v>25</v>
          </cell>
          <cell r="C55">
            <v>-1.5109890109890167E-2</v>
          </cell>
          <cell r="F55">
            <v>25</v>
          </cell>
          <cell r="G55">
            <v>0.33281052642558073</v>
          </cell>
          <cell r="J55">
            <v>25</v>
          </cell>
          <cell r="K55">
            <v>-4.1095890410958735E-2</v>
          </cell>
          <cell r="N55">
            <v>25</v>
          </cell>
          <cell r="O55">
            <v>8.3979140471877267E-2</v>
          </cell>
          <cell r="R55">
            <v>25</v>
          </cell>
          <cell r="S55">
            <v>-0.23228346456692905</v>
          </cell>
        </row>
        <row r="56">
          <cell r="B56">
            <v>26</v>
          </cell>
          <cell r="C56">
            <v>-3.0555555555555669E-2</v>
          </cell>
          <cell r="F56">
            <v>26</v>
          </cell>
          <cell r="G56">
            <v>0.35025809583374379</v>
          </cell>
          <cell r="J56">
            <v>26</v>
          </cell>
          <cell r="K56">
            <v>-2.5695931477516032E-2</v>
          </cell>
          <cell r="N56">
            <v>26</v>
          </cell>
          <cell r="O56">
            <v>7.7068341942618135E-2</v>
          </cell>
          <cell r="R56">
            <v>26</v>
          </cell>
          <cell r="S56">
            <v>-0.28158148505303759</v>
          </cell>
        </row>
        <row r="57">
          <cell r="B57">
            <v>27</v>
          </cell>
          <cell r="C57">
            <v>-3.1205673758865182E-2</v>
          </cell>
          <cell r="F57">
            <v>27</v>
          </cell>
          <cell r="G57">
            <v>0.30118068273065757</v>
          </cell>
          <cell r="J57">
            <v>27</v>
          </cell>
          <cell r="K57">
            <v>-3.1029619181946466E-2</v>
          </cell>
          <cell r="N57">
            <v>27</v>
          </cell>
          <cell r="O57">
            <v>6.2350597103917327E-2</v>
          </cell>
          <cell r="R57">
            <v>27</v>
          </cell>
          <cell r="S57">
            <v>-0.23218142548596121</v>
          </cell>
        </row>
        <row r="58">
          <cell r="B58">
            <v>28</v>
          </cell>
          <cell r="C58">
            <v>-5.706134094151194E-2</v>
          </cell>
          <cell r="F58">
            <v>28</v>
          </cell>
          <cell r="G58">
            <v>0.23827618575392528</v>
          </cell>
          <cell r="J58">
            <v>28</v>
          </cell>
          <cell r="K58">
            <v>-1.2203876525484603E-2</v>
          </cell>
          <cell r="N58">
            <v>28</v>
          </cell>
          <cell r="O58">
            <v>3.3763200891397283E-2</v>
          </cell>
          <cell r="R58">
            <v>28</v>
          </cell>
          <cell r="S58">
            <v>-6.8123393316195546E-2</v>
          </cell>
        </row>
        <row r="59">
          <cell r="B59">
            <v>29</v>
          </cell>
          <cell r="C59">
            <v>-0.12552301255230136</v>
          </cell>
          <cell r="F59">
            <v>29</v>
          </cell>
          <cell r="G59">
            <v>0.16439405046150823</v>
          </cell>
          <cell r="J59">
            <v>29</v>
          </cell>
          <cell r="K59">
            <v>-1.2108262108262213E-2</v>
          </cell>
          <cell r="N59">
            <v>29</v>
          </cell>
          <cell r="O59">
            <v>1.796089126469802E-2</v>
          </cell>
          <cell r="R59">
            <v>29</v>
          </cell>
          <cell r="S59">
            <v>7.6923076923077094E-2</v>
          </cell>
        </row>
        <row r="60">
          <cell r="B60">
            <v>30</v>
          </cell>
          <cell r="C60">
            <v>-0.14040114613180521</v>
          </cell>
          <cell r="F60">
            <v>30</v>
          </cell>
          <cell r="G60">
            <v>0.11047051438418354</v>
          </cell>
          <cell r="J60">
            <v>30</v>
          </cell>
          <cell r="K60">
            <v>1.0822510822510845E-2</v>
          </cell>
          <cell r="N60">
            <v>30</v>
          </cell>
          <cell r="O60">
            <v>1.2819560337931968E-2</v>
          </cell>
          <cell r="R60">
            <v>30</v>
          </cell>
          <cell r="S60">
            <v>0.26442953020134241</v>
          </cell>
        </row>
        <row r="61">
          <cell r="B61">
            <v>31</v>
          </cell>
          <cell r="C61">
            <v>-0.14202049780380666</v>
          </cell>
          <cell r="F61">
            <v>31</v>
          </cell>
          <cell r="G61">
            <v>8.5034779561013574E-2</v>
          </cell>
          <cell r="J61">
            <v>31</v>
          </cell>
          <cell r="K61">
            <v>3.4281546316557332E-2</v>
          </cell>
          <cell r="N61">
            <v>31</v>
          </cell>
          <cell r="O61">
            <v>1.5653843389538125E-3</v>
          </cell>
          <cell r="R61">
            <v>31</v>
          </cell>
          <cell r="S61">
            <v>0.26441631504922669</v>
          </cell>
        </row>
        <row r="62">
          <cell r="B62">
            <v>32</v>
          </cell>
          <cell r="C62">
            <v>-0.13464447806354018</v>
          </cell>
          <cell r="F62">
            <v>32</v>
          </cell>
          <cell r="G62">
            <v>8.5677133850063925E-2</v>
          </cell>
          <cell r="J62">
            <v>32</v>
          </cell>
          <cell r="K62">
            <v>2.2760646108663796E-2</v>
          </cell>
          <cell r="N62">
            <v>32</v>
          </cell>
          <cell r="O62">
            <v>2.9609288327158145E-2</v>
          </cell>
          <cell r="R62">
            <v>32</v>
          </cell>
          <cell r="S62">
            <v>0.15448275862068961</v>
          </cell>
        </row>
        <row r="63">
          <cell r="B63">
            <v>33</v>
          </cell>
          <cell r="C63">
            <v>-0.12599681020733644</v>
          </cell>
          <cell r="F63">
            <v>33</v>
          </cell>
          <cell r="G63">
            <v>0.10142951886723539</v>
          </cell>
          <cell r="J63">
            <v>33</v>
          </cell>
          <cell r="K63">
            <v>3.3112582781456901E-2</v>
          </cell>
          <cell r="N63">
            <v>33</v>
          </cell>
          <cell r="O63">
            <v>2.8157374506049715E-2</v>
          </cell>
          <cell r="R63">
            <v>33</v>
          </cell>
          <cell r="S63">
            <v>6.1904761904761907E-2</v>
          </cell>
        </row>
        <row r="64">
          <cell r="B64">
            <v>34</v>
          </cell>
          <cell r="C64">
            <v>-8.6666666666666559E-2</v>
          </cell>
          <cell r="F64">
            <v>34</v>
          </cell>
          <cell r="G64">
            <v>0.10591531430106582</v>
          </cell>
          <cell r="J64">
            <v>34</v>
          </cell>
          <cell r="K64">
            <v>2.6666666666666616E-2</v>
          </cell>
          <cell r="N64">
            <v>34</v>
          </cell>
          <cell r="O64">
            <v>2.4272351332591979E-2</v>
          </cell>
          <cell r="R64">
            <v>34</v>
          </cell>
          <cell r="S64">
            <v>-4.6709129511677272E-2</v>
          </cell>
        </row>
        <row r="65">
          <cell r="B65">
            <v>35</v>
          </cell>
          <cell r="C65">
            <v>-8.8737201365187923E-2</v>
          </cell>
          <cell r="F65">
            <v>35</v>
          </cell>
          <cell r="G65">
            <v>0.10464083708317218</v>
          </cell>
          <cell r="J65">
            <v>35</v>
          </cell>
          <cell r="K65">
            <v>2.6966292134831482E-2</v>
          </cell>
          <cell r="N65">
            <v>35</v>
          </cell>
          <cell r="O65">
            <v>2.5750909163810398E-2</v>
          </cell>
          <cell r="R65">
            <v>35</v>
          </cell>
          <cell r="S65">
            <v>1.3348164627363657E-2</v>
          </cell>
        </row>
        <row r="66">
          <cell r="B66">
            <v>36</v>
          </cell>
          <cell r="C66">
            <v>-8.9160839160839167E-2</v>
          </cell>
          <cell r="F66">
            <v>36</v>
          </cell>
          <cell r="G66">
            <v>8.9725564348367204E-2</v>
          </cell>
          <cell r="J66">
            <v>36</v>
          </cell>
          <cell r="K66">
            <v>3.0257186081694254E-2</v>
          </cell>
          <cell r="N66">
            <v>36</v>
          </cell>
          <cell r="O66">
            <v>3.8956378247273271E-2</v>
          </cell>
          <cell r="R66">
            <v>36</v>
          </cell>
          <cell r="S66">
            <v>0.11827956989247301</v>
          </cell>
        </row>
        <row r="67">
          <cell r="B67">
            <v>37</v>
          </cell>
          <cell r="C67">
            <v>-4.5620437956204296E-2</v>
          </cell>
          <cell r="F67">
            <v>37</v>
          </cell>
          <cell r="G67">
            <v>9.3696167144195597E-2</v>
          </cell>
          <cell r="J67">
            <v>37</v>
          </cell>
          <cell r="K67">
            <v>1.6454749439042793E-2</v>
          </cell>
          <cell r="N67">
            <v>37</v>
          </cell>
          <cell r="O67">
            <v>4.5470324918685634E-2</v>
          </cell>
          <cell r="R67">
            <v>37</v>
          </cell>
          <cell r="S67">
            <v>-7.1748878923766801E-2</v>
          </cell>
        </row>
        <row r="68">
          <cell r="B68">
            <v>38</v>
          </cell>
          <cell r="C68">
            <v>-3.8321167883211715E-2</v>
          </cell>
          <cell r="F68">
            <v>38</v>
          </cell>
          <cell r="G68">
            <v>9.3734606565573531E-2</v>
          </cell>
          <cell r="J68">
            <v>38</v>
          </cell>
          <cell r="K68">
            <v>7.41289844329307E-4</v>
          </cell>
          <cell r="N68">
            <v>38</v>
          </cell>
          <cell r="O68">
            <v>4.3635533383041825E-2</v>
          </cell>
          <cell r="R68">
            <v>38</v>
          </cell>
          <cell r="S68">
            <v>-8.7973273942093533E-2</v>
          </cell>
        </row>
        <row r="69">
          <cell r="B69">
            <v>39</v>
          </cell>
          <cell r="C69">
            <v>3.7453183520599342E-3</v>
          </cell>
          <cell r="F69">
            <v>39</v>
          </cell>
          <cell r="G69">
            <v>0.11125776411293997</v>
          </cell>
          <cell r="J69">
            <v>39</v>
          </cell>
          <cell r="K69">
            <v>-1.1843079200592133E-2</v>
          </cell>
          <cell r="N69">
            <v>39</v>
          </cell>
          <cell r="O69">
            <v>5.7279483607529436E-2</v>
          </cell>
          <cell r="R69">
            <v>39</v>
          </cell>
          <cell r="S69">
            <v>-0.13940724478594957</v>
          </cell>
        </row>
        <row r="70">
          <cell r="B70">
            <v>40</v>
          </cell>
          <cell r="C70">
            <v>1.7274472168905985E-2</v>
          </cell>
          <cell r="F70">
            <v>40</v>
          </cell>
          <cell r="G70">
            <v>0.12908810945865024</v>
          </cell>
          <cell r="J70">
            <v>40</v>
          </cell>
          <cell r="K70">
            <v>-8.2520630157538744E-3</v>
          </cell>
          <cell r="N70">
            <v>40</v>
          </cell>
          <cell r="O70">
            <v>2.1397965837437694E-2</v>
          </cell>
          <cell r="R70">
            <v>40</v>
          </cell>
          <cell r="S70">
            <v>-8.2264957264957084E-2</v>
          </cell>
        </row>
        <row r="71">
          <cell r="B71">
            <v>41</v>
          </cell>
          <cell r="C71">
            <v>2.1032504780114536E-2</v>
          </cell>
          <cell r="F71">
            <v>41</v>
          </cell>
          <cell r="G71">
            <v>0.12859273076284827</v>
          </cell>
          <cell r="J71">
            <v>41</v>
          </cell>
          <cell r="K71">
            <v>7.5357950263752471E-3</v>
          </cell>
          <cell r="N71">
            <v>41</v>
          </cell>
          <cell r="O71">
            <v>1.189779231845689E-2</v>
          </cell>
          <cell r="R71">
            <v>41</v>
          </cell>
          <cell r="S71">
            <v>2.4154589371980784E-2</v>
          </cell>
        </row>
        <row r="72">
          <cell r="B72">
            <v>42</v>
          </cell>
          <cell r="C72">
            <v>7.9696394686907146E-2</v>
          </cell>
          <cell r="F72">
            <v>42</v>
          </cell>
          <cell r="G72">
            <v>0.14292821119189214</v>
          </cell>
          <cell r="J72">
            <v>42</v>
          </cell>
          <cell r="K72">
            <v>1.9652305366590905E-2</v>
          </cell>
          <cell r="N72">
            <v>42</v>
          </cell>
          <cell r="O72">
            <v>1.700136906159222E-2</v>
          </cell>
          <cell r="R72">
            <v>42</v>
          </cell>
          <cell r="S72">
            <v>8.5470085470085611E-2</v>
          </cell>
        </row>
        <row r="73">
          <cell r="B73">
            <v>43</v>
          </cell>
          <cell r="C73">
            <v>0.1399253731343284</v>
          </cell>
          <cell r="F73">
            <v>43</v>
          </cell>
          <cell r="G73">
            <v>0.15416856362763287</v>
          </cell>
          <cell r="J73">
            <v>43</v>
          </cell>
          <cell r="K73">
            <v>1.9622641509433825E-2</v>
          </cell>
          <cell r="N73">
            <v>43</v>
          </cell>
          <cell r="O73">
            <v>8.7747563733102663E-3</v>
          </cell>
          <cell r="R73">
            <v>43</v>
          </cell>
          <cell r="S73">
            <v>3.0612244897959107E-2</v>
          </cell>
        </row>
        <row r="74">
          <cell r="B74">
            <v>44</v>
          </cell>
          <cell r="C74">
            <v>0.23962264150943424</v>
          </cell>
          <cell r="F74">
            <v>44</v>
          </cell>
          <cell r="G74">
            <v>0.18647919623868692</v>
          </cell>
          <cell r="J74">
            <v>44</v>
          </cell>
          <cell r="K74">
            <v>1.6006097560975707E-2</v>
          </cell>
          <cell r="N74">
            <v>44</v>
          </cell>
          <cell r="O74">
            <v>2.0609039666689255E-2</v>
          </cell>
          <cell r="R74">
            <v>44</v>
          </cell>
          <cell r="S74">
            <v>-5.5878928987194598E-2</v>
          </cell>
        </row>
        <row r="75">
          <cell r="B75">
            <v>45</v>
          </cell>
          <cell r="C75">
            <v>0.27715355805243447</v>
          </cell>
          <cell r="F75">
            <v>45</v>
          </cell>
          <cell r="G75">
            <v>0.2184877136497323</v>
          </cell>
          <cell r="J75">
            <v>45</v>
          </cell>
          <cell r="K75">
            <v>2.9480217222652927E-2</v>
          </cell>
          <cell r="N75">
            <v>45</v>
          </cell>
          <cell r="O75">
            <v>9.0854383554138662E-3</v>
          </cell>
          <cell r="R75">
            <v>45</v>
          </cell>
          <cell r="S75">
            <v>-2.3584905660377409E-2</v>
          </cell>
        </row>
        <row r="76">
          <cell r="B76">
            <v>46</v>
          </cell>
          <cell r="C76">
            <v>0.20386643233743373</v>
          </cell>
          <cell r="F76">
            <v>46</v>
          </cell>
          <cell r="G76">
            <v>0.22689893115599991</v>
          </cell>
          <cell r="J76">
            <v>46</v>
          </cell>
          <cell r="K76">
            <v>3.7647058823529367E-2</v>
          </cell>
          <cell r="N76">
            <v>46</v>
          </cell>
          <cell r="O76">
            <v>-1.0555451737339516E-2</v>
          </cell>
          <cell r="R76">
            <v>46</v>
          </cell>
          <cell r="S76">
            <v>-0.13948256467941511</v>
          </cell>
        </row>
        <row r="77">
          <cell r="B77">
            <v>47</v>
          </cell>
          <cell r="C77">
            <v>0.16202945990180018</v>
          </cell>
          <cell r="F77">
            <v>47</v>
          </cell>
          <cell r="G77">
            <v>0.20364551654366192</v>
          </cell>
          <cell r="J77">
            <v>47</v>
          </cell>
          <cell r="K77">
            <v>5.4097056483691341E-2</v>
          </cell>
          <cell r="N77">
            <v>47</v>
          </cell>
          <cell r="O77">
            <v>-2.374969250381076E-2</v>
          </cell>
          <cell r="R77">
            <v>47</v>
          </cell>
          <cell r="S77">
            <v>-0.12252475247524741</v>
          </cell>
        </row>
        <row r="78">
          <cell r="B78">
            <v>48</v>
          </cell>
          <cell r="C78">
            <v>0.12328767123287654</v>
          </cell>
          <cell r="F78">
            <v>48</v>
          </cell>
          <cell r="G78">
            <v>0.15772715239979274</v>
          </cell>
          <cell r="J78">
            <v>48</v>
          </cell>
          <cell r="K78">
            <v>6.4935064935064846E-2</v>
          </cell>
          <cell r="N78">
            <v>48</v>
          </cell>
          <cell r="O78">
            <v>-3.6475360453889327E-2</v>
          </cell>
          <cell r="R78">
            <v>48</v>
          </cell>
          <cell r="S78">
            <v>-7.0283600493218246E-2</v>
          </cell>
        </row>
        <row r="79">
          <cell r="B79">
            <v>49</v>
          </cell>
          <cell r="C79">
            <v>0.11436950146627578</v>
          </cell>
          <cell r="F79">
            <v>49</v>
          </cell>
          <cell r="G79">
            <v>9.7204587639565965E-2</v>
          </cell>
          <cell r="J79">
            <v>49</v>
          </cell>
          <cell r="K79">
            <v>6.5289256198347356E-2</v>
          </cell>
          <cell r="N79">
            <v>49</v>
          </cell>
          <cell r="O79">
            <v>-4.0471112829192357E-2</v>
          </cell>
          <cell r="R79">
            <v>49</v>
          </cell>
          <cell r="S79">
            <v>-0.12318840579710144</v>
          </cell>
        </row>
        <row r="80">
          <cell r="B80">
            <v>50</v>
          </cell>
          <cell r="C80">
            <v>0.11386861313868613</v>
          </cell>
          <cell r="F80">
            <v>50</v>
          </cell>
          <cell r="G80">
            <v>5.7467159074693352E-2</v>
          </cell>
          <cell r="J80">
            <v>50</v>
          </cell>
          <cell r="K80">
            <v>6.3386155129274258E-2</v>
          </cell>
          <cell r="N80">
            <v>50</v>
          </cell>
          <cell r="O80">
            <v>-3.673233388391095E-2</v>
          </cell>
          <cell r="R80">
            <v>50</v>
          </cell>
          <cell r="S80">
            <v>-0.16078431372549029</v>
          </cell>
        </row>
        <row r="81">
          <cell r="B81">
            <v>51</v>
          </cell>
          <cell r="C81">
            <v>4.3661971830986079E-2</v>
          </cell>
          <cell r="F81">
            <v>51</v>
          </cell>
          <cell r="G81">
            <v>2.3345188611986201E-2</v>
          </cell>
          <cell r="J81">
            <v>51</v>
          </cell>
          <cell r="K81">
            <v>7.4358974358974539E-2</v>
          </cell>
          <cell r="N81">
            <v>51</v>
          </cell>
          <cell r="O81">
            <v>-3.3598184871515224E-2</v>
          </cell>
          <cell r="R81">
            <v>51</v>
          </cell>
          <cell r="S81">
            <v>-4.5133991537376739E-2</v>
          </cell>
        </row>
        <row r="82">
          <cell r="B82">
            <v>52</v>
          </cell>
          <cell r="C82">
            <v>-3.1165311653116534E-2</v>
          </cell>
          <cell r="F82">
            <v>52</v>
          </cell>
          <cell r="G82">
            <v>-3.346361839196843E-2</v>
          </cell>
          <cell r="J82">
            <v>52</v>
          </cell>
          <cell r="K82">
            <v>3.61648444070648E-2</v>
          </cell>
          <cell r="N82">
            <v>52</v>
          </cell>
          <cell r="O82">
            <v>-1.5537969036046873E-2</v>
          </cell>
          <cell r="R82">
            <v>52</v>
          </cell>
          <cell r="S82">
            <v>-0.20689655172413779</v>
          </cell>
        </row>
        <row r="83">
          <cell r="B83">
            <v>53</v>
          </cell>
          <cell r="C83">
            <v>-6.9736842105263097E-2</v>
          </cell>
          <cell r="F83">
            <v>53</v>
          </cell>
          <cell r="G83">
            <v>-6.1914593981629684E-2</v>
          </cell>
          <cell r="J83">
            <v>53</v>
          </cell>
          <cell r="K83">
            <v>3.6846615252784876E-2</v>
          </cell>
          <cell r="N83">
            <v>53</v>
          </cell>
          <cell r="O83">
            <v>3.8875296057805375E-3</v>
          </cell>
          <cell r="R83">
            <v>53</v>
          </cell>
          <cell r="S83">
            <v>-0.17906336088154262</v>
          </cell>
        </row>
        <row r="84">
          <cell r="B84">
            <v>54</v>
          </cell>
          <cell r="C84">
            <v>-0.10878112712975085</v>
          </cell>
          <cell r="F84">
            <v>54</v>
          </cell>
          <cell r="G84">
            <v>-8.9639267017491919E-2</v>
          </cell>
          <cell r="J84">
            <v>54</v>
          </cell>
          <cell r="K84">
            <v>2.3911187019641345E-2</v>
          </cell>
          <cell r="N84">
            <v>54</v>
          </cell>
          <cell r="O84">
            <v>2.5508518037470784E-2</v>
          </cell>
          <cell r="R84">
            <v>54</v>
          </cell>
          <cell r="S84">
            <v>-0.16510903426791268</v>
          </cell>
        </row>
        <row r="85">
          <cell r="B85">
            <v>55</v>
          </cell>
          <cell r="C85">
            <v>-0.10661268556005399</v>
          </cell>
          <cell r="F85">
            <v>55</v>
          </cell>
          <cell r="G85">
            <v>-0.10593425195499306</v>
          </cell>
          <cell r="J85">
            <v>55</v>
          </cell>
          <cell r="K85">
            <v>8.6206896551723755E-3</v>
          </cell>
          <cell r="N85">
            <v>55</v>
          </cell>
          <cell r="O85">
            <v>4.6872312093795276E-2</v>
          </cell>
          <cell r="R85">
            <v>55</v>
          </cell>
          <cell r="S85">
            <v>-0.14771048744460857</v>
          </cell>
        </row>
        <row r="86">
          <cell r="B86">
            <v>56</v>
          </cell>
          <cell r="C86">
            <v>-8.2517482517482699E-2</v>
          </cell>
          <cell r="F86">
            <v>56</v>
          </cell>
          <cell r="G86">
            <v>-9.2285209264629908E-2</v>
          </cell>
          <cell r="J86">
            <v>56</v>
          </cell>
          <cell r="K86">
            <v>9.3378607809848635E-3</v>
          </cell>
          <cell r="N86">
            <v>56</v>
          </cell>
          <cell r="O86">
            <v>5.9820181163754205E-2</v>
          </cell>
          <cell r="R86">
            <v>56</v>
          </cell>
          <cell r="S86">
            <v>8.3612040133779431E-2</v>
          </cell>
        </row>
        <row r="87">
          <cell r="B87">
            <v>57</v>
          </cell>
          <cell r="C87">
            <v>-0.12729844413012736</v>
          </cell>
          <cell r="F87">
            <v>57</v>
          </cell>
          <cell r="G87">
            <v>-8.340328316123613E-2</v>
          </cell>
          <cell r="J87">
            <v>57</v>
          </cell>
          <cell r="K87">
            <v>-4.2662116040956821E-3</v>
          </cell>
          <cell r="N87">
            <v>57</v>
          </cell>
          <cell r="O87">
            <v>7.8563138185111958E-2</v>
          </cell>
          <cell r="R87">
            <v>57</v>
          </cell>
          <cell r="S87">
            <v>0.19127516778523468</v>
          </cell>
        </row>
        <row r="88">
          <cell r="B88">
            <v>58</v>
          </cell>
          <cell r="C88">
            <v>-0.11764705882352955</v>
          </cell>
          <cell r="F88">
            <v>58</v>
          </cell>
          <cell r="G88">
            <v>-6.7482990141969568E-2</v>
          </cell>
          <cell r="J88">
            <v>58</v>
          </cell>
          <cell r="K88">
            <v>-1.1814345991561059E-2</v>
          </cell>
          <cell r="N88">
            <v>58</v>
          </cell>
          <cell r="O88">
            <v>9.4895611378831513E-2</v>
          </cell>
          <cell r="R88">
            <v>58</v>
          </cell>
          <cell r="S88">
            <v>0.39179104477611926</v>
          </cell>
        </row>
        <row r="89">
          <cell r="B89">
            <v>59</v>
          </cell>
          <cell r="C89">
            <v>-0.15105740181268879</v>
          </cell>
          <cell r="F89">
            <v>59</v>
          </cell>
          <cell r="G89">
            <v>-4.8608927282393855E-2</v>
          </cell>
          <cell r="J89">
            <v>59</v>
          </cell>
          <cell r="K89">
            <v>-3.4138218151540389E-2</v>
          </cell>
          <cell r="N89">
            <v>59</v>
          </cell>
          <cell r="O89">
            <v>0.10427938729296748</v>
          </cell>
          <cell r="R89">
            <v>59</v>
          </cell>
          <cell r="S89">
            <v>0.35355285961871763</v>
          </cell>
        </row>
        <row r="90">
          <cell r="B90">
            <v>60</v>
          </cell>
          <cell r="C90">
            <v>-0.16463414634146334</v>
          </cell>
          <cell r="F90">
            <v>60</v>
          </cell>
          <cell r="G90">
            <v>-2.4051411636884623E-2</v>
          </cell>
          <cell r="J90">
            <v>60</v>
          </cell>
          <cell r="K90">
            <v>-2.9654036243822235E-2</v>
          </cell>
          <cell r="N90">
            <v>60</v>
          </cell>
          <cell r="O90">
            <v>0.11676453119697205</v>
          </cell>
          <cell r="R90">
            <v>60</v>
          </cell>
          <cell r="S90">
            <v>0.11111111111111116</v>
          </cell>
        </row>
        <row r="91">
          <cell r="B91">
            <v>61</v>
          </cell>
          <cell r="C91">
            <v>-7.9416531604538099E-2</v>
          </cell>
          <cell r="F91">
            <v>61</v>
          </cell>
          <cell r="G91">
            <v>1.3392564999510137E-2</v>
          </cell>
          <cell r="J91">
            <v>61</v>
          </cell>
          <cell r="K91">
            <v>-5.7877813504823017E-2</v>
          </cell>
          <cell r="N91">
            <v>61</v>
          </cell>
          <cell r="O91">
            <v>0.12708149279659731</v>
          </cell>
          <cell r="R91">
            <v>61</v>
          </cell>
          <cell r="S91">
            <v>-0.13098591549295768</v>
          </cell>
        </row>
        <row r="92">
          <cell r="B92">
            <v>62</v>
          </cell>
          <cell r="C92">
            <v>-5.6666666666666532E-2</v>
          </cell>
          <cell r="F92">
            <v>62</v>
          </cell>
          <cell r="G92">
            <v>5.2450142189006455E-2</v>
          </cell>
          <cell r="J92">
            <v>62</v>
          </cell>
          <cell r="K92">
            <v>-5.8776806989674468E-2</v>
          </cell>
          <cell r="N92">
            <v>62</v>
          </cell>
          <cell r="O92">
            <v>0.12295889296767171</v>
          </cell>
          <cell r="R92">
            <v>62</v>
          </cell>
          <cell r="S92">
            <v>-0.16890080428954424</v>
          </cell>
        </row>
        <row r="93">
          <cell r="B93">
            <v>63</v>
          </cell>
          <cell r="C93">
            <v>-8.8967971530249379E-3</v>
          </cell>
          <cell r="F93">
            <v>63</v>
          </cell>
          <cell r="G93">
            <v>0.11002293185662815</v>
          </cell>
          <cell r="J93">
            <v>63</v>
          </cell>
          <cell r="K93">
            <v>-5.4330708661417315E-2</v>
          </cell>
          <cell r="N93">
            <v>63</v>
          </cell>
          <cell r="O93">
            <v>0.1194330988374146</v>
          </cell>
          <cell r="R93">
            <v>63</v>
          </cell>
          <cell r="S93">
            <v>-0.26888604353393086</v>
          </cell>
        </row>
        <row r="94">
          <cell r="B94">
            <v>64</v>
          </cell>
          <cell r="C94">
            <v>1.4598540145985384E-2</v>
          </cell>
          <cell r="F94">
            <v>64</v>
          </cell>
          <cell r="G94">
            <v>0.16633985051982636</v>
          </cell>
          <cell r="J94">
            <v>64</v>
          </cell>
          <cell r="K94">
            <v>-5.4517133956386132E-2</v>
          </cell>
          <cell r="N94">
            <v>64</v>
          </cell>
          <cell r="O94">
            <v>0.10398683344168735</v>
          </cell>
          <cell r="R94">
            <v>64</v>
          </cell>
          <cell r="S94">
            <v>-0.12916666666666687</v>
          </cell>
        </row>
        <row r="95">
          <cell r="B95">
            <v>65</v>
          </cell>
          <cell r="C95">
            <v>-3.6971830985915499E-2</v>
          </cell>
          <cell r="F95">
            <v>65</v>
          </cell>
          <cell r="G95">
            <v>0.21312804670135166</v>
          </cell>
          <cell r="J95">
            <v>65</v>
          </cell>
          <cell r="K95">
            <v>-4.3076923076923124E-2</v>
          </cell>
          <cell r="N95">
            <v>65</v>
          </cell>
          <cell r="O95">
            <v>7.7817267096311094E-2</v>
          </cell>
          <cell r="R95">
            <v>65</v>
          </cell>
          <cell r="S95">
            <v>0.11993517017828204</v>
          </cell>
        </row>
        <row r="96">
          <cell r="B96">
            <v>66</v>
          </cell>
          <cell r="C96">
            <v>-7.067137809187285E-2</v>
          </cell>
          <cell r="F96">
            <v>66</v>
          </cell>
          <cell r="G96">
            <v>0.25804133850677258</v>
          </cell>
          <cell r="J96">
            <v>66</v>
          </cell>
          <cell r="K96">
            <v>-3.4509202453987586E-2</v>
          </cell>
          <cell r="N96">
            <v>66</v>
          </cell>
          <cell r="O96">
            <v>6.1420892958305107E-2</v>
          </cell>
          <cell r="R96">
            <v>66</v>
          </cell>
          <cell r="S96">
            <v>0.10161290322580641</v>
          </cell>
        </row>
        <row r="97">
          <cell r="B97">
            <v>67</v>
          </cell>
          <cell r="C97">
            <v>-4.8473967684021568E-2</v>
          </cell>
          <cell r="F97">
            <v>67</v>
          </cell>
          <cell r="G97">
            <v>0.27247432361265411</v>
          </cell>
          <cell r="J97">
            <v>67</v>
          </cell>
          <cell r="K97">
            <v>-2.9793735676088562E-2</v>
          </cell>
          <cell r="N97">
            <v>67</v>
          </cell>
          <cell r="O97">
            <v>3.8535898231538246E-2</v>
          </cell>
          <cell r="R97">
            <v>67</v>
          </cell>
          <cell r="S97">
            <v>0.10332749562171628</v>
          </cell>
        </row>
        <row r="98">
          <cell r="B98">
            <v>68</v>
          </cell>
          <cell r="C98">
            <v>-5.5755395683453224E-2</v>
          </cell>
          <cell r="F98">
            <v>68</v>
          </cell>
          <cell r="G98">
            <v>0.27244184426146045</v>
          </cell>
          <cell r="J98">
            <v>68</v>
          </cell>
          <cell r="K98">
            <v>-2.1341463414634165E-2</v>
          </cell>
          <cell r="N98">
            <v>68</v>
          </cell>
          <cell r="O98">
            <v>2.127415908768171E-2</v>
          </cell>
          <cell r="R98">
            <v>68</v>
          </cell>
          <cell r="S98">
            <v>6.6985645933014482E-2</v>
          </cell>
        </row>
        <row r="99">
          <cell r="B99">
            <v>69</v>
          </cell>
          <cell r="C99">
            <v>-8.9579524680073019E-2</v>
          </cell>
          <cell r="F99">
            <v>69</v>
          </cell>
          <cell r="G99">
            <v>0.2636478051566058</v>
          </cell>
          <cell r="J99">
            <v>69</v>
          </cell>
          <cell r="K99">
            <v>-1.5897047691142974E-2</v>
          </cell>
          <cell r="N99">
            <v>69</v>
          </cell>
          <cell r="O99">
            <v>1.2822558133003925E-2</v>
          </cell>
          <cell r="R99">
            <v>69</v>
          </cell>
          <cell r="S99">
            <v>-6.0781476121562927E-2</v>
          </cell>
        </row>
        <row r="100">
          <cell r="B100">
            <v>70</v>
          </cell>
          <cell r="C100">
            <v>-7.9847908745247165E-2</v>
          </cell>
          <cell r="F100">
            <v>70</v>
          </cell>
          <cell r="G100">
            <v>0.22781622652194389</v>
          </cell>
          <cell r="J100">
            <v>70</v>
          </cell>
          <cell r="K100">
            <v>-1.2869038607115857E-2</v>
          </cell>
          <cell r="N100">
            <v>70</v>
          </cell>
          <cell r="O100">
            <v>8.894459737207594E-4</v>
          </cell>
          <cell r="R100">
            <v>70</v>
          </cell>
          <cell r="S100">
            <v>-9.07759882869692E-2</v>
          </cell>
        </row>
        <row r="101">
          <cell r="B101">
            <v>71</v>
          </cell>
          <cell r="C101">
            <v>-0.11886792452830186</v>
          </cell>
          <cell r="F101">
            <v>71</v>
          </cell>
          <cell r="G101">
            <v>0.18774553950526274</v>
          </cell>
          <cell r="J101">
            <v>71</v>
          </cell>
          <cell r="K101">
            <v>-6.0744115413821076E-3</v>
          </cell>
          <cell r="N101">
            <v>71</v>
          </cell>
          <cell r="O101">
            <v>3.3109434936011706E-3</v>
          </cell>
          <cell r="R101">
            <v>71</v>
          </cell>
          <cell r="S101">
            <v>-7.7777777777777835E-2</v>
          </cell>
        </row>
        <row r="102">
          <cell r="B102">
            <v>72</v>
          </cell>
          <cell r="C102">
            <v>-0.11047619047619051</v>
          </cell>
          <cell r="F102">
            <v>72</v>
          </cell>
          <cell r="G102">
            <v>0.13660591238313136</v>
          </cell>
          <cell r="J102">
            <v>72</v>
          </cell>
          <cell r="K102">
            <v>-9.0634441087613649E-3</v>
          </cell>
          <cell r="N102">
            <v>72</v>
          </cell>
          <cell r="O102">
            <v>-4.4611567961858611E-3</v>
          </cell>
          <cell r="R102">
            <v>72</v>
          </cell>
          <cell r="S102">
            <v>-0.15545590433482814</v>
          </cell>
        </row>
        <row r="103">
          <cell r="B103">
            <v>73</v>
          </cell>
          <cell r="C103">
            <v>-0.11244979919678733</v>
          </cell>
          <cell r="F103">
            <v>73</v>
          </cell>
          <cell r="G103">
            <v>8.2069000852346363E-2</v>
          </cell>
          <cell r="J103">
            <v>73</v>
          </cell>
          <cell r="K103">
            <v>-8.258258258258433E-3</v>
          </cell>
          <cell r="N103">
            <v>73</v>
          </cell>
          <cell r="O103">
            <v>3.5114047173281371E-3</v>
          </cell>
          <cell r="R103">
            <v>73</v>
          </cell>
          <cell r="S103">
            <v>-0.15254237288135597</v>
          </cell>
        </row>
        <row r="104">
          <cell r="B104">
            <v>74</v>
          </cell>
          <cell r="C104">
            <v>-6.8181818181818121E-2</v>
          </cell>
          <cell r="F104">
            <v>74</v>
          </cell>
          <cell r="G104">
            <v>5.0274627434049979E-2</v>
          </cell>
          <cell r="J104">
            <v>74</v>
          </cell>
          <cell r="K104">
            <v>-7.5131480090158131E-3</v>
          </cell>
          <cell r="N104">
            <v>74</v>
          </cell>
          <cell r="O104">
            <v>9.5456743113349063E-3</v>
          </cell>
          <cell r="R104">
            <v>74</v>
          </cell>
          <cell r="S104">
            <v>-0.22544283413848643</v>
          </cell>
        </row>
        <row r="105">
          <cell r="B105">
            <v>75</v>
          </cell>
          <cell r="C105">
            <v>-5.3533190578158529E-2</v>
          </cell>
          <cell r="F105">
            <v>75</v>
          </cell>
          <cell r="G105">
            <v>2.9092913950713228E-2</v>
          </cell>
          <cell r="J105">
            <v>75</v>
          </cell>
          <cell r="K105">
            <v>-9.0293453724603623E-3</v>
          </cell>
          <cell r="N105">
            <v>75</v>
          </cell>
          <cell r="O105">
            <v>7.1143199921956946E-3</v>
          </cell>
          <cell r="R105">
            <v>75</v>
          </cell>
          <cell r="S105">
            <v>-0.19965576592082601</v>
          </cell>
        </row>
        <row r="106">
          <cell r="B106">
            <v>76</v>
          </cell>
          <cell r="C106">
            <v>-7.9229122055674561E-2</v>
          </cell>
          <cell r="F106">
            <v>76</v>
          </cell>
          <cell r="G106">
            <v>1.7436382090509905E-3</v>
          </cell>
          <cell r="J106">
            <v>76</v>
          </cell>
          <cell r="K106">
            <v>-7.496251874062998E-3</v>
          </cell>
          <cell r="N106">
            <v>76</v>
          </cell>
          <cell r="O106">
            <v>2.8463378914787008E-2</v>
          </cell>
          <cell r="R106">
            <v>76</v>
          </cell>
          <cell r="S106">
            <v>-7.4336283185840624E-2</v>
          </cell>
        </row>
        <row r="107">
          <cell r="B107">
            <v>77</v>
          </cell>
          <cell r="C107">
            <v>-3.6199095022624417E-2</v>
          </cell>
          <cell r="F107">
            <v>77</v>
          </cell>
          <cell r="G107">
            <v>-2.4694852473404638E-2</v>
          </cell>
          <cell r="J107">
            <v>77</v>
          </cell>
          <cell r="K107">
            <v>-5.2277819268110592E-3</v>
          </cell>
          <cell r="N107">
            <v>77</v>
          </cell>
          <cell r="O107">
            <v>2.8413966384270406E-2</v>
          </cell>
          <cell r="R107">
            <v>77</v>
          </cell>
          <cell r="S107">
            <v>7.2727272727272751E-2</v>
          </cell>
        </row>
        <row r="108">
          <cell r="B108">
            <v>78</v>
          </cell>
          <cell r="C108">
            <v>-6.6518847006651893E-2</v>
          </cell>
          <cell r="F108">
            <v>78</v>
          </cell>
          <cell r="G108">
            <v>-5.9319641606275675E-2</v>
          </cell>
          <cell r="J108">
            <v>78</v>
          </cell>
          <cell r="K108">
            <v>-1.0408921933085402E-2</v>
          </cell>
          <cell r="N108">
            <v>78</v>
          </cell>
          <cell r="O108">
            <v>2.1294456407784601E-2</v>
          </cell>
          <cell r="R108">
            <v>78</v>
          </cell>
          <cell r="S108">
            <v>0.23076923076923084</v>
          </cell>
        </row>
        <row r="109">
          <cell r="B109">
            <v>79</v>
          </cell>
          <cell r="C109">
            <v>-7.4660633484162853E-2</v>
          </cell>
          <cell r="F109">
            <v>79</v>
          </cell>
          <cell r="G109">
            <v>-9.0398411301240489E-2</v>
          </cell>
          <cell r="J109">
            <v>79</v>
          </cell>
          <cell r="K109">
            <v>-1.6284233900814238E-2</v>
          </cell>
          <cell r="N109">
            <v>79</v>
          </cell>
          <cell r="O109">
            <v>2.5168315400239782E-2</v>
          </cell>
          <cell r="R109">
            <v>79</v>
          </cell>
          <cell r="S109">
            <v>0.35053763440860219</v>
          </cell>
        </row>
        <row r="110">
          <cell r="B110">
            <v>80</v>
          </cell>
          <cell r="F110">
            <v>80</v>
          </cell>
          <cell r="G110">
            <v>-9.1593265538915447E-2</v>
          </cell>
          <cell r="J110">
            <v>80</v>
          </cell>
          <cell r="N110">
            <v>80</v>
          </cell>
          <cell r="O110">
            <v>2.2808326052320638E-2</v>
          </cell>
          <cell r="R110">
            <v>80</v>
          </cell>
          <cell r="S110">
            <v>0.19694072657743766</v>
          </cell>
        </row>
        <row r="111">
          <cell r="B111">
            <v>81</v>
          </cell>
          <cell r="F111">
            <v>81</v>
          </cell>
          <cell r="J111">
            <v>81</v>
          </cell>
          <cell r="N111">
            <v>81</v>
          </cell>
          <cell r="R111">
            <v>81</v>
          </cell>
        </row>
        <row r="112">
          <cell r="B112">
            <v>82</v>
          </cell>
          <cell r="F112">
            <v>82</v>
          </cell>
          <cell r="J112">
            <v>82</v>
          </cell>
          <cell r="N112">
            <v>82</v>
          </cell>
          <cell r="R112">
            <v>82</v>
          </cell>
        </row>
        <row r="113">
          <cell r="B113">
            <v>83</v>
          </cell>
          <cell r="F113">
            <v>83</v>
          </cell>
          <cell r="J113">
            <v>83</v>
          </cell>
          <cell r="N113">
            <v>83</v>
          </cell>
          <cell r="R113">
            <v>83</v>
          </cell>
        </row>
        <row r="114">
          <cell r="B114">
            <v>84</v>
          </cell>
          <cell r="F114">
            <v>84</v>
          </cell>
          <cell r="J114">
            <v>84</v>
          </cell>
          <cell r="N114">
            <v>84</v>
          </cell>
          <cell r="R114">
            <v>84</v>
          </cell>
        </row>
        <row r="115">
          <cell r="B115">
            <v>85</v>
          </cell>
          <cell r="F115">
            <v>85</v>
          </cell>
          <cell r="J115">
            <v>85</v>
          </cell>
          <cell r="N115">
            <v>85</v>
          </cell>
          <cell r="R115">
            <v>85</v>
          </cell>
        </row>
        <row r="116">
          <cell r="B116">
            <v>86</v>
          </cell>
          <cell r="F116">
            <v>86</v>
          </cell>
          <cell r="J116">
            <v>86</v>
          </cell>
          <cell r="N116">
            <v>86</v>
          </cell>
          <cell r="R116">
            <v>86</v>
          </cell>
        </row>
        <row r="117">
          <cell r="B117">
            <v>87</v>
          </cell>
          <cell r="F117">
            <v>87</v>
          </cell>
          <cell r="J117">
            <v>87</v>
          </cell>
          <cell r="N117">
            <v>87</v>
          </cell>
          <cell r="R117">
            <v>87</v>
          </cell>
        </row>
        <row r="118">
          <cell r="B118">
            <v>88</v>
          </cell>
          <cell r="F118">
            <v>88</v>
          </cell>
          <cell r="J118">
            <v>88</v>
          </cell>
          <cell r="N118">
            <v>88</v>
          </cell>
          <cell r="R118">
            <v>88</v>
          </cell>
        </row>
        <row r="119">
          <cell r="B119">
            <v>89</v>
          </cell>
          <cell r="F119">
            <v>89</v>
          </cell>
          <cell r="J119">
            <v>89</v>
          </cell>
          <cell r="N119">
            <v>89</v>
          </cell>
          <cell r="R119">
            <v>89</v>
          </cell>
        </row>
        <row r="120">
          <cell r="B120">
            <v>90</v>
          </cell>
          <cell r="F120">
            <v>90</v>
          </cell>
          <cell r="J120">
            <v>90</v>
          </cell>
          <cell r="N120">
            <v>90</v>
          </cell>
          <cell r="R120">
            <v>90</v>
          </cell>
        </row>
        <row r="121">
          <cell r="B121">
            <v>91</v>
          </cell>
          <cell r="F121">
            <v>91</v>
          </cell>
          <cell r="J121">
            <v>91</v>
          </cell>
          <cell r="N121">
            <v>91</v>
          </cell>
          <cell r="R121">
            <v>91</v>
          </cell>
        </row>
        <row r="122">
          <cell r="B122">
            <v>92</v>
          </cell>
          <cell r="F122">
            <v>92</v>
          </cell>
          <cell r="J122">
            <v>92</v>
          </cell>
          <cell r="N122">
            <v>92</v>
          </cell>
          <cell r="R122">
            <v>92</v>
          </cell>
        </row>
        <row r="123">
          <cell r="B123">
            <v>93</v>
          </cell>
          <cell r="F123">
            <v>93</v>
          </cell>
          <cell r="J123">
            <v>93</v>
          </cell>
          <cell r="N123">
            <v>93</v>
          </cell>
          <cell r="R123">
            <v>93</v>
          </cell>
        </row>
      </sheetData>
      <sheetData sheetId="9" refreshError="1">
        <row r="28">
          <cell r="C28">
            <v>0</v>
          </cell>
          <cell r="G28">
            <v>0</v>
          </cell>
        </row>
        <row r="29">
          <cell r="C29">
            <v>1</v>
          </cell>
          <cell r="G29">
            <v>1</v>
          </cell>
        </row>
        <row r="30">
          <cell r="C30">
            <v>2</v>
          </cell>
          <cell r="G30">
            <v>2</v>
          </cell>
        </row>
        <row r="31">
          <cell r="C31">
            <v>3</v>
          </cell>
          <cell r="G31">
            <v>3</v>
          </cell>
        </row>
        <row r="32">
          <cell r="C32">
            <v>4</v>
          </cell>
          <cell r="D32">
            <v>-7.5269012813802272E-3</v>
          </cell>
          <cell r="G32">
            <v>4</v>
          </cell>
        </row>
        <row r="33">
          <cell r="C33">
            <v>5</v>
          </cell>
          <cell r="D33">
            <v>2.7334264921174523E-2</v>
          </cell>
          <cell r="G33">
            <v>5</v>
          </cell>
        </row>
        <row r="34">
          <cell r="C34">
            <v>6</v>
          </cell>
          <cell r="D34">
            <v>4.1121478981866577E-2</v>
          </cell>
          <cell r="G34">
            <v>6</v>
          </cell>
        </row>
        <row r="35">
          <cell r="C35">
            <v>7</v>
          </cell>
          <cell r="D35">
            <v>3.4467753345263086E-2</v>
          </cell>
          <cell r="G35">
            <v>7</v>
          </cell>
          <cell r="H35">
            <v>8.3179298811405733E-2</v>
          </cell>
        </row>
        <row r="36">
          <cell r="C36">
            <v>8</v>
          </cell>
          <cell r="D36">
            <v>3.7891994504605897E-2</v>
          </cell>
          <cell r="G36">
            <v>8</v>
          </cell>
          <cell r="H36">
            <v>2.1611148750711129E-2</v>
          </cell>
        </row>
        <row r="37">
          <cell r="C37">
            <v>9</v>
          </cell>
          <cell r="D37">
            <v>3.5497261478579345E-2</v>
          </cell>
          <cell r="G37">
            <v>9</v>
          </cell>
          <cell r="H37">
            <v>-1.7190778394867268E-2</v>
          </cell>
        </row>
        <row r="38">
          <cell r="C38">
            <v>10</v>
          </cell>
          <cell r="D38">
            <v>2.2958842967526261E-2</v>
          </cell>
          <cell r="G38">
            <v>10</v>
          </cell>
          <cell r="H38">
            <v>-2.7830451927506106E-2</v>
          </cell>
        </row>
        <row r="39">
          <cell r="C39">
            <v>11</v>
          </cell>
          <cell r="D39">
            <v>3.3453078256950874E-2</v>
          </cell>
          <cell r="G39">
            <v>11</v>
          </cell>
          <cell r="H39">
            <v>-2.7385151338938374E-2</v>
          </cell>
        </row>
        <row r="40">
          <cell r="C40">
            <v>12</v>
          </cell>
          <cell r="D40">
            <v>3.6218573669617227E-2</v>
          </cell>
          <cell r="G40">
            <v>12</v>
          </cell>
          <cell r="H40">
            <v>-3.1588670700877675E-2</v>
          </cell>
        </row>
        <row r="41">
          <cell r="C41">
            <v>13</v>
          </cell>
          <cell r="D41">
            <v>4.8749742384661676E-2</v>
          </cell>
          <cell r="G41">
            <v>13</v>
          </cell>
          <cell r="H41">
            <v>-3.2099346350173308E-2</v>
          </cell>
        </row>
        <row r="42">
          <cell r="C42">
            <v>14</v>
          </cell>
          <cell r="D42">
            <v>7.8800425277068875E-2</v>
          </cell>
          <cell r="G42">
            <v>14</v>
          </cell>
          <cell r="H42">
            <v>-5.1087326988417558E-2</v>
          </cell>
        </row>
        <row r="43">
          <cell r="C43">
            <v>15</v>
          </cell>
          <cell r="D43">
            <v>0.1152650617028923</v>
          </cell>
          <cell r="G43">
            <v>15</v>
          </cell>
          <cell r="H43">
            <v>-7.8404759788798128E-2</v>
          </cell>
        </row>
        <row r="44">
          <cell r="C44">
            <v>16</v>
          </cell>
          <cell r="D44">
            <v>0.1475931641367616</v>
          </cell>
          <cell r="G44">
            <v>16</v>
          </cell>
          <cell r="H44">
            <v>-6.6476660777624041E-2</v>
          </cell>
        </row>
        <row r="45">
          <cell r="C45">
            <v>17</v>
          </cell>
          <cell r="D45">
            <v>0.17854665312573448</v>
          </cell>
          <cell r="G45">
            <v>17</v>
          </cell>
          <cell r="H45">
            <v>-8.4865635420411922E-2</v>
          </cell>
        </row>
        <row r="46">
          <cell r="C46">
            <v>18</v>
          </cell>
          <cell r="D46">
            <v>0.18134027650207996</v>
          </cell>
          <cell r="G46">
            <v>18</v>
          </cell>
          <cell r="H46">
            <v>-5.8142364754115605E-2</v>
          </cell>
        </row>
        <row r="47">
          <cell r="C47">
            <v>19</v>
          </cell>
          <cell r="D47">
            <v>0.17016366728581156</v>
          </cell>
          <cell r="G47">
            <v>19</v>
          </cell>
          <cell r="H47">
            <v>-2.9160371476653846E-2</v>
          </cell>
        </row>
        <row r="48">
          <cell r="C48">
            <v>20</v>
          </cell>
          <cell r="D48">
            <v>0.17273612227356128</v>
          </cell>
          <cell r="G48">
            <v>20</v>
          </cell>
          <cell r="H48">
            <v>-2.9149318677006653E-2</v>
          </cell>
        </row>
        <row r="49">
          <cell r="C49">
            <v>21</v>
          </cell>
          <cell r="D49">
            <v>0.15362203071152236</v>
          </cell>
          <cell r="G49">
            <v>21</v>
          </cell>
          <cell r="H49">
            <v>4.4455112514145245E-2</v>
          </cell>
        </row>
        <row r="50">
          <cell r="C50">
            <v>22</v>
          </cell>
          <cell r="D50">
            <v>0.15492835991333753</v>
          </cell>
          <cell r="G50">
            <v>22</v>
          </cell>
          <cell r="H50">
            <v>9.634869222787712E-2</v>
          </cell>
        </row>
        <row r="51">
          <cell r="C51">
            <v>23</v>
          </cell>
          <cell r="D51">
            <v>0.14598594829311695</v>
          </cell>
          <cell r="G51">
            <v>23</v>
          </cell>
          <cell r="H51">
            <v>0.18595883706393312</v>
          </cell>
        </row>
        <row r="52">
          <cell r="C52">
            <v>24</v>
          </cell>
          <cell r="D52">
            <v>0.11826450484784479</v>
          </cell>
          <cell r="G52">
            <v>24</v>
          </cell>
          <cell r="H52">
            <v>0.2855871931085936</v>
          </cell>
        </row>
        <row r="53">
          <cell r="C53">
            <v>25</v>
          </cell>
          <cell r="D53">
            <v>0.10820092532060621</v>
          </cell>
          <cell r="G53">
            <v>25</v>
          </cell>
          <cell r="H53">
            <v>0.33281052642558073</v>
          </cell>
        </row>
        <row r="54">
          <cell r="C54">
            <v>26</v>
          </cell>
          <cell r="D54">
            <v>9.5704681026025806E-2</v>
          </cell>
          <cell r="G54">
            <v>26</v>
          </cell>
          <cell r="H54">
            <v>0.35025809583374379</v>
          </cell>
        </row>
        <row r="55">
          <cell r="C55">
            <v>27</v>
          </cell>
          <cell r="D55">
            <v>7.8268767126051797E-2</v>
          </cell>
          <cell r="G55">
            <v>27</v>
          </cell>
          <cell r="H55">
            <v>0.30118068273065757</v>
          </cell>
        </row>
        <row r="56">
          <cell r="C56">
            <v>28</v>
          </cell>
          <cell r="D56">
            <v>4.8043859688821744E-2</v>
          </cell>
          <cell r="G56">
            <v>28</v>
          </cell>
          <cell r="H56">
            <v>0.23827618575392528</v>
          </cell>
        </row>
        <row r="57">
          <cell r="C57">
            <v>29</v>
          </cell>
          <cell r="D57">
            <v>3.890198829986713E-2</v>
          </cell>
          <cell r="G57">
            <v>29</v>
          </cell>
          <cell r="H57">
            <v>0.16439405046150823</v>
          </cell>
        </row>
        <row r="58">
          <cell r="C58">
            <v>30</v>
          </cell>
          <cell r="D58">
            <v>3.2855225232435226E-2</v>
          </cell>
          <cell r="G58">
            <v>30</v>
          </cell>
          <cell r="H58">
            <v>0.11047051438418354</v>
          </cell>
        </row>
        <row r="59">
          <cell r="C59">
            <v>31</v>
          </cell>
          <cell r="D59">
            <v>3.388389489689958E-2</v>
          </cell>
          <cell r="G59">
            <v>31</v>
          </cell>
          <cell r="H59">
            <v>8.5034779561013574E-2</v>
          </cell>
        </row>
        <row r="60">
          <cell r="C60">
            <v>32</v>
          </cell>
          <cell r="D60">
            <v>6.2987803823379096E-2</v>
          </cell>
          <cell r="G60">
            <v>32</v>
          </cell>
          <cell r="H60">
            <v>8.5677133850063925E-2</v>
          </cell>
        </row>
        <row r="61">
          <cell r="C61">
            <v>33</v>
          </cell>
          <cell r="D61">
            <v>6.2635888065313061E-2</v>
          </cell>
          <cell r="G61">
            <v>33</v>
          </cell>
          <cell r="H61">
            <v>0.10142951886723539</v>
          </cell>
        </row>
        <row r="62">
          <cell r="C62">
            <v>34</v>
          </cell>
          <cell r="D62">
            <v>5.535768561048271E-2</v>
          </cell>
          <cell r="G62">
            <v>34</v>
          </cell>
          <cell r="H62">
            <v>0.10591531430106582</v>
          </cell>
        </row>
        <row r="63">
          <cell r="C63">
            <v>35</v>
          </cell>
          <cell r="D63">
            <v>5.2316683991620261E-2</v>
          </cell>
          <cell r="G63">
            <v>35</v>
          </cell>
          <cell r="H63">
            <v>0.10464083708317218</v>
          </cell>
        </row>
        <row r="64">
          <cell r="C64">
            <v>36</v>
          </cell>
          <cell r="D64">
            <v>7.2416144916864544E-2</v>
          </cell>
          <cell r="G64">
            <v>36</v>
          </cell>
          <cell r="H64">
            <v>8.9725564348367204E-2</v>
          </cell>
        </row>
        <row r="65">
          <cell r="C65">
            <v>37</v>
          </cell>
          <cell r="D65">
            <v>7.2116608926755532E-2</v>
          </cell>
          <cell r="G65">
            <v>37</v>
          </cell>
          <cell r="H65">
            <v>9.3696167144195597E-2</v>
          </cell>
        </row>
        <row r="66">
          <cell r="C66">
            <v>38</v>
          </cell>
          <cell r="D66">
            <v>6.9629088781194781E-2</v>
          </cell>
          <cell r="G66">
            <v>38</v>
          </cell>
          <cell r="H66">
            <v>9.3734606565573531E-2</v>
          </cell>
        </row>
        <row r="67">
          <cell r="C67">
            <v>39</v>
          </cell>
          <cell r="D67">
            <v>7.3213129989829318E-2</v>
          </cell>
          <cell r="G67">
            <v>39</v>
          </cell>
          <cell r="H67">
            <v>0.11125776411293997</v>
          </cell>
        </row>
        <row r="68">
          <cell r="C68">
            <v>40</v>
          </cell>
          <cell r="D68">
            <v>3.8789924083030058E-2</v>
          </cell>
          <cell r="G68">
            <v>40</v>
          </cell>
          <cell r="H68">
            <v>0.12908810945865024</v>
          </cell>
        </row>
        <row r="69">
          <cell r="C69">
            <v>41</v>
          </cell>
          <cell r="D69">
            <v>2.6126633139631261E-2</v>
          </cell>
          <cell r="G69">
            <v>41</v>
          </cell>
          <cell r="H69">
            <v>0.12859273076284827</v>
          </cell>
        </row>
        <row r="70">
          <cell r="C70">
            <v>42</v>
          </cell>
          <cell r="D70">
            <v>2.4495260016427878E-2</v>
          </cell>
          <cell r="G70">
            <v>42</v>
          </cell>
          <cell r="H70">
            <v>0.14292821119189214</v>
          </cell>
        </row>
        <row r="71">
          <cell r="C71">
            <v>43</v>
          </cell>
          <cell r="D71">
            <v>4.5543608107208033E-3</v>
          </cell>
          <cell r="G71">
            <v>43</v>
          </cell>
          <cell r="H71">
            <v>0.15416856362763287</v>
          </cell>
        </row>
        <row r="72">
          <cell r="C72">
            <v>44</v>
          </cell>
          <cell r="D72">
            <v>-1.3353227354602204E-3</v>
          </cell>
          <cell r="G72">
            <v>44</v>
          </cell>
          <cell r="H72">
            <v>0.18647919623868692</v>
          </cell>
        </row>
        <row r="73">
          <cell r="C73">
            <v>45</v>
          </cell>
          <cell r="D73">
            <v>-9.5450781425566733E-3</v>
          </cell>
          <cell r="G73">
            <v>45</v>
          </cell>
          <cell r="H73">
            <v>0.2184877136497323</v>
          </cell>
        </row>
        <row r="74">
          <cell r="C74">
            <v>46</v>
          </cell>
          <cell r="D74">
            <v>-2.4804427208777735E-2</v>
          </cell>
          <cell r="G74">
            <v>46</v>
          </cell>
          <cell r="H74">
            <v>0.22689893115599991</v>
          </cell>
        </row>
        <row r="75">
          <cell r="C75">
            <v>47</v>
          </cell>
          <cell r="D75">
            <v>-2.4375028591125614E-2</v>
          </cell>
          <cell r="G75">
            <v>47</v>
          </cell>
          <cell r="H75">
            <v>0.20364551654366192</v>
          </cell>
        </row>
        <row r="76">
          <cell r="C76">
            <v>48</v>
          </cell>
          <cell r="D76">
            <v>-2.2566680067491407E-2</v>
          </cell>
          <cell r="G76">
            <v>48</v>
          </cell>
          <cell r="H76">
            <v>0.15772715239979274</v>
          </cell>
        </row>
        <row r="77">
          <cell r="C77">
            <v>49</v>
          </cell>
          <cell r="D77">
            <v>-2.2675331016661415E-2</v>
          </cell>
          <cell r="G77">
            <v>49</v>
          </cell>
          <cell r="H77">
            <v>9.7204587639565965E-2</v>
          </cell>
        </row>
        <row r="78">
          <cell r="C78">
            <v>50</v>
          </cell>
          <cell r="D78">
            <v>-1.3570252269666683E-2</v>
          </cell>
          <cell r="G78">
            <v>50</v>
          </cell>
          <cell r="H78">
            <v>5.7467159074693352E-2</v>
          </cell>
        </row>
        <row r="79">
          <cell r="C79">
            <v>51</v>
          </cell>
          <cell r="D79">
            <v>-2.4847231015442395E-3</v>
          </cell>
          <cell r="G79">
            <v>51</v>
          </cell>
          <cell r="H79">
            <v>2.3345188611986201E-2</v>
          </cell>
        </row>
        <row r="80">
          <cell r="C80">
            <v>52</v>
          </cell>
          <cell r="D80">
            <v>4.7898059419448913E-3</v>
          </cell>
          <cell r="G80">
            <v>52</v>
          </cell>
          <cell r="H80">
            <v>-3.346361839196843E-2</v>
          </cell>
        </row>
        <row r="81">
          <cell r="C81">
            <v>53</v>
          </cell>
          <cell r="D81">
            <v>2.0927467588278015E-2</v>
          </cell>
          <cell r="G81">
            <v>53</v>
          </cell>
          <cell r="H81">
            <v>-6.1914593981629684E-2</v>
          </cell>
        </row>
        <row r="82">
          <cell r="C82">
            <v>54</v>
          </cell>
          <cell r="D82">
            <v>3.9185862939318472E-2</v>
          </cell>
          <cell r="G82">
            <v>54</v>
          </cell>
          <cell r="H82">
            <v>-8.9639267017491919E-2</v>
          </cell>
        </row>
        <row r="83">
          <cell r="C83">
            <v>55</v>
          </cell>
          <cell r="D83">
            <v>6.2511797085342824E-2</v>
          </cell>
          <cell r="G83">
            <v>55</v>
          </cell>
          <cell r="H83">
            <v>-0.10593425195499306</v>
          </cell>
        </row>
        <row r="84">
          <cell r="C84">
            <v>56</v>
          </cell>
          <cell r="D84">
            <v>8.4047393665545256E-2</v>
          </cell>
          <cell r="G84">
            <v>56</v>
          </cell>
          <cell r="H84">
            <v>-9.2285209264629908E-2</v>
          </cell>
        </row>
        <row r="85">
          <cell r="C85">
            <v>57</v>
          </cell>
          <cell r="D85">
            <v>0.11072576927238531</v>
          </cell>
          <cell r="G85">
            <v>57</v>
          </cell>
          <cell r="H85">
            <v>-8.340328316123613E-2</v>
          </cell>
        </row>
        <row r="86">
          <cell r="C86">
            <v>58</v>
          </cell>
          <cell r="D86">
            <v>0.12811822824510966</v>
          </cell>
          <cell r="G86">
            <v>58</v>
          </cell>
          <cell r="H86">
            <v>-6.7482990141969568E-2</v>
          </cell>
        </row>
        <row r="87">
          <cell r="C87">
            <v>59</v>
          </cell>
          <cell r="D87">
            <v>0.13469323998023075</v>
          </cell>
          <cell r="G87">
            <v>59</v>
          </cell>
          <cell r="H87">
            <v>-4.8608927282393855E-2</v>
          </cell>
        </row>
        <row r="88">
          <cell r="C88">
            <v>60</v>
          </cell>
          <cell r="D88">
            <v>0.14151260719335124</v>
          </cell>
          <cell r="G88">
            <v>60</v>
          </cell>
          <cell r="H88">
            <v>-2.4051411636884623E-2</v>
          </cell>
        </row>
        <row r="89">
          <cell r="C89">
            <v>61</v>
          </cell>
          <cell r="D89">
            <v>0.13964743667431501</v>
          </cell>
          <cell r="G89">
            <v>61</v>
          </cell>
          <cell r="H89">
            <v>1.3392564999510137E-2</v>
          </cell>
        </row>
        <row r="90">
          <cell r="C90">
            <v>62</v>
          </cell>
          <cell r="D90">
            <v>0.13792165333540818</v>
          </cell>
          <cell r="G90">
            <v>62</v>
          </cell>
          <cell r="H90">
            <v>5.2450142189006455E-2</v>
          </cell>
        </row>
        <row r="91">
          <cell r="C91">
            <v>63</v>
          </cell>
          <cell r="D91">
            <v>0.13013253959046001</v>
          </cell>
          <cell r="G91">
            <v>63</v>
          </cell>
          <cell r="H91">
            <v>0.11002293185662815</v>
          </cell>
        </row>
        <row r="92">
          <cell r="C92">
            <v>64</v>
          </cell>
          <cell r="D92">
            <v>0.11728868141504933</v>
          </cell>
          <cell r="G92">
            <v>64</v>
          </cell>
          <cell r="H92">
            <v>0.16633985051982636</v>
          </cell>
        </row>
        <row r="93">
          <cell r="C93">
            <v>65</v>
          </cell>
          <cell r="D93">
            <v>0.10599355765696261</v>
          </cell>
          <cell r="G93">
            <v>65</v>
          </cell>
          <cell r="H93">
            <v>0.21312804670135166</v>
          </cell>
        </row>
        <row r="94">
          <cell r="C94">
            <v>66</v>
          </cell>
          <cell r="D94">
            <v>8.686044796038539E-2</v>
          </cell>
          <cell r="G94">
            <v>66</v>
          </cell>
          <cell r="H94">
            <v>0.25804133850677258</v>
          </cell>
        </row>
        <row r="95">
          <cell r="C95">
            <v>67</v>
          </cell>
          <cell r="D95">
            <v>6.7574182355665036E-2</v>
          </cell>
          <cell r="G95">
            <v>67</v>
          </cell>
          <cell r="H95">
            <v>0.27247432361265411</v>
          </cell>
        </row>
        <row r="96">
          <cell r="C96">
            <v>68</v>
          </cell>
          <cell r="D96">
            <v>5.4842856789337757E-2</v>
          </cell>
          <cell r="G96">
            <v>68</v>
          </cell>
          <cell r="H96">
            <v>0.27244184426146045</v>
          </cell>
        </row>
        <row r="97">
          <cell r="C97">
            <v>69</v>
          </cell>
          <cell r="D97">
            <v>4.2000505840724678E-2</v>
          </cell>
          <cell r="G97">
            <v>69</v>
          </cell>
          <cell r="H97">
            <v>0.2636478051566058</v>
          </cell>
        </row>
        <row r="98">
          <cell r="C98">
            <v>70</v>
          </cell>
          <cell r="D98">
            <v>3.4780740604140714E-2</v>
          </cell>
          <cell r="G98">
            <v>70</v>
          </cell>
          <cell r="H98">
            <v>0.22781622652194389</v>
          </cell>
        </row>
        <row r="99">
          <cell r="C99">
            <v>71</v>
          </cell>
          <cell r="D99">
            <v>3.3151852974058649E-2</v>
          </cell>
          <cell r="G99">
            <v>71</v>
          </cell>
          <cell r="H99">
            <v>0.18774553950526274</v>
          </cell>
        </row>
        <row r="100">
          <cell r="C100">
            <v>72</v>
          </cell>
          <cell r="D100">
            <v>3.0990670819980748E-2</v>
          </cell>
          <cell r="G100">
            <v>72</v>
          </cell>
          <cell r="H100">
            <v>0.13660591238313136</v>
          </cell>
        </row>
        <row r="101">
          <cell r="C101">
            <v>73</v>
          </cell>
          <cell r="D101">
            <v>3.3532839092170974E-2</v>
          </cell>
          <cell r="G101">
            <v>73</v>
          </cell>
          <cell r="H101">
            <v>8.2069000852346363E-2</v>
          </cell>
        </row>
        <row r="102">
          <cell r="C102">
            <v>74</v>
          </cell>
          <cell r="D102">
            <v>4.0950080462217819E-2</v>
          </cell>
          <cell r="G102">
            <v>74</v>
          </cell>
          <cell r="H102">
            <v>5.0274627434049979E-2</v>
          </cell>
        </row>
        <row r="103">
          <cell r="C103">
            <v>75</v>
          </cell>
          <cell r="D103">
            <v>4.7298357292033799E-2</v>
          </cell>
          <cell r="G103">
            <v>75</v>
          </cell>
          <cell r="H103">
            <v>2.9092913950713228E-2</v>
          </cell>
        </row>
        <row r="104">
          <cell r="C104">
            <v>76</v>
          </cell>
          <cell r="D104">
            <v>6.3352726366224577E-2</v>
          </cell>
          <cell r="G104">
            <v>76</v>
          </cell>
          <cell r="H104">
            <v>1.7436382090509905E-3</v>
          </cell>
        </row>
        <row r="105">
          <cell r="C105">
            <v>77</v>
          </cell>
          <cell r="D105">
            <v>6.1185388863665757E-2</v>
          </cell>
          <cell r="G105">
            <v>77</v>
          </cell>
          <cell r="H105">
            <v>-2.4694852473404638E-2</v>
          </cell>
        </row>
        <row r="106">
          <cell r="C106">
            <v>78</v>
          </cell>
          <cell r="D106">
            <v>5.7292653558421502E-2</v>
          </cell>
          <cell r="G106">
            <v>78</v>
          </cell>
          <cell r="H106">
            <v>-5.9319641606275675E-2</v>
          </cell>
        </row>
        <row r="107">
          <cell r="C107">
            <v>79</v>
          </cell>
          <cell r="D107">
            <v>6.3016132284340332E-2</v>
          </cell>
          <cell r="G107">
            <v>79</v>
          </cell>
          <cell r="H107">
            <v>-9.0398411301240489E-2</v>
          </cell>
        </row>
        <row r="108">
          <cell r="C108">
            <v>80</v>
          </cell>
          <cell r="G108">
            <v>80</v>
          </cell>
          <cell r="H108">
            <v>-9.1593265538915447E-2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O"/>
      <sheetName val="Stats"/>
      <sheetName val="BS"/>
      <sheetName val="NORM"/>
      <sheetName val="ROCE"/>
      <sheetName val="WACC"/>
      <sheetName val="Capex"/>
      <sheetName val="MainCode"/>
      <sheetName val="BP Acquisition"/>
      <sheetName val="Golden Eagle"/>
      <sheetName val="Variance"/>
      <sheetName val="GE Data"/>
      <sheetName val="NY UPLOAD"/>
      <sheetName val="NY UPLOAD Shadow"/>
      <sheetName val="MWare_Cached"/>
      <sheetName val="NYMEX"/>
      <sheetName val="mwareTaxoPres"/>
      <sheetName val="R-Stats"/>
      <sheetName val="M-Stats"/>
      <sheetName val="Debt"/>
      <sheetName val="ShareRepurchase"/>
      <sheetName val="mwareValPrintout"/>
      <sheetName val="mwarePreview"/>
      <sheetName val="Modelware"/>
      <sheetName val="Pensions"/>
      <sheetName val="OPEB"/>
      <sheetName val="TSOIS"/>
      <sheetName val="mwareDates"/>
      <sheetName val="mwareSettings"/>
      <sheetName val="A-Link Source"/>
      <sheetName val="XOM"/>
      <sheetName val="Quarter"/>
      <sheetName val="COC"/>
      <sheetName val="P"/>
      <sheetName val="C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"/>
      <sheetName val="mwareValPrintout"/>
      <sheetName val="mwarePreview"/>
      <sheetName val="Corp"/>
      <sheetName val="R&amp;MIS"/>
      <sheetName val="TOTIS"/>
      <sheetName val="Midstream"/>
      <sheetName val="E&amp;PIS"/>
      <sheetName val="CHEMIS"/>
      <sheetName val="Modelware"/>
      <sheetName val="Variance"/>
      <sheetName val="BS"/>
      <sheetName val="Segment ROCE"/>
      <sheetName val="E&amp;P"/>
      <sheetName val="Debt Schedule"/>
      <sheetName val="Working Cap"/>
      <sheetName val="Capex"/>
      <sheetName val="Reserves"/>
      <sheetName val="NEW SOURCE"/>
      <sheetName val="Pension Adjustment"/>
      <sheetName val="US Pension"/>
      <sheetName val="Intl Pension"/>
      <sheetName val="OPEBs"/>
      <sheetName val="Admin Pages Follow"/>
      <sheetName val="DEKA"/>
      <sheetName val="Bayu Undan"/>
      <sheetName val="R&amp;M"/>
      <sheetName val="GPM"/>
      <sheetName val="Hamaca"/>
      <sheetName val="Global Production Interest"/>
      <sheetName val="Bohai"/>
      <sheetName val="Chemical JV"/>
      <sheetName val="Chems"/>
      <sheetName val="EKOFISK"/>
      <sheetName val="PUDS"/>
      <sheetName val="GE Data"/>
      <sheetName val="MainCode"/>
      <sheetName val="mwareTaxoPres"/>
      <sheetName val="NY UPLOAD"/>
      <sheetName val="mwareDates"/>
      <sheetName val="mwareSettings"/>
      <sheetName val="NY UPLOAD shadow"/>
      <sheetName val="PXP"/>
      <sheetName val="XOM"/>
      <sheetName val="P"/>
      <sheetName val="COC"/>
      <sheetName val="TS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"/>
      <sheetName val="BS"/>
      <sheetName val="Variance"/>
      <sheetName val="Segment ROCE"/>
      <sheetName val="Capex"/>
      <sheetName val="E&amp;P"/>
      <sheetName val="Relative"/>
      <sheetName val="ROGIC"/>
      <sheetName val="NEPS"/>
      <sheetName val="Hamaca"/>
      <sheetName val="Bohai"/>
      <sheetName val="Bayu Undan"/>
      <sheetName val="R&amp;M"/>
      <sheetName val="GPM"/>
      <sheetName val="ARCO - Alaska"/>
      <sheetName val="RefineryMaint"/>
      <sheetName val="TOSCO"/>
      <sheetName val="Reserves"/>
      <sheetName val="WACC"/>
      <sheetName val="Valuation"/>
      <sheetName val="NAV"/>
      <sheetName val="Chemical JV"/>
      <sheetName val="Chems"/>
      <sheetName val="EKOFISK"/>
      <sheetName val="PUDS"/>
      <sheetName val="GE Data"/>
      <sheetName val="MainCode"/>
      <sheetName val="NY UPLOAD"/>
      <sheetName val="NY UPLOAD shadow"/>
      <sheetName val="Disclaimer"/>
      <sheetName val="Quarterly"/>
      <sheetName val="IndexInformation"/>
      <sheetName val="NORM"/>
      <sheetName val="NY UPLOAD.bak"/>
      <sheetName val="NY UPLOAD Shadow.bak"/>
      <sheetName val="Normalized"/>
      <sheetName val="DDM"/>
      <sheetName val="B Sheet"/>
      <sheetName val="Ratios"/>
      <sheetName val="SOLP"/>
      <sheetName val="Liquids"/>
      <sheetName val="charts"/>
      <sheetName val="Apples-Ratios"/>
      <sheetName val="IS"/>
      <sheetName val="Quarterly Data"/>
      <sheetName val="Debt"/>
      <sheetName val="Sheet1"/>
      <sheetName val="A-Link Source"/>
      <sheetName val="IBES"/>
      <sheetName val="Model"/>
      <sheetName val="Value-A"/>
      <sheetName val="US"/>
      <sheetName val="DL"/>
      <sheetName val="Scenarios"/>
      <sheetName val="ACM"/>
      <sheetName val="Distribution"/>
      <sheetName val="Q-Link Source"/>
      <sheetName val="MW Ratios"/>
      <sheetName val="Field"/>
      <sheetName val="REVS"/>
      <sheetName val="earnmodel"/>
      <sheetName val="O_fpage"/>
      <sheetName val="variables"/>
      <sheetName val="maturityprofile"/>
      <sheetName val="IP"/>
      <sheetName val="Vluation"/>
      <sheetName val="ChemiPal JV"/>
      <sheetName val="Old BKS"/>
      <sheetName val="Links"/>
      <sheetName val="Balance Sheet"/>
      <sheetName val="Plants"/>
      <sheetName val="VeraSun"/>
      <sheetName val="Forecast Change"/>
      <sheetName val="INPUTS"/>
      <sheetName val="AN"/>
      <sheetName val="COP"/>
      <sheetName val="HSCDS-Retail"/>
      <sheetName val="DVC"/>
      <sheetName val="XOM"/>
      <sheetName val="CY Link"/>
      <sheetName val="Income Statement"/>
      <sheetName val="Fin. Summary"/>
      <sheetName val="SectorPSales"/>
      <sheetName val="BMW"/>
      <sheetName val="New Source"/>
      <sheetName val="INFAnnual"/>
      <sheetName val="BalanceSheet"/>
      <sheetName val="Add"/>
      <sheetName val="Revenue Model"/>
      <sheetName val="MERGER"/>
      <sheetName val="RD"/>
      <sheetName val="Input Income Statement"/>
      <sheetName val="LME 2010"/>
      <sheetName val="Annual"/>
      <sheetName val="Assumptions"/>
      <sheetName val="Qtrly P&amp;L and BalSheet"/>
      <sheetName val="GT"/>
      <sheetName val="3Q05 Variance"/>
      <sheetName val="Reserve"/>
      <sheetName val="Scenario"/>
      <sheetName val="Ratings"/>
      <sheetName val="synthgraph"/>
      <sheetName val="Upstream"/>
      <sheetName val="Segment"/>
      <sheetName val="Reserves &amp; Capex"/>
      <sheetName val="Master"/>
      <sheetName val="P&amp;L"/>
      <sheetName val="GROUP P&amp;L"/>
      <sheetName val="A"/>
      <sheetName val="TV"/>
      <sheetName val="Segment_ROCE"/>
      <sheetName val="Bayu_Undan"/>
      <sheetName val="ARCO_-_Alaska"/>
      <sheetName val="Chemical_JV"/>
      <sheetName val="GE_Data"/>
      <sheetName val="NY_UPLOAD"/>
      <sheetName val="NY_UPLOAD_shadow"/>
      <sheetName val="NY_UPLOAD_bak"/>
      <sheetName val="NY_UPLOAD_Shadow_bak"/>
      <sheetName val="B_Sheet"/>
      <sheetName val="Quarterly_Data"/>
      <sheetName val="A-Link_Source"/>
      <sheetName val="MW_Ratios"/>
      <sheetName val="CY_Link"/>
      <sheetName val="ChemiPal_JV"/>
      <sheetName val="Old_BKS"/>
      <sheetName val="Forecast_Change"/>
      <sheetName val="New_Source"/>
      <sheetName val="Balance_Sheet"/>
      <sheetName val="Income_Statement"/>
      <sheetName val="Fin__Summary"/>
      <sheetName val="P&amp;L by Yr"/>
      <sheetName val="P&amp;L by Qtr"/>
      <sheetName val="TRANSACTION"/>
      <sheetName val="Ranges"/>
      <sheetName val="Ex3"/>
      <sheetName val="model &amp; valuation"/>
      <sheetName val="MW ROE Analyzer"/>
      <sheetName val="SCF &amp; BS"/>
      <sheetName val="New main"/>
      <sheetName val="New RGM"/>
      <sheetName val="ｾｸﾞﾒﾝﾄ"/>
      <sheetName val="単独"/>
      <sheetName val="Revenue&amp;EBIT"/>
      <sheetName val="Budget summary 2011"/>
      <sheetName val="B"/>
      <sheetName val="Print"/>
      <sheetName val="Revenue at Risk"/>
      <sheetName val="c1"/>
      <sheetName val="__FDSCACHE__"/>
      <sheetName val="Cover"/>
      <sheetName val="Summary"/>
      <sheetName val="NAV Valuation"/>
      <sheetName val="Sensitivity"/>
      <sheetName val="Workings"/>
      <sheetName val="Inventory_and_Backlog"/>
      <sheetName val="PoC Curves"/>
      <sheetName val="Source"/>
      <sheetName val="DCF Valuation"/>
      <sheetName val="CashFlow Curves"/>
      <sheetName val="MW"/>
      <sheetName val="MacroData"/>
      <sheetName val="MS Disclaimers"/>
      <sheetName val="MS Disclosures"/>
      <sheetName val="SummaryMW"/>
      <sheetName val="MWA RR"/>
      <sheetName val="HIDE&gt;&gt;&gt;"/>
      <sheetName val="Consensus"/>
      <sheetName val="Quarterly Results"/>
      <sheetName val="&gt;&gt;"/>
      <sheetName val="LinkSheet"/>
      <sheetName val="Audit"/>
      <sheetName val="MW-Cache"/>
      <sheetName val="CenarioCal"/>
      <sheetName val="CenarioUpdate"/>
      <sheetName val="Graphs"/>
      <sheetName val="mwareDates"/>
      <sheetName val="mwareSettings"/>
      <sheetName val="US CLECS Input"/>
      <sheetName val="IQ_GEO_SEG_EARNINGS_OP"/>
      <sheetName val="RenewProb"/>
      <sheetName val="Sheet2"/>
      <sheetName val="Commodities"/>
      <sheetName val="Data"/>
      <sheetName val="Sputtering"/>
      <sheetName val="Capacity"/>
      <sheetName val="KMB"/>
      <sheetName val="cpip"/>
      <sheetName val="CTWC"/>
      <sheetName val="Output_Q"/>
      <sheetName val="Cash Flow Statement"/>
      <sheetName val="Output_A"/>
      <sheetName val="New Source Charts"/>
      <sheetName val="Modelware"/>
      <sheetName val="R&amp;MIS"/>
      <sheetName val="E&amp;P Growth &amp; Returns"/>
      <sheetName val="Global Product Sum"/>
      <sheetName val="Quarter"/>
      <sheetName val="COC"/>
      <sheetName val="ERPRO sheet"/>
      <sheetName val="Factset Profile"/>
      <sheetName val="cash"/>
      <sheetName val="Financial Overview ShortProfile"/>
      <sheetName val="Assumptions &amp; Switches"/>
      <sheetName val="Dashboard (2)"/>
      <sheetName val="Separation Codes"/>
      <sheetName val="SCA Financials &amp; Debt Paydown"/>
      <sheetName val="Headcount Input Scheudle"/>
      <sheetName val="Capital Expenses"/>
      <sheetName val="Drop Down Lists"/>
      <sheetName val="Manual"/>
      <sheetName val="Water Transfer"/>
      <sheetName val="Graph"/>
      <sheetName val="Hist"/>
      <sheetName val="StoreList"/>
      <sheetName val="DSht"/>
      <sheetName val="Spec"/>
      <sheetName val="StoreDetl"/>
      <sheetName val="Ann"/>
      <sheetName val="GAAP Financial Statements"/>
      <sheetName val="Operating"/>
      <sheetName val="Revenue"/>
      <sheetName val="YTD Summaries"/>
      <sheetName val="LBOSHELL"/>
      <sheetName val="Comps"/>
      <sheetName val="Switch "/>
      <sheetName val="RI Valuation"/>
      <sheetName val="ICI"/>
      <sheetName val="KPN"/>
      <sheetName val="Capital Structure"/>
      <sheetName val="Trading Liquidity"/>
      <sheetName val="Fleet"/>
      <sheetName val="Revenue-CostDrivers"/>
      <sheetName val="FinancialStatements"/>
      <sheetName val="hiddenSheet"/>
      <sheetName val="WY"/>
      <sheetName val="CIP"/>
      <sheetName val="Cash Flow"/>
      <sheetName val="Control"/>
      <sheetName val="Tbl of Cont"/>
      <sheetName val="TRM (Prod Adj)"/>
      <sheetName val="Prattmodel"/>
      <sheetName val="Otismodel"/>
      <sheetName val="Flightmodel"/>
      <sheetName val="Sum of the Parts Valuation"/>
      <sheetName val="Control Panel"/>
      <sheetName val="Basic Co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ReportOutput"/>
      <sheetName val="ETP"/>
      <sheetName val="Segment"/>
      <sheetName val="BS"/>
      <sheetName val="OrganicPrograms"/>
      <sheetName val="Capex"/>
      <sheetName val="Distribution"/>
      <sheetName val="Scenarios"/>
      <sheetName val="Valuation"/>
      <sheetName val="RIM"/>
      <sheetName val="Modelware"/>
      <sheetName val="mwareDates"/>
      <sheetName val="mwareSettings"/>
    </sheetNames>
    <sheetDataSet>
      <sheetData sheetId="0" refreshError="1"/>
      <sheetData sheetId="1" refreshError="1">
        <row r="1">
          <cell r="B1" t="str">
            <v>Ticker</v>
          </cell>
          <cell r="C1" t="str">
            <v>ETP</v>
          </cell>
          <cell r="F1" t="str">
            <v>Delta</v>
          </cell>
          <cell r="I1" t="str">
            <v>ROCE</v>
          </cell>
          <cell r="J1">
            <v>59.339171254762583</v>
          </cell>
        </row>
        <row r="2">
          <cell r="B2" t="str">
            <v>Price</v>
          </cell>
          <cell r="C2">
            <v>54.99</v>
          </cell>
          <cell r="D2" t="str">
            <v>Target</v>
          </cell>
          <cell r="E2">
            <v>55</v>
          </cell>
          <cell r="F2">
            <v>1.8185124568104172E-4</v>
          </cell>
          <cell r="I2" t="str">
            <v>RIM</v>
          </cell>
          <cell r="J2">
            <v>71.958545362883271</v>
          </cell>
        </row>
        <row r="3">
          <cell r="B3" t="str">
            <v>Shares Out.</v>
          </cell>
          <cell r="C3">
            <v>136.71199999999999</v>
          </cell>
          <cell r="I3" t="str">
            <v>2xDDM</v>
          </cell>
          <cell r="J3">
            <v>68.273799743949894</v>
          </cell>
        </row>
        <row r="4">
          <cell r="B4" t="str">
            <v>Mkt Cap.</v>
          </cell>
          <cell r="C4">
            <v>7517.79288</v>
          </cell>
          <cell r="F4" t="str">
            <v>CDU Growth</v>
          </cell>
          <cell r="I4" t="str">
            <v xml:space="preserve">2008 Yield </v>
          </cell>
          <cell r="J4">
            <v>60.889732731818178</v>
          </cell>
        </row>
        <row r="5">
          <cell r="A5" t="str">
            <v>Sean Maher: 713-512-4484</v>
          </cell>
          <cell r="B5" t="str">
            <v>Rating</v>
          </cell>
          <cell r="C5" t="str">
            <v>Overweight</v>
          </cell>
          <cell r="F5" t="str">
            <v>2006-2010</v>
          </cell>
          <cell r="G5">
            <v>0.11169245072084899</v>
          </cell>
          <cell r="I5" t="str">
            <v>Median</v>
          </cell>
          <cell r="J5">
            <v>64.58176623788404</v>
          </cell>
        </row>
        <row r="6">
          <cell r="A6" t="str">
            <v>Morgan Stanley Equity Research</v>
          </cell>
        </row>
        <row r="7">
          <cell r="I7" t="str">
            <v>Consensus</v>
          </cell>
        </row>
        <row r="8">
          <cell r="A8" t="str">
            <v>Snapshot</v>
          </cell>
          <cell r="B8">
            <v>2005</v>
          </cell>
          <cell r="C8">
            <v>2006</v>
          </cell>
          <cell r="D8" t="str">
            <v>2007E</v>
          </cell>
          <cell r="E8" t="str">
            <v>2008E</v>
          </cell>
          <cell r="F8" t="str">
            <v>2009E</v>
          </cell>
          <cell r="G8" t="str">
            <v>2010E</v>
          </cell>
          <cell r="I8">
            <v>2007</v>
          </cell>
          <cell r="J8">
            <v>3.0425</v>
          </cell>
        </row>
        <row r="9">
          <cell r="A9" t="str">
            <v>Earnings per Unit</v>
          </cell>
          <cell r="B9">
            <v>1.7717313962247507</v>
          </cell>
          <cell r="C9">
            <v>2.717208936337689</v>
          </cell>
          <cell r="D9">
            <v>2.9064203107702102</v>
          </cell>
          <cell r="E9">
            <v>3.260206227720055</v>
          </cell>
          <cell r="F9">
            <v>2.9231359589672845</v>
          </cell>
          <cell r="G9">
            <v>2.4637542993803554</v>
          </cell>
          <cell r="I9">
            <v>2008</v>
          </cell>
          <cell r="J9">
            <v>3.5212500000000002</v>
          </cell>
        </row>
        <row r="10">
          <cell r="A10" t="str">
            <v>Cash Distribution per Unit</v>
          </cell>
          <cell r="B10">
            <v>2.3075000000000001</v>
          </cell>
          <cell r="C10">
            <v>2.5575000000000001</v>
          </cell>
          <cell r="D10">
            <v>3.1298460749999997</v>
          </cell>
          <cell r="E10">
            <v>3.34893530025</v>
          </cell>
          <cell r="F10">
            <v>3.61685012427</v>
          </cell>
          <cell r="G10">
            <v>3.9061981342116008</v>
          </cell>
          <cell r="I10">
            <v>2009</v>
          </cell>
          <cell r="J10">
            <v>3.1750000000000003</v>
          </cell>
        </row>
        <row r="11">
          <cell r="A11" t="str">
            <v>Avg. Fully Diluted Shares (MMs)</v>
          </cell>
          <cell r="B11">
            <v>97.646350999999996</v>
          </cell>
          <cell r="C11">
            <v>109.02381199999999</v>
          </cell>
          <cell r="D11">
            <v>135.98041669384909</v>
          </cell>
          <cell r="E11">
            <v>138.98665515488173</v>
          </cell>
          <cell r="F11">
            <v>138.98665515488173</v>
          </cell>
          <cell r="G11">
            <v>138.98665515488173</v>
          </cell>
        </row>
        <row r="13">
          <cell r="A13" t="str">
            <v>Cash flow</v>
          </cell>
        </row>
        <row r="14">
          <cell r="A14" t="str">
            <v>EBITDA ($MM)</v>
          </cell>
          <cell r="B14">
            <v>541.97999999999979</v>
          </cell>
          <cell r="C14">
            <v>764.00900000000024</v>
          </cell>
          <cell r="D14">
            <v>988.28144497771507</v>
          </cell>
          <cell r="E14">
            <v>1176.4478493909428</v>
          </cell>
          <cell r="F14">
            <v>1214.5845576116531</v>
          </cell>
          <cell r="G14">
            <v>1252.9647481224169</v>
          </cell>
        </row>
        <row r="15">
          <cell r="A15" t="str">
            <v>Total distributable cash flow (DCF)</v>
          </cell>
          <cell r="B15">
            <v>416.66799999999978</v>
          </cell>
          <cell r="C15">
            <v>576.23300000000029</v>
          </cell>
          <cell r="D15">
            <v>742.2564449777152</v>
          </cell>
          <cell r="E15">
            <v>857.48784939094298</v>
          </cell>
          <cell r="F15">
            <v>848.32455761165306</v>
          </cell>
          <cell r="G15">
            <v>822.80474812241732</v>
          </cell>
        </row>
        <row r="16">
          <cell r="A16" t="str">
            <v>GP distribution</v>
          </cell>
          <cell r="B16">
            <v>38.885238256623197</v>
          </cell>
          <cell r="C16">
            <v>112.51277393046867</v>
          </cell>
          <cell r="D16">
            <v>204.86452456059556</v>
          </cell>
          <cell r="E16">
            <v>257.27200815020723</v>
          </cell>
          <cell r="F16">
            <v>291.64424069508289</v>
          </cell>
          <cell r="G16">
            <v>328.7662518435485</v>
          </cell>
        </row>
        <row r="17">
          <cell r="A17" t="str">
            <v>LP distribution</v>
          </cell>
          <cell r="B17">
            <v>183.5679256</v>
          </cell>
          <cell r="C17">
            <v>279.3198026</v>
          </cell>
          <cell r="D17">
            <v>425.84130739607991</v>
          </cell>
          <cell r="E17">
            <v>465.45731571185706</v>
          </cell>
          <cell r="F17">
            <v>502.69390096880568</v>
          </cell>
          <cell r="G17">
            <v>542.90941304631008</v>
          </cell>
        </row>
        <row r="18">
          <cell r="A18" t="str">
            <v>Coverage ratio</v>
          </cell>
          <cell r="B18">
            <v>2.057999841249917</v>
          </cell>
          <cell r="C18">
            <v>1.6601766926407373</v>
          </cell>
          <cell r="D18">
            <v>1.261953481458024</v>
          </cell>
          <cell r="E18">
            <v>1.2895185465562675</v>
          </cell>
          <cell r="F18">
            <v>1.1073942131458536</v>
          </cell>
          <cell r="G18">
            <v>0.90998329446302573</v>
          </cell>
        </row>
        <row r="19">
          <cell r="A19" t="str">
            <v>% cash flow paid to GP</v>
          </cell>
          <cell r="B19">
            <v>0.17480191147870452</v>
          </cell>
          <cell r="C19">
            <v>0.28714502231215006</v>
          </cell>
          <cell r="D19">
            <v>0.32481786940994728</v>
          </cell>
          <cell r="E19">
            <v>0.35597283748695463</v>
          </cell>
          <cell r="F19">
            <v>0.36715376663668692</v>
          </cell>
          <cell r="G19">
            <v>0.37716580270150146</v>
          </cell>
        </row>
        <row r="21">
          <cell r="A21" t="str">
            <v>Capital Expenditures ($MM)</v>
          </cell>
        </row>
        <row r="22">
          <cell r="A22" t="str">
            <v>Maintenance capital</v>
          </cell>
          <cell r="B22">
            <v>82.954999999999998</v>
          </cell>
          <cell r="C22">
            <v>42</v>
          </cell>
          <cell r="D22">
            <v>44.6</v>
          </cell>
          <cell r="E22">
            <v>54.56</v>
          </cell>
          <cell r="F22">
            <v>54.56</v>
          </cell>
          <cell r="G22">
            <v>54.56</v>
          </cell>
        </row>
        <row r="23">
          <cell r="A23" t="str">
            <v>Growth/acquisition capital</v>
          </cell>
          <cell r="B23">
            <v>1245.3480000000002</v>
          </cell>
          <cell r="C23">
            <v>1224.3489999999999</v>
          </cell>
          <cell r="D23">
            <v>1664</v>
          </cell>
          <cell r="E23">
            <v>0</v>
          </cell>
          <cell r="F23">
            <v>0</v>
          </cell>
          <cell r="G23">
            <v>0</v>
          </cell>
        </row>
        <row r="24">
          <cell r="A24" t="str">
            <v>Total capital expenditure</v>
          </cell>
          <cell r="B24">
            <v>1328.3030000000001</v>
          </cell>
          <cell r="C24">
            <v>1266.3489999999999</v>
          </cell>
          <cell r="D24">
            <v>1708.6</v>
          </cell>
          <cell r="E24">
            <v>54.56</v>
          </cell>
          <cell r="F24">
            <v>54.56</v>
          </cell>
          <cell r="G24">
            <v>54.56</v>
          </cell>
        </row>
        <row r="26">
          <cell r="A26" t="str">
            <v>Financing ($MM)</v>
          </cell>
        </row>
        <row r="27">
          <cell r="A27" t="str">
            <v>Equity</v>
          </cell>
          <cell r="B27">
            <v>507.72388000000001</v>
          </cell>
          <cell r="C27">
            <v>132.38300000000001</v>
          </cell>
          <cell r="D27">
            <v>1333</v>
          </cell>
          <cell r="E27">
            <v>0</v>
          </cell>
          <cell r="F27">
            <v>0</v>
          </cell>
          <cell r="G27">
            <v>0</v>
          </cell>
        </row>
        <row r="28">
          <cell r="A28" t="str">
            <v>Debt</v>
          </cell>
          <cell r="B28">
            <v>616.10299999999995</v>
          </cell>
          <cell r="C28">
            <v>912.29700000000003</v>
          </cell>
          <cell r="D28">
            <v>52</v>
          </cell>
          <cell r="E28">
            <v>0</v>
          </cell>
          <cell r="F28">
            <v>0</v>
          </cell>
          <cell r="G28">
            <v>0</v>
          </cell>
        </row>
        <row r="29">
          <cell r="A29" t="str">
            <v>Cash</v>
          </cell>
          <cell r="B29">
            <v>204.47612000000015</v>
          </cell>
          <cell r="C29">
            <v>221.66899999999987</v>
          </cell>
          <cell r="D29">
            <v>323.59999999999991</v>
          </cell>
          <cell r="E29">
            <v>54.56</v>
          </cell>
          <cell r="F29">
            <v>54.56</v>
          </cell>
          <cell r="G29">
            <v>54.56</v>
          </cell>
        </row>
        <row r="31">
          <cell r="A31" t="str">
            <v>Balance sheet/credit</v>
          </cell>
        </row>
        <row r="32">
          <cell r="A32" t="str">
            <v>Total assets ($MM)</v>
          </cell>
          <cell r="B32">
            <v>4426.9054970000007</v>
          </cell>
          <cell r="C32">
            <v>5455.0129999999999</v>
          </cell>
          <cell r="D32">
            <v>7609.904276456451</v>
          </cell>
          <cell r="E32">
            <v>7598.8394433908197</v>
          </cell>
          <cell r="F32">
            <v>7503.5587281935404</v>
          </cell>
          <cell r="G32">
            <v>7304.0360074389791</v>
          </cell>
        </row>
        <row r="33">
          <cell r="A33" t="str">
            <v>Total debt ($MM)</v>
          </cell>
          <cell r="B33">
            <v>1675.7048</v>
          </cell>
          <cell r="C33">
            <v>2589.1239999999998</v>
          </cell>
          <cell r="D33">
            <v>3441.1239999999998</v>
          </cell>
          <cell r="E33">
            <v>3441.1239999999998</v>
          </cell>
          <cell r="F33">
            <v>3441.1239999999998</v>
          </cell>
          <cell r="G33">
            <v>3441.1239999999998</v>
          </cell>
        </row>
        <row r="34">
          <cell r="A34" t="str">
            <v>Total equity ($MM)</v>
          </cell>
          <cell r="B34">
            <v>1326.1919</v>
          </cell>
          <cell r="C34">
            <v>1736.8620000000001</v>
          </cell>
          <cell r="D34">
            <v>3039.7532764564512</v>
          </cell>
          <cell r="E34">
            <v>3028.688443390819</v>
          </cell>
          <cell r="F34">
            <v>2933.4077281935397</v>
          </cell>
          <cell r="G34">
            <v>2733.8850074389788</v>
          </cell>
        </row>
        <row r="35">
          <cell r="A35" t="str">
            <v>Debt/total capital</v>
          </cell>
          <cell r="B35">
            <v>0.55821534431881015</v>
          </cell>
          <cell r="C35">
            <v>0.5985049419947267</v>
          </cell>
          <cell r="D35">
            <v>0.53096577102313269</v>
          </cell>
          <cell r="E35">
            <v>0.53187384180127983</v>
          </cell>
          <cell r="F35">
            <v>0.53982380929730978</v>
          </cell>
          <cell r="G35">
            <v>0.5572662316531859</v>
          </cell>
        </row>
        <row r="36">
          <cell r="A36" t="str">
            <v>Debt/EBITDA</v>
          </cell>
          <cell r="B36">
            <v>3.0918203623749965</v>
          </cell>
          <cell r="C36">
            <v>3.388865837967876</v>
          </cell>
          <cell r="D36">
            <v>3.4819271549488562</v>
          </cell>
          <cell r="E36">
            <v>2.9250119346824421</v>
          </cell>
          <cell r="F36">
            <v>2.8331695627405238</v>
          </cell>
          <cell r="G36">
            <v>2.7463853274057124</v>
          </cell>
        </row>
        <row r="38">
          <cell r="A38" t="str">
            <v>Interest expense ($MM)</v>
          </cell>
          <cell r="B38">
            <v>93.016999999999996</v>
          </cell>
          <cell r="C38">
            <v>113.857</v>
          </cell>
          <cell r="D38">
            <v>183.9</v>
          </cell>
          <cell r="E38">
            <v>247.8</v>
          </cell>
          <cell r="F38">
            <v>311.7</v>
          </cell>
          <cell r="G38">
            <v>375.59999999999997</v>
          </cell>
        </row>
        <row r="39">
          <cell r="A39" t="str">
            <v>Interest Coverage</v>
          </cell>
          <cell r="B39">
            <v>5.8266768440177579</v>
          </cell>
          <cell r="C39">
            <v>6.7102505774787691</v>
          </cell>
          <cell r="D39">
            <v>5.3740154702431484</v>
          </cell>
          <cell r="E39">
            <v>4.7475700136841921</v>
          </cell>
          <cell r="F39">
            <v>3.8966459981124579</v>
          </cell>
          <cell r="G39">
            <v>3.3359018853099496</v>
          </cell>
        </row>
        <row r="40">
          <cell r="A40" t="str">
            <v>Implied cost of debt</v>
          </cell>
          <cell r="B40">
            <v>5.5509180375923013E-2</v>
          </cell>
          <cell r="C40">
            <v>4.3975105093460184E-2</v>
          </cell>
          <cell r="D40">
            <v>5.3441840514901529E-2</v>
          </cell>
          <cell r="E40">
            <v>7.2011354429541055E-2</v>
          </cell>
          <cell r="F40">
            <v>9.0580868344180568E-2</v>
          </cell>
          <cell r="G40">
            <v>0.10915038225882008</v>
          </cell>
        </row>
        <row r="42">
          <cell r="A42" t="str">
            <v>Implied Valuation</v>
          </cell>
          <cell r="B42">
            <v>2005</v>
          </cell>
          <cell r="C42">
            <v>2006</v>
          </cell>
          <cell r="D42" t="str">
            <v>2007E</v>
          </cell>
          <cell r="E42" t="str">
            <v>2008E</v>
          </cell>
          <cell r="F42" t="str">
            <v>2009E</v>
          </cell>
          <cell r="G42" t="str">
            <v>2010E</v>
          </cell>
        </row>
        <row r="43">
          <cell r="A43" t="str">
            <v>Yield</v>
          </cell>
          <cell r="B43">
            <v>4.1962174940898343E-2</v>
          </cell>
          <cell r="C43">
            <v>4.6508456082924171E-2</v>
          </cell>
          <cell r="D43">
            <v>5.691664075286415E-2</v>
          </cell>
          <cell r="E43">
            <v>6.0900805605564642E-2</v>
          </cell>
          <cell r="F43">
            <v>6.5772870054009822E-2</v>
          </cell>
          <cell r="G43">
            <v>7.1034699658330619E-2</v>
          </cell>
        </row>
        <row r="44">
          <cell r="A44" t="str">
            <v>Price to cash flow</v>
          </cell>
          <cell r="B44">
            <v>40.95014407026671</v>
          </cell>
          <cell r="C44">
            <v>26.912280941158016</v>
          </cell>
          <cell r="D44">
            <v>17.652427957178489</v>
          </cell>
          <cell r="E44">
            <v>16.149994309367578</v>
          </cell>
          <cell r="F44">
            <v>14.953698434599607</v>
          </cell>
          <cell r="G44">
            <v>13.846017069073712</v>
          </cell>
        </row>
        <row r="46">
          <cell r="A46" t="str">
            <v>Enterprise value (EV) (12/5/06)</v>
          </cell>
          <cell r="B46">
            <v>10958.257</v>
          </cell>
          <cell r="D46" t="str">
            <v>Implied EV (as of 12/5/06)**</v>
          </cell>
          <cell r="G46">
            <v>14516.007020763593</v>
          </cell>
        </row>
        <row r="47">
          <cell r="A47" t="str">
            <v>Enterprise value/EBITDA</v>
          </cell>
          <cell r="B47">
            <v>20.218932432931112</v>
          </cell>
          <cell r="C47">
            <v>14.343099361394952</v>
          </cell>
          <cell r="D47">
            <v>11.088194618737479</v>
          </cell>
          <cell r="E47">
            <v>9.3146984846571677</v>
          </cell>
          <cell r="F47">
            <v>9.0222265146761025</v>
          </cell>
          <cell r="G47">
            <v>8.7458621772249234</v>
          </cell>
        </row>
        <row r="48">
          <cell r="A48" t="str">
            <v>Implied EV**/EBITDA</v>
          </cell>
          <cell r="B48">
            <v>26.783289089567141</v>
          </cell>
          <cell r="C48">
            <v>18.999785370019971</v>
          </cell>
          <cell r="D48">
            <v>14.68813068841024</v>
          </cell>
          <cell r="E48">
            <v>12.338844453053023</v>
          </cell>
          <cell r="F48">
            <v>11.951417404242092</v>
          </cell>
          <cell r="G48">
            <v>11.585327554119944</v>
          </cell>
        </row>
        <row r="49">
          <cell r="A49" t="str">
            <v>Price to earnings</v>
          </cell>
          <cell r="B49">
            <v>31.037436101868522</v>
          </cell>
          <cell r="C49">
            <v>20.237678179476575</v>
          </cell>
          <cell r="D49">
            <v>18.920181570513275</v>
          </cell>
          <cell r="E49">
            <v>16.867031150497464</v>
          </cell>
          <cell r="F49">
            <v>18.811988484937743</v>
          </cell>
          <cell r="G49">
            <v>22.31959575426422</v>
          </cell>
        </row>
        <row r="51">
          <cell r="A51" t="str">
            <v>Return on equity</v>
          </cell>
          <cell r="B51">
            <v>0.26295214139069906</v>
          </cell>
          <cell r="C51">
            <v>0.29665626860395372</v>
          </cell>
          <cell r="D51">
            <v>0.20038268871318213</v>
          </cell>
          <cell r="E51">
            <v>0.2314446171049151</v>
          </cell>
          <cell r="F51">
            <v>0.23491835037550549</v>
          </cell>
          <cell r="G51">
            <v>0.24251610093041645</v>
          </cell>
        </row>
        <row r="52">
          <cell r="A52" t="str">
            <v>Return on assets</v>
          </cell>
          <cell r="B52">
            <v>7.8773987887548483E-2</v>
          </cell>
          <cell r="C52">
            <v>0.10428157248138055</v>
          </cell>
          <cell r="D52">
            <v>9.3244208389853075E-2</v>
          </cell>
          <cell r="E52">
            <v>9.2180347045483488E-2</v>
          </cell>
          <cell r="F52">
            <v>9.1258526845434423E-2</v>
          </cell>
          <cell r="G52">
            <v>8.9550145615584012E-2</v>
          </cell>
        </row>
        <row r="54">
          <cell r="A54" t="str">
            <v>NOPAT (net income + AT interest)</v>
          </cell>
          <cell r="B54">
            <v>293.77499999999986</v>
          </cell>
          <cell r="C54">
            <v>629.10800000000017</v>
          </cell>
          <cell r="D54">
            <v>793.01393456104836</v>
          </cell>
          <cell r="E54">
            <v>948.77363711066937</v>
          </cell>
          <cell r="F54">
            <v>1000.8113044859856</v>
          </cell>
          <cell r="G54">
            <v>1038.6111323962239</v>
          </cell>
        </row>
        <row r="55">
          <cell r="A55" t="str">
            <v>Capital employed (Debt + Equity)</v>
          </cell>
          <cell r="B55">
            <v>3001.8967000000002</v>
          </cell>
          <cell r="C55">
            <v>4325.9859999999999</v>
          </cell>
          <cell r="D55">
            <v>6480.877276456451</v>
          </cell>
          <cell r="E55">
            <v>6469.8124433908188</v>
          </cell>
          <cell r="F55">
            <v>6374.5317281935395</v>
          </cell>
          <cell r="G55">
            <v>6175.0090074389791</v>
          </cell>
        </row>
        <row r="56">
          <cell r="A56" t="str">
            <v>Return on capital employed (ROCE)</v>
          </cell>
          <cell r="B56">
            <v>9.7863127668583613E-2</v>
          </cell>
          <cell r="C56">
            <v>0.1454253434939457</v>
          </cell>
          <cell r="D56">
            <v>0.12236212795478894</v>
          </cell>
          <cell r="E56">
            <v>0.14664623517485131</v>
          </cell>
          <cell r="F56">
            <v>0.15700154100097369</v>
          </cell>
          <cell r="G56">
            <v>0.168195889454577</v>
          </cell>
        </row>
        <row r="57">
          <cell r="A57" t="str">
            <v>* Implied price to cash flow is total cash flow distributed (GP+LP)</v>
          </cell>
        </row>
        <row r="58">
          <cell r="A58" t="str">
            <v xml:space="preserve">** Implied EV assumes gross up of equity value proportionate with % cash flow paid to GP </v>
          </cell>
        </row>
        <row r="59">
          <cell r="A59" t="str">
            <v>Segment data</v>
          </cell>
          <cell r="B59">
            <v>2005</v>
          </cell>
          <cell r="C59">
            <v>2006</v>
          </cell>
          <cell r="D59" t="str">
            <v>2007E</v>
          </cell>
          <cell r="E59" t="str">
            <v>2008E</v>
          </cell>
          <cell r="F59" t="str">
            <v>2009E</v>
          </cell>
          <cell r="G59" t="str">
            <v>2010E</v>
          </cell>
        </row>
        <row r="60">
          <cell r="A60" t="str">
            <v>Midstream*</v>
          </cell>
        </row>
        <row r="61">
          <cell r="A61" t="str">
            <v>Operating income</v>
          </cell>
          <cell r="B61">
            <v>99.132999999999726</v>
          </cell>
          <cell r="C61">
            <v>151.50700000000009</v>
          </cell>
          <cell r="D61">
            <v>143.6855390618752</v>
          </cell>
          <cell r="E61">
            <v>137.84883960234322</v>
          </cell>
          <cell r="F61">
            <v>141.1889373225271</v>
          </cell>
          <cell r="G61">
            <v>145.69286623700214</v>
          </cell>
        </row>
        <row r="62">
          <cell r="A62" t="str">
            <v>D&amp;A</v>
          </cell>
          <cell r="B62">
            <v>12.58</v>
          </cell>
          <cell r="C62">
            <v>15.744</v>
          </cell>
          <cell r="D62">
            <v>28.617556640624997</v>
          </cell>
          <cell r="E62">
            <v>41.721355079650877</v>
          </cell>
          <cell r="F62">
            <v>43.007279704958194</v>
          </cell>
          <cell r="G62">
            <v>43.285608483856187</v>
          </cell>
        </row>
        <row r="63">
          <cell r="A63" t="str">
            <v>Midstream*</v>
          </cell>
          <cell r="B63">
            <v>111.71299999999972</v>
          </cell>
          <cell r="C63">
            <v>167.25100000000009</v>
          </cell>
          <cell r="D63">
            <v>230.71976236916686</v>
          </cell>
          <cell r="E63">
            <v>351.7368613486608</v>
          </cell>
          <cell r="F63">
            <v>356.36288369415195</v>
          </cell>
          <cell r="G63">
            <v>361.14514138752497</v>
          </cell>
        </row>
        <row r="65">
          <cell r="A65" t="str">
            <v>Transportation &amp; Storage</v>
          </cell>
        </row>
        <row r="66">
          <cell r="A66" t="str">
            <v>Operating income</v>
          </cell>
          <cell r="B66">
            <v>160.0980000000003</v>
          </cell>
          <cell r="C66">
            <v>430.69800000000049</v>
          </cell>
          <cell r="D66">
            <v>452.70677467352573</v>
          </cell>
          <cell r="E66">
            <v>469.27182314417649</v>
          </cell>
          <cell r="F66">
            <v>498.48255609407516</v>
          </cell>
          <cell r="G66">
            <v>529.8666485420913</v>
          </cell>
        </row>
        <row r="67">
          <cell r="A67" t="str">
            <v>D&amp;A</v>
          </cell>
          <cell r="B67">
            <v>27.742000000000001</v>
          </cell>
          <cell r="C67">
            <v>42.476999999999997</v>
          </cell>
          <cell r="D67">
            <v>55.773904296874989</v>
          </cell>
          <cell r="E67">
            <v>68.956938224792452</v>
          </cell>
          <cell r="F67">
            <v>70.257981414288253</v>
          </cell>
          <cell r="G67">
            <v>70.539066078379591</v>
          </cell>
        </row>
        <row r="68">
          <cell r="A68" t="str">
            <v>Trans. &amp; Storage</v>
          </cell>
          <cell r="B68">
            <v>187.84000000000029</v>
          </cell>
          <cell r="C68">
            <v>473.17500000000047</v>
          </cell>
          <cell r="D68">
            <v>508.48067897040073</v>
          </cell>
          <cell r="E68">
            <v>538.22876136896889</v>
          </cell>
          <cell r="F68">
            <v>568.74053750836345</v>
          </cell>
          <cell r="G68">
            <v>600.40571462047092</v>
          </cell>
        </row>
        <row r="70">
          <cell r="A70" t="str">
            <v>Transwestern</v>
          </cell>
        </row>
        <row r="71">
          <cell r="A71" t="str">
            <v>Operating income</v>
          </cell>
          <cell r="D71">
            <v>87.949542699000006</v>
          </cell>
          <cell r="E71">
            <v>113.77968611599998</v>
          </cell>
          <cell r="F71">
            <v>115.14948297715996</v>
          </cell>
          <cell r="G71">
            <v>116.53297780693158</v>
          </cell>
        </row>
        <row r="72">
          <cell r="A72" t="str">
            <v>D&amp;A</v>
          </cell>
          <cell r="D72">
            <v>32.666666666666671</v>
          </cell>
          <cell r="E72">
            <v>39.200000000000003</v>
          </cell>
          <cell r="F72">
            <v>39.200000000000003</v>
          </cell>
          <cell r="G72">
            <v>39.200000000000003</v>
          </cell>
        </row>
        <row r="73">
          <cell r="A73" t="str">
            <v>Transwestern</v>
          </cell>
          <cell r="D73">
            <v>120.61620936566668</v>
          </cell>
          <cell r="E73">
            <v>152.97968611599998</v>
          </cell>
          <cell r="F73">
            <v>154.34948297715997</v>
          </cell>
          <cell r="G73">
            <v>155.73297780693159</v>
          </cell>
        </row>
        <row r="75">
          <cell r="A75" t="str">
            <v>Propane (retail &amp; wholesale)</v>
          </cell>
        </row>
        <row r="76">
          <cell r="A76" t="str">
            <v>Operating income</v>
          </cell>
          <cell r="B76">
            <v>65.611000000000132</v>
          </cell>
          <cell r="C76">
            <v>77.31699999999995</v>
          </cell>
          <cell r="D76">
            <v>67.780411459980726</v>
          </cell>
          <cell r="E76">
            <v>72.306621581482887</v>
          </cell>
          <cell r="F76">
            <v>73.823661425556537</v>
          </cell>
          <cell r="G76">
            <v>74.351973143532121</v>
          </cell>
        </row>
        <row r="77">
          <cell r="A77" t="str">
            <v>D&amp;A</v>
          </cell>
          <cell r="B77">
            <v>52.241</v>
          </cell>
          <cell r="C77">
            <v>58.777999999999999</v>
          </cell>
          <cell r="D77">
            <v>60.684382812500004</v>
          </cell>
          <cell r="E77">
            <v>61.195918975830075</v>
          </cell>
          <cell r="F77">
            <v>61.307992006421088</v>
          </cell>
          <cell r="G77">
            <v>61.328941163957587</v>
          </cell>
        </row>
        <row r="78">
          <cell r="A78" t="str">
            <v>Propane</v>
          </cell>
          <cell r="B78">
            <v>117.85200000000013</v>
          </cell>
          <cell r="C78">
            <v>136.09499999999994</v>
          </cell>
          <cell r="D78">
            <v>128.46479427248073</v>
          </cell>
          <cell r="E78">
            <v>133.50254055731295</v>
          </cell>
          <cell r="F78">
            <v>135.13165343197761</v>
          </cell>
          <cell r="G78">
            <v>135.6809143074897</v>
          </cell>
        </row>
        <row r="80">
          <cell r="A80" t="str">
            <v>Other</v>
          </cell>
          <cell r="B80">
            <v>0</v>
          </cell>
          <cell r="C80">
            <v>0</v>
          </cell>
          <cell r="D80">
            <v>58.416666666666664</v>
          </cell>
          <cell r="E80">
            <v>172.16666666666666</v>
          </cell>
          <cell r="F80">
            <v>172.16666666666666</v>
          </cell>
          <cell r="G80">
            <v>172.16666666666666</v>
          </cell>
        </row>
        <row r="82">
          <cell r="A82" t="str">
            <v>Total EBITDA</v>
          </cell>
          <cell r="B82">
            <v>417.40500000000014</v>
          </cell>
          <cell r="C82">
            <v>776.52100000000053</v>
          </cell>
          <cell r="D82">
            <v>988.28144497771495</v>
          </cell>
          <cell r="E82">
            <v>1176.4478493909426</v>
          </cell>
          <cell r="F82">
            <v>1214.5845576116531</v>
          </cell>
          <cell r="G82">
            <v>1252.9647481224172</v>
          </cell>
        </row>
        <row r="102">
          <cell r="A102" t="str">
            <v>* Midstream includes other unallocated capital programs</v>
          </cell>
        </row>
      </sheetData>
      <sheetData sheetId="2" refreshError="1">
        <row r="1">
          <cell r="A1" t="str">
            <v>Annual Earnings Model</v>
          </cell>
          <cell r="J1">
            <v>2005</v>
          </cell>
          <cell r="N1" t="str">
            <v>2006E</v>
          </cell>
          <cell r="R1" t="str">
            <v>2007E</v>
          </cell>
          <cell r="V1" t="str">
            <v>2008E</v>
          </cell>
          <cell r="Z1" t="str">
            <v>2009E</v>
          </cell>
          <cell r="AD1" t="str">
            <v>2010E</v>
          </cell>
        </row>
        <row r="2">
          <cell r="B2">
            <v>2004</v>
          </cell>
          <cell r="C2">
            <v>2005</v>
          </cell>
          <cell r="D2">
            <v>2006</v>
          </cell>
          <cell r="E2" t="str">
            <v>2007E</v>
          </cell>
          <cell r="F2" t="str">
            <v>2008E</v>
          </cell>
          <cell r="G2" t="str">
            <v>2009E</v>
          </cell>
          <cell r="H2" t="str">
            <v>2010E</v>
          </cell>
          <cell r="J2" t="str">
            <v>1Q (S-N)</v>
          </cell>
          <cell r="K2" t="str">
            <v>2Q (D-F)</v>
          </cell>
          <cell r="L2" t="str">
            <v>3Q (M-M)</v>
          </cell>
          <cell r="M2" t="str">
            <v>4Q (Jn-A)</v>
          </cell>
          <cell r="N2" t="str">
            <v>1Q (S-N)</v>
          </cell>
          <cell r="O2" t="str">
            <v>2Q (D-F)</v>
          </cell>
          <cell r="P2" t="str">
            <v>3Q (M-M)</v>
          </cell>
          <cell r="Q2" t="str">
            <v>4Q (Jn-A)</v>
          </cell>
          <cell r="R2" t="str">
            <v>1Q (S-N)</v>
          </cell>
          <cell r="S2" t="str">
            <v>2Q (D-F)</v>
          </cell>
          <cell r="T2" t="str">
            <v>3Q (M-M)</v>
          </cell>
          <cell r="U2" t="str">
            <v>4Q (Jn-A)</v>
          </cell>
          <cell r="V2" t="str">
            <v>1Q (S-N)</v>
          </cell>
          <cell r="W2" t="str">
            <v>2Q (D-F)</v>
          </cell>
          <cell r="X2" t="str">
            <v>3Q (M-M)</v>
          </cell>
          <cell r="Y2" t="str">
            <v>4Q (Jn-A)</v>
          </cell>
          <cell r="Z2" t="str">
            <v>1Q (S-N)</v>
          </cell>
          <cell r="AA2" t="str">
            <v>2Q (D-F)</v>
          </cell>
          <cell r="AB2" t="str">
            <v>3Q (M-M)</v>
          </cell>
          <cell r="AC2" t="str">
            <v>4Q (Jn-A)</v>
          </cell>
          <cell r="AD2" t="str">
            <v>1Q (S-N)</v>
          </cell>
          <cell r="AE2" t="str">
            <v>2Q (D-F)</v>
          </cell>
          <cell r="AF2" t="str">
            <v>3Q (M-M)</v>
          </cell>
          <cell r="AG2" t="str">
            <v>4Q (Jn-A)</v>
          </cell>
        </row>
        <row r="3">
          <cell r="A3" t="str">
            <v>Revenues</v>
          </cell>
        </row>
        <row r="4">
          <cell r="A4" t="str">
            <v>Midstream Transportation &amp; Storage</v>
          </cell>
          <cell r="B4">
            <v>1966.8030000000001</v>
          </cell>
          <cell r="C4">
            <v>5383.625</v>
          </cell>
          <cell r="D4">
            <v>6877.512999999999</v>
          </cell>
          <cell r="E4">
            <v>9156.8130145992563</v>
          </cell>
          <cell r="F4">
            <v>9482.8022005981875</v>
          </cell>
          <cell r="G4">
            <v>9775.8048031131148</v>
          </cell>
          <cell r="H4">
            <v>10078.833648381216</v>
          </cell>
          <cell r="J4">
            <v>693.68600000000004</v>
          </cell>
          <cell r="K4">
            <v>1130.5260000000001</v>
          </cell>
          <cell r="L4">
            <v>1849.518</v>
          </cell>
          <cell r="M4">
            <v>1709.895</v>
          </cell>
          <cell r="N4">
            <v>2208.5329999999999</v>
          </cell>
          <cell r="O4">
            <v>2083.3029999999999</v>
          </cell>
          <cell r="P4">
            <v>1211.549</v>
          </cell>
          <cell r="Q4">
            <v>1374.1279999999999</v>
          </cell>
          <cell r="R4">
            <v>2520.9511661536462</v>
          </cell>
          <cell r="S4">
            <v>2849.683261663849</v>
          </cell>
          <cell r="T4">
            <v>1962.1719973565675</v>
          </cell>
          <cell r="U4">
            <v>1824.0065894251943</v>
          </cell>
          <cell r="V4">
            <v>2606.6716019296941</v>
          </cell>
          <cell r="W4">
            <v>2952.2721353995285</v>
          </cell>
          <cell r="X4">
            <v>2033.2241340204532</v>
          </cell>
          <cell r="Y4">
            <v>1890.6343292485117</v>
          </cell>
          <cell r="Z4">
            <v>2678.9180146103045</v>
          </cell>
          <cell r="AA4">
            <v>3045.8365915978025</v>
          </cell>
          <cell r="AB4">
            <v>2098.5137184911646</v>
          </cell>
          <cell r="AC4">
            <v>1952.5364784138419</v>
          </cell>
          <cell r="AD4">
            <v>2753.4186136504613</v>
          </cell>
          <cell r="AE4">
            <v>3142.6643343312408</v>
          </cell>
          <cell r="AF4">
            <v>2166.1022634965639</v>
          </cell>
          <cell r="AG4">
            <v>2016.6484369029513</v>
          </cell>
        </row>
        <row r="5">
          <cell r="A5" t="str">
            <v>New project EBITDA</v>
          </cell>
          <cell r="B5">
            <v>0</v>
          </cell>
          <cell r="C5">
            <v>0</v>
          </cell>
          <cell r="D5">
            <v>0</v>
          </cell>
          <cell r="E5">
            <v>143.94954269900001</v>
          </cell>
          <cell r="F5">
            <v>180.97968611599998</v>
          </cell>
          <cell r="G5">
            <v>182.34948297715997</v>
          </cell>
          <cell r="H5">
            <v>183.73297780693159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9.2319539989999999</v>
          </cell>
          <cell r="S5">
            <v>44.905862900000002</v>
          </cell>
          <cell r="T5">
            <v>44.905862900000002</v>
          </cell>
          <cell r="U5">
            <v>44.905862900000002</v>
          </cell>
          <cell r="V5">
            <v>45.244921528999996</v>
          </cell>
          <cell r="W5">
            <v>45.244921528999996</v>
          </cell>
          <cell r="X5">
            <v>45.244921528999996</v>
          </cell>
          <cell r="Y5">
            <v>45.244921528999996</v>
          </cell>
          <cell r="Z5">
            <v>45.587370744289991</v>
          </cell>
          <cell r="AA5">
            <v>45.587370744289991</v>
          </cell>
          <cell r="AB5">
            <v>45.587370744289991</v>
          </cell>
          <cell r="AC5">
            <v>45.587370744289991</v>
          </cell>
          <cell r="AD5">
            <v>45.933244451732897</v>
          </cell>
          <cell r="AE5">
            <v>45.933244451732897</v>
          </cell>
          <cell r="AF5">
            <v>45.933244451732897</v>
          </cell>
          <cell r="AG5">
            <v>45.933244451732897</v>
          </cell>
        </row>
        <row r="6">
          <cell r="A6" t="str">
            <v>Propane and other</v>
          </cell>
          <cell r="B6">
            <v>380.154</v>
          </cell>
          <cell r="C6">
            <v>785.1309</v>
          </cell>
          <cell r="D6">
            <v>981.58359999999993</v>
          </cell>
          <cell r="E6">
            <v>911.4039526903847</v>
          </cell>
          <cell r="F6">
            <v>935.96562756860442</v>
          </cell>
          <cell r="G6">
            <v>940.57931039185542</v>
          </cell>
          <cell r="H6">
            <v>955.47090505937956</v>
          </cell>
          <cell r="J6">
            <v>170.512</v>
          </cell>
          <cell r="K6">
            <v>309.31799999999998</v>
          </cell>
          <cell r="L6">
            <v>182.23099999999999</v>
          </cell>
          <cell r="M6">
            <v>123.11200000000008</v>
          </cell>
          <cell r="N6">
            <v>208.08699999999999</v>
          </cell>
          <cell r="O6">
            <v>366.51299999999998</v>
          </cell>
          <cell r="P6">
            <v>208.78659999999999</v>
          </cell>
          <cell r="Q6">
            <v>198.197</v>
          </cell>
          <cell r="R6">
            <v>191.30726762017824</v>
          </cell>
          <cell r="S6">
            <v>345.82274177552529</v>
          </cell>
          <cell r="T6">
            <v>198.49735680334058</v>
          </cell>
          <cell r="U6">
            <v>175.77658649134057</v>
          </cell>
          <cell r="V6">
            <v>194.79483219821807</v>
          </cell>
          <cell r="W6">
            <v>350.0179540227598</v>
          </cell>
          <cell r="X6">
            <v>200.3322789182333</v>
          </cell>
          <cell r="Y6">
            <v>190.82056242939322</v>
          </cell>
          <cell r="Z6">
            <v>196.59251023841222</v>
          </cell>
          <cell r="AA6">
            <v>354.22133058320998</v>
          </cell>
          <cell r="AB6">
            <v>203.0652150978766</v>
          </cell>
          <cell r="AC6">
            <v>186.70025447235665</v>
          </cell>
          <cell r="AD6">
            <v>199.28742948512973</v>
          </cell>
          <cell r="AE6">
            <v>358.49964071441315</v>
          </cell>
          <cell r="AF6">
            <v>205.39419665429969</v>
          </cell>
          <cell r="AG6">
            <v>192.28963820553702</v>
          </cell>
        </row>
        <row r="7">
          <cell r="A7" t="str">
            <v>Total Revenues</v>
          </cell>
          <cell r="B7">
            <v>2346.9570000000003</v>
          </cell>
          <cell r="C7">
            <v>6168.7559000000001</v>
          </cell>
          <cell r="D7">
            <v>7859.0965999999989</v>
          </cell>
          <cell r="E7">
            <v>10212.166509988641</v>
          </cell>
          <cell r="F7">
            <v>10599.747514282792</v>
          </cell>
          <cell r="G7">
            <v>10898.73359648213</v>
          </cell>
          <cell r="H7">
            <v>11218.037531247528</v>
          </cell>
          <cell r="J7">
            <v>864.19800000000009</v>
          </cell>
          <cell r="K7">
            <v>1439.8440000000001</v>
          </cell>
          <cell r="L7">
            <v>2031.749</v>
          </cell>
          <cell r="M7">
            <v>1833.0070000000001</v>
          </cell>
          <cell r="N7">
            <v>2416.62</v>
          </cell>
          <cell r="O7">
            <v>2449.8159999999998</v>
          </cell>
          <cell r="P7">
            <v>1420.3355999999999</v>
          </cell>
          <cell r="Q7">
            <v>1572.3249999999998</v>
          </cell>
          <cell r="R7">
            <v>2721.4903877728243</v>
          </cell>
          <cell r="S7">
            <v>3240.4118663393742</v>
          </cell>
          <cell r="T7">
            <v>2205.575217059908</v>
          </cell>
          <cell r="U7">
            <v>2044.689038816535</v>
          </cell>
          <cell r="V7">
            <v>2846.711355656912</v>
          </cell>
          <cell r="W7">
            <v>3347.5350109512883</v>
          </cell>
          <cell r="X7">
            <v>2278.8013344676865</v>
          </cell>
          <cell r="Y7">
            <v>2126.6998132069048</v>
          </cell>
          <cell r="Z7">
            <v>2921.0978955930068</v>
          </cell>
          <cell r="AA7">
            <v>3445.6452929253028</v>
          </cell>
          <cell r="AB7">
            <v>2347.1663043333315</v>
          </cell>
          <cell r="AC7">
            <v>2184.8241036304885</v>
          </cell>
          <cell r="AD7">
            <v>2998.6392875873244</v>
          </cell>
          <cell r="AE7">
            <v>3547.097219497387</v>
          </cell>
          <cell r="AF7">
            <v>2417.4297046025968</v>
          </cell>
          <cell r="AG7">
            <v>2254.8713195602213</v>
          </cell>
        </row>
        <row r="9">
          <cell r="A9" t="str">
            <v>Costs of products sold (T&amp;S)</v>
          </cell>
          <cell r="B9">
            <v>1981.424</v>
          </cell>
          <cell r="C9">
            <v>5381.5150000000003</v>
          </cell>
          <cell r="D9">
            <v>5963.4220000000005</v>
          </cell>
          <cell r="E9">
            <v>8205.4552735788566</v>
          </cell>
          <cell r="F9">
            <v>8495.3307899172214</v>
          </cell>
          <cell r="G9">
            <v>8753.1986691027141</v>
          </cell>
          <cell r="H9">
            <v>9019.7690065642801</v>
          </cell>
          <cell r="J9">
            <v>621.91399999999999</v>
          </cell>
          <cell r="K9">
            <v>1028.558</v>
          </cell>
          <cell r="L9">
            <v>1816.998</v>
          </cell>
          <cell r="M9">
            <v>1625.4369999999999</v>
          </cell>
          <cell r="N9">
            <v>1959.3679999999999</v>
          </cell>
          <cell r="O9">
            <v>1785.0530000000001</v>
          </cell>
          <cell r="P9">
            <v>1020.692</v>
          </cell>
          <cell r="Q9">
            <v>1198.309</v>
          </cell>
          <cell r="R9">
            <v>2265.3988537786463</v>
          </cell>
          <cell r="S9">
            <v>2562.4124106590989</v>
          </cell>
          <cell r="T9">
            <v>1743.8478822788175</v>
          </cell>
          <cell r="U9">
            <v>1633.7961268622942</v>
          </cell>
          <cell r="V9">
            <v>2341.9703063839038</v>
          </cell>
          <cell r="W9">
            <v>2653.8582532535866</v>
          </cell>
          <cell r="X9">
            <v>1806.5458799945818</v>
          </cell>
          <cell r="Y9">
            <v>1692.9563502851506</v>
          </cell>
          <cell r="Z9">
            <v>2405.9325663343175</v>
          </cell>
          <cell r="AA9">
            <v>2736.3154854673057</v>
          </cell>
          <cell r="AB9">
            <v>1863.6334212163295</v>
          </cell>
          <cell r="AC9">
            <v>1747.3171960847608</v>
          </cell>
          <cell r="AD9">
            <v>2471.8627694441343</v>
          </cell>
          <cell r="AE9">
            <v>2821.6063411739824</v>
          </cell>
          <cell r="AF9">
            <v>1922.7077711656018</v>
          </cell>
          <cell r="AG9">
            <v>1803.5921247805622</v>
          </cell>
        </row>
        <row r="10">
          <cell r="A10" t="str">
            <v>Costs of products sold (Propane)</v>
          </cell>
          <cell r="B10">
            <v>0</v>
          </cell>
          <cell r="C10">
            <v>0</v>
          </cell>
          <cell r="D10">
            <v>604.88990000000001</v>
          </cell>
          <cell r="E10">
            <v>564.57145135111978</v>
          </cell>
          <cell r="F10">
            <v>580.59602370287098</v>
          </cell>
          <cell r="G10">
            <v>583.27017366917562</v>
          </cell>
          <cell r="H10">
            <v>592.82160283228609</v>
          </cell>
          <cell r="J10">
            <v>105.991</v>
          </cell>
          <cell r="K10">
            <v>182.61699999999999</v>
          </cell>
          <cell r="L10">
            <v>108.081</v>
          </cell>
          <cell r="M10">
            <v>0</v>
          </cell>
          <cell r="N10">
            <v>131.25489999999999</v>
          </cell>
          <cell r="O10">
            <v>223.77799999999999</v>
          </cell>
          <cell r="P10">
            <v>126.675</v>
          </cell>
          <cell r="Q10">
            <v>123.182</v>
          </cell>
          <cell r="R10">
            <v>120.55252328769994</v>
          </cell>
          <cell r="S10">
            <v>209.33401957882126</v>
          </cell>
          <cell r="T10">
            <v>120.40572914709101</v>
          </cell>
          <cell r="U10">
            <v>114.27917933750757</v>
          </cell>
          <cell r="V10">
            <v>122.84217116087055</v>
          </cell>
          <cell r="W10">
            <v>212.07353294002289</v>
          </cell>
          <cell r="X10">
            <v>121.90522588188374</v>
          </cell>
          <cell r="Y10">
            <v>123.77509372009382</v>
          </cell>
          <cell r="Z10">
            <v>123.97496412275491</v>
          </cell>
          <cell r="AA10">
            <v>214.5732293463978</v>
          </cell>
          <cell r="AB10">
            <v>123.41972177704204</v>
          </cell>
          <cell r="AC10">
            <v>121.30225842298087</v>
          </cell>
          <cell r="AD10">
            <v>125.72117059446367</v>
          </cell>
          <cell r="AE10">
            <v>217.24382751007423</v>
          </cell>
          <cell r="AF10">
            <v>124.95880494880271</v>
          </cell>
          <cell r="AG10">
            <v>124.8977997789455</v>
          </cell>
        </row>
        <row r="11">
          <cell r="A11" t="str">
            <v>Gross Margin (excludes other)</v>
          </cell>
          <cell r="B11">
            <v>365.53300000000036</v>
          </cell>
          <cell r="C11">
            <v>787.24089999999978</v>
          </cell>
          <cell r="D11">
            <v>1290.7846999999983</v>
          </cell>
          <cell r="E11">
            <v>1442.1397850586654</v>
          </cell>
          <cell r="F11">
            <v>1523.8207006626999</v>
          </cell>
          <cell r="G11">
            <v>1562.2647537102403</v>
          </cell>
          <cell r="H11">
            <v>1605.4469218509621</v>
          </cell>
          <cell r="J11">
            <v>136.29300000000012</v>
          </cell>
          <cell r="K11">
            <v>228.6690000000001</v>
          </cell>
          <cell r="L11">
            <v>106.67000000000007</v>
          </cell>
          <cell r="M11">
            <v>207.57000000000016</v>
          </cell>
          <cell r="N11">
            <v>325.99710000000005</v>
          </cell>
          <cell r="O11">
            <v>440.98499999999967</v>
          </cell>
          <cell r="P11">
            <v>272.96859999999992</v>
          </cell>
          <cell r="Q11">
            <v>250.83399999999983</v>
          </cell>
          <cell r="R11">
            <v>335.53901070647817</v>
          </cell>
          <cell r="S11">
            <v>468.66543610145391</v>
          </cell>
          <cell r="T11">
            <v>341.32160563399952</v>
          </cell>
          <cell r="U11">
            <v>296.61373261673339</v>
          </cell>
          <cell r="V11">
            <v>381.89887811213748</v>
          </cell>
          <cell r="W11">
            <v>481.60322475767907</v>
          </cell>
          <cell r="X11">
            <v>350.35022859122091</v>
          </cell>
          <cell r="Y11">
            <v>309.96836920166038</v>
          </cell>
          <cell r="Z11">
            <v>391.19036513593437</v>
          </cell>
          <cell r="AA11">
            <v>494.75657811159908</v>
          </cell>
          <cell r="AB11">
            <v>360.11316133996002</v>
          </cell>
          <cell r="AC11">
            <v>316.20464912274679</v>
          </cell>
          <cell r="AD11">
            <v>401.05534754872633</v>
          </cell>
          <cell r="AE11">
            <v>508.24705081333013</v>
          </cell>
          <cell r="AF11">
            <v>369.76312848819225</v>
          </cell>
          <cell r="AG11">
            <v>326.38139500071361</v>
          </cell>
        </row>
        <row r="13">
          <cell r="A13" t="str">
            <v>Gross Margin</v>
          </cell>
        </row>
        <row r="14">
          <cell r="A14" t="str">
            <v>Midstream</v>
          </cell>
          <cell r="B14">
            <v>-14.620999999999867</v>
          </cell>
          <cell r="C14">
            <v>144.23299999999961</v>
          </cell>
          <cell r="D14">
            <v>223.08299999999997</v>
          </cell>
          <cell r="E14">
            <v>227.56696829999996</v>
          </cell>
          <cell r="F14">
            <v>234.43949074266001</v>
          </cell>
          <cell r="G14">
            <v>239.15172450658747</v>
          </cell>
          <cell r="H14">
            <v>243.95867416916985</v>
          </cell>
          <cell r="J14">
            <v>20.177000000000021</v>
          </cell>
          <cell r="K14">
            <v>42.025000000000091</v>
          </cell>
          <cell r="L14">
            <v>22.201000000000022</v>
          </cell>
          <cell r="M14">
            <v>59.829999999999472</v>
          </cell>
          <cell r="N14">
            <v>112.95800000000008</v>
          </cell>
          <cell r="O14">
            <v>44.470000000000027</v>
          </cell>
          <cell r="P14">
            <v>44.801000000000045</v>
          </cell>
          <cell r="Q14">
            <v>20.853999999999814</v>
          </cell>
          <cell r="R14">
            <v>115.22845580000008</v>
          </cell>
          <cell r="S14">
            <v>45.363847000000028</v>
          </cell>
          <cell r="T14">
            <v>45.70150010000004</v>
          </cell>
          <cell r="U14">
            <v>21.273165399999812</v>
          </cell>
          <cell r="V14">
            <v>118.7083551651601</v>
          </cell>
          <cell r="W14">
            <v>46.733835179400039</v>
          </cell>
          <cell r="X14">
            <v>47.081685403020053</v>
          </cell>
          <cell r="Y14">
            <v>21.915614995079803</v>
          </cell>
          <cell r="Z14">
            <v>121.09439310397983</v>
          </cell>
          <cell r="AA14">
            <v>47.673185266505989</v>
          </cell>
          <cell r="AB14">
            <v>48.028027279620751</v>
          </cell>
          <cell r="AC14">
            <v>22.356118856480911</v>
          </cell>
          <cell r="AD14">
            <v>123.52839040536981</v>
          </cell>
          <cell r="AE14">
            <v>48.63141629036275</v>
          </cell>
          <cell r="AF14">
            <v>48.993390627941132</v>
          </cell>
          <cell r="AG14">
            <v>22.805476845496177</v>
          </cell>
        </row>
        <row r="15">
          <cell r="A15" t="str">
            <v>Transportation</v>
          </cell>
          <cell r="B15">
            <v>0</v>
          </cell>
          <cell r="C15">
            <v>328.02600000000029</v>
          </cell>
          <cell r="D15">
            <v>691.0070000000004</v>
          </cell>
          <cell r="E15">
            <v>723.79077272040035</v>
          </cell>
          <cell r="F15">
            <v>753.03191993830444</v>
          </cell>
          <cell r="G15">
            <v>783.45440950381203</v>
          </cell>
          <cell r="H15">
            <v>815.10596764776608</v>
          </cell>
          <cell r="J15">
            <v>51.594999999999999</v>
          </cell>
          <cell r="K15">
            <v>59.942999999999984</v>
          </cell>
          <cell r="L15">
            <v>118.40000000000009</v>
          </cell>
          <cell r="M15">
            <v>98.088000000000193</v>
          </cell>
          <cell r="N15">
            <v>136.20700000000011</v>
          </cell>
          <cell r="O15">
            <v>253.7800000000002</v>
          </cell>
          <cell r="P15">
            <v>146.053</v>
          </cell>
          <cell r="Q15">
            <v>154.9670000000001</v>
          </cell>
          <cell r="R15">
            <v>140.32385657500012</v>
          </cell>
          <cell r="S15">
            <v>241.90700400475015</v>
          </cell>
          <cell r="T15">
            <v>172.62261497774998</v>
          </cell>
          <cell r="U15">
            <v>168.93729716290011</v>
          </cell>
          <cell r="V15">
            <v>145.99294038063013</v>
          </cell>
          <cell r="W15">
            <v>251.68004696654205</v>
          </cell>
          <cell r="X15">
            <v>179.59656862285107</v>
          </cell>
          <cell r="Y15">
            <v>175.76236396828122</v>
          </cell>
          <cell r="Z15">
            <v>151.89105517200758</v>
          </cell>
          <cell r="AA15">
            <v>261.8479208639904</v>
          </cell>
          <cell r="AB15">
            <v>186.85226999521427</v>
          </cell>
          <cell r="AC15">
            <v>182.86316347259978</v>
          </cell>
          <cell r="AD15">
            <v>158.02745380095669</v>
          </cell>
          <cell r="AE15">
            <v>272.42657686689557</v>
          </cell>
          <cell r="AF15">
            <v>194.40110170302091</v>
          </cell>
          <cell r="AG15">
            <v>190.25083527689287</v>
          </cell>
        </row>
        <row r="16">
          <cell r="A16" t="str">
            <v>Propane (wholesale &amp; retail)</v>
          </cell>
          <cell r="B16">
            <v>380.154</v>
          </cell>
          <cell r="C16">
            <v>309.89900000000006</v>
          </cell>
          <cell r="D16">
            <v>371.08899999999988</v>
          </cell>
          <cell r="E16">
            <v>346.83250133926492</v>
          </cell>
          <cell r="F16">
            <v>355.36960386573344</v>
          </cell>
          <cell r="G16">
            <v>357.30913672267985</v>
          </cell>
          <cell r="H16">
            <v>362.64930222709359</v>
          </cell>
          <cell r="J16">
            <v>63.617999999999995</v>
          </cell>
          <cell r="K16">
            <v>125.79700000000004</v>
          </cell>
          <cell r="L16">
            <v>72.344999999999999</v>
          </cell>
          <cell r="M16">
            <v>48.139000000000088</v>
          </cell>
          <cell r="N16">
            <v>75.216999999999999</v>
          </cell>
          <cell r="O16">
            <v>141.834</v>
          </cell>
          <cell r="P16">
            <v>80.620999999999981</v>
          </cell>
          <cell r="Q16">
            <v>73.416999999999931</v>
          </cell>
          <cell r="R16">
            <v>70.754744332478282</v>
          </cell>
          <cell r="S16">
            <v>136.48872219670406</v>
          </cell>
          <cell r="T16">
            <v>78.091627656249599</v>
          </cell>
          <cell r="U16">
            <v>61.497407153832988</v>
          </cell>
          <cell r="V16">
            <v>71.952661037347482</v>
          </cell>
          <cell r="W16">
            <v>137.94442108273691</v>
          </cell>
          <cell r="X16">
            <v>78.427053036349591</v>
          </cell>
          <cell r="Y16">
            <v>67.045468709299399</v>
          </cell>
          <cell r="Z16">
            <v>72.617546115657277</v>
          </cell>
          <cell r="AA16">
            <v>139.64810123681224</v>
          </cell>
          <cell r="AB16">
            <v>79.645493320834589</v>
          </cell>
          <cell r="AC16">
            <v>65.397996049375763</v>
          </cell>
          <cell r="AD16">
            <v>73.566258890666063</v>
          </cell>
          <cell r="AE16">
            <v>141.25581320433895</v>
          </cell>
          <cell r="AF16">
            <v>80.435391705497011</v>
          </cell>
          <cell r="AG16">
            <v>67.391838426591534</v>
          </cell>
        </row>
        <row r="17">
          <cell r="A17" t="str">
            <v>Transwestern</v>
          </cell>
          <cell r="B17">
            <v>0</v>
          </cell>
          <cell r="C17">
            <v>0</v>
          </cell>
          <cell r="D17">
            <v>0</v>
          </cell>
          <cell r="E17">
            <v>143.94954269900001</v>
          </cell>
          <cell r="F17">
            <v>180.97968611599998</v>
          </cell>
          <cell r="G17">
            <v>182.34948297715997</v>
          </cell>
          <cell r="H17">
            <v>183.73297780693159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9.2319539989999999</v>
          </cell>
          <cell r="S17">
            <v>44.905862900000002</v>
          </cell>
          <cell r="T17">
            <v>44.905862900000002</v>
          </cell>
          <cell r="U17">
            <v>44.905862900000002</v>
          </cell>
          <cell r="V17">
            <v>45.244921528999996</v>
          </cell>
          <cell r="W17">
            <v>45.244921528999996</v>
          </cell>
          <cell r="X17">
            <v>45.244921528999996</v>
          </cell>
          <cell r="Y17">
            <v>45.244921528999996</v>
          </cell>
          <cell r="Z17">
            <v>45.587370744289991</v>
          </cell>
          <cell r="AA17">
            <v>45.587370744289991</v>
          </cell>
          <cell r="AB17">
            <v>45.587370744289991</v>
          </cell>
          <cell r="AC17">
            <v>45.587370744289991</v>
          </cell>
          <cell r="AD17">
            <v>45.933244451732897</v>
          </cell>
          <cell r="AE17">
            <v>45.933244451732897</v>
          </cell>
          <cell r="AF17">
            <v>45.933244451732897</v>
          </cell>
          <cell r="AG17">
            <v>45.933244451732897</v>
          </cell>
        </row>
        <row r="18">
          <cell r="A18" t="str">
            <v>Unallocated organic programs</v>
          </cell>
          <cell r="B18">
            <v>0</v>
          </cell>
          <cell r="C18">
            <v>4.5</v>
          </cell>
          <cell r="D18">
            <v>5</v>
          </cell>
          <cell r="E18">
            <v>58.416666666666664</v>
          </cell>
          <cell r="F18">
            <v>172.16666666666666</v>
          </cell>
          <cell r="G18">
            <v>172.16666666666666</v>
          </cell>
          <cell r="H18">
            <v>172.16666666666666</v>
          </cell>
          <cell r="J18">
            <v>1</v>
          </cell>
          <cell r="K18">
            <v>1</v>
          </cell>
          <cell r="L18">
            <v>1</v>
          </cell>
          <cell r="M18">
            <v>1.5</v>
          </cell>
          <cell r="N18">
            <v>1.5</v>
          </cell>
          <cell r="O18">
            <v>1</v>
          </cell>
          <cell r="P18">
            <v>1.5</v>
          </cell>
          <cell r="Q18">
            <v>1</v>
          </cell>
          <cell r="R18">
            <v>14.604166666666666</v>
          </cell>
          <cell r="S18">
            <v>14.604166666666666</v>
          </cell>
          <cell r="T18">
            <v>14.604166666666666</v>
          </cell>
          <cell r="U18">
            <v>14.604166666666666</v>
          </cell>
          <cell r="V18">
            <v>43.041666666666664</v>
          </cell>
          <cell r="W18">
            <v>43.041666666666664</v>
          </cell>
          <cell r="X18">
            <v>43.041666666666664</v>
          </cell>
          <cell r="Y18">
            <v>43.041666666666664</v>
          </cell>
          <cell r="Z18">
            <v>43.041666666666664</v>
          </cell>
          <cell r="AA18">
            <v>43.041666666666664</v>
          </cell>
          <cell r="AB18">
            <v>43.041666666666664</v>
          </cell>
          <cell r="AC18">
            <v>43.041666666666664</v>
          </cell>
          <cell r="AD18">
            <v>43.041666666666664</v>
          </cell>
          <cell r="AE18">
            <v>43.041666666666664</v>
          </cell>
          <cell r="AF18">
            <v>43.041666666666664</v>
          </cell>
          <cell r="AG18">
            <v>43.041666666666664</v>
          </cell>
        </row>
        <row r="19">
          <cell r="A19" t="str">
            <v>Gross Margin</v>
          </cell>
          <cell r="B19">
            <v>365.53300000000013</v>
          </cell>
          <cell r="C19">
            <v>786.6579999999999</v>
          </cell>
          <cell r="D19">
            <v>1290.1790000000003</v>
          </cell>
          <cell r="E19">
            <v>1500.556451725332</v>
          </cell>
          <cell r="F19">
            <v>1695.9873673293646</v>
          </cell>
          <cell r="G19">
            <v>1734.4314203769061</v>
          </cell>
          <cell r="H19">
            <v>1777.6135885176277</v>
          </cell>
          <cell r="J19">
            <v>136.39000000000001</v>
          </cell>
          <cell r="K19">
            <v>228.7650000000001</v>
          </cell>
          <cell r="L19">
            <v>213.94600000000011</v>
          </cell>
          <cell r="M19">
            <v>207.55699999999976</v>
          </cell>
          <cell r="N19">
            <v>325.88200000000018</v>
          </cell>
          <cell r="O19">
            <v>441.08400000000023</v>
          </cell>
          <cell r="P19">
            <v>272.97500000000002</v>
          </cell>
          <cell r="Q19">
            <v>250.23799999999983</v>
          </cell>
          <cell r="R19">
            <v>350.14317737314519</v>
          </cell>
          <cell r="S19">
            <v>483.26960276812093</v>
          </cell>
          <cell r="T19">
            <v>355.92577230066627</v>
          </cell>
          <cell r="U19">
            <v>311.21789928339962</v>
          </cell>
          <cell r="V19">
            <v>424.94054477880439</v>
          </cell>
          <cell r="W19">
            <v>524.6448914243457</v>
          </cell>
          <cell r="X19">
            <v>393.39189525788743</v>
          </cell>
          <cell r="Y19">
            <v>353.01003586832712</v>
          </cell>
          <cell r="Z19">
            <v>434.2320318026014</v>
          </cell>
          <cell r="AA19">
            <v>537.79824477826526</v>
          </cell>
          <cell r="AB19">
            <v>403.1548280066263</v>
          </cell>
          <cell r="AC19">
            <v>359.24631578941319</v>
          </cell>
          <cell r="AD19">
            <v>444.09701421539211</v>
          </cell>
          <cell r="AE19">
            <v>551.28871747999688</v>
          </cell>
          <cell r="AF19">
            <v>412.8047951548586</v>
          </cell>
          <cell r="AG19">
            <v>369.42306166738018</v>
          </cell>
        </row>
        <row r="20">
          <cell r="A20" t="str">
            <v>Operating expenses</v>
          </cell>
          <cell r="C20">
            <v>319.55399999999997</v>
          </cell>
          <cell r="D20">
            <v>422.98900000000003</v>
          </cell>
          <cell r="E20">
            <v>398.70322265624998</v>
          </cell>
          <cell r="F20">
            <v>401.37628187561035</v>
          </cell>
          <cell r="G20">
            <v>402.17405017238855</v>
          </cell>
          <cell r="H20">
            <v>402.35767897802799</v>
          </cell>
          <cell r="J20">
            <v>60.2</v>
          </cell>
          <cell r="K20">
            <v>73.551000000000002</v>
          </cell>
          <cell r="L20">
            <v>90.372</v>
          </cell>
          <cell r="M20">
            <v>95.430999999999983</v>
          </cell>
          <cell r="N20">
            <v>102.67100000000001</v>
          </cell>
          <cell r="O20">
            <v>99.695999999999998</v>
          </cell>
          <cell r="P20">
            <v>102.96899999999999</v>
          </cell>
          <cell r="Q20">
            <v>117.65300000000001</v>
          </cell>
          <cell r="R20">
            <v>98.431749999999994</v>
          </cell>
          <cell r="S20">
            <v>97.915812499999987</v>
          </cell>
          <cell r="T20">
            <v>97.686515624999998</v>
          </cell>
          <cell r="U20">
            <v>104.66914453125</v>
          </cell>
          <cell r="V20">
            <v>99.675805664062509</v>
          </cell>
          <cell r="W20">
            <v>99.986819580078119</v>
          </cell>
          <cell r="X20">
            <v>100.50457135009765</v>
          </cell>
          <cell r="Y20">
            <v>101.20908528137208</v>
          </cell>
          <cell r="Z20">
            <v>100.3440704689026</v>
          </cell>
          <cell r="AA20">
            <v>100.51113667011259</v>
          </cell>
          <cell r="AB20">
            <v>100.64221594262123</v>
          </cell>
          <cell r="AC20">
            <v>100.67662709075212</v>
          </cell>
          <cell r="AD20">
            <v>100.54351254309715</v>
          </cell>
          <cell r="AE20">
            <v>100.59337306164576</v>
          </cell>
          <cell r="AF20">
            <v>100.61393215952904</v>
          </cell>
          <cell r="AG20">
            <v>100.60686121375602</v>
          </cell>
        </row>
        <row r="21">
          <cell r="A21" t="str">
            <v>Segment D&amp;A</v>
          </cell>
          <cell r="B21">
            <v>48.598999999999997</v>
          </cell>
          <cell r="C21">
            <v>41.076000000000001</v>
          </cell>
          <cell r="D21">
            <v>58.962999999999994</v>
          </cell>
          <cell r="E21">
            <v>177.74251041666665</v>
          </cell>
          <cell r="F21">
            <v>211.0742122802734</v>
          </cell>
          <cell r="G21">
            <v>213.77325312566754</v>
          </cell>
          <cell r="H21">
            <v>214.35361572619337</v>
          </cell>
          <cell r="J21">
            <v>6.5049999999999999</v>
          </cell>
          <cell r="K21">
            <v>8.9130000000000003</v>
          </cell>
          <cell r="L21">
            <v>12.284000000000001</v>
          </cell>
          <cell r="M21">
            <v>13.374000000000001</v>
          </cell>
          <cell r="N21">
            <v>13.603</v>
          </cell>
          <cell r="O21">
            <v>15.164</v>
          </cell>
          <cell r="P21">
            <v>14.552999999999999</v>
          </cell>
          <cell r="Q21">
            <v>15.642999999999994</v>
          </cell>
          <cell r="R21">
            <v>36.897666666666666</v>
          </cell>
          <cell r="S21">
            <v>45.1355</v>
          </cell>
          <cell r="T21">
            <v>46.742374999999996</v>
          </cell>
          <cell r="U21">
            <v>48.966968749999999</v>
          </cell>
          <cell r="V21">
            <v>50.2189609375</v>
          </cell>
          <cell r="W21">
            <v>51.915951171875001</v>
          </cell>
          <cell r="X21">
            <v>53.611063964843744</v>
          </cell>
          <cell r="Y21">
            <v>55.328236206054683</v>
          </cell>
          <cell r="Z21">
            <v>52.768553070068357</v>
          </cell>
          <cell r="AA21">
            <v>53.405951103210441</v>
          </cell>
          <cell r="AB21">
            <v>53.778451086044299</v>
          </cell>
          <cell r="AC21">
            <v>53.82029786634444</v>
          </cell>
          <cell r="AD21">
            <v>53.443313281416884</v>
          </cell>
          <cell r="AE21">
            <v>53.612003334254013</v>
          </cell>
          <cell r="AF21">
            <v>53.663516392014913</v>
          </cell>
          <cell r="AG21">
            <v>53.634782718507566</v>
          </cell>
        </row>
        <row r="22">
          <cell r="A22" t="str">
            <v>Other D&amp;A</v>
          </cell>
          <cell r="B22">
            <v>0</v>
          </cell>
          <cell r="C22">
            <v>51.866999999999997</v>
          </cell>
          <cell r="D22">
            <v>58.452000000000005</v>
          </cell>
          <cell r="E22">
            <v>17.524999999999999</v>
          </cell>
          <cell r="F22">
            <v>16.600000000000001</v>
          </cell>
          <cell r="G22">
            <v>0</v>
          </cell>
          <cell r="H22">
            <v>0</v>
          </cell>
          <cell r="J22">
            <v>13.156000000000002</v>
          </cell>
          <cell r="K22">
            <v>13.318999999999999</v>
          </cell>
          <cell r="L22">
            <v>12.945</v>
          </cell>
          <cell r="M22">
            <v>12.446999999999997</v>
          </cell>
          <cell r="N22">
            <v>13.31</v>
          </cell>
          <cell r="O22">
            <v>13.85</v>
          </cell>
          <cell r="P22">
            <v>13.596000000000002</v>
          </cell>
          <cell r="Q22">
            <v>17.696000000000005</v>
          </cell>
          <cell r="R22">
            <v>4.3812499999999996</v>
          </cell>
          <cell r="S22">
            <v>4.3812499999999996</v>
          </cell>
          <cell r="T22">
            <v>4.3812499999999996</v>
          </cell>
          <cell r="U22">
            <v>4.3812499999999996</v>
          </cell>
          <cell r="V22">
            <v>4.1500000000000004</v>
          </cell>
          <cell r="W22">
            <v>4.1500000000000004</v>
          </cell>
          <cell r="X22">
            <v>4.1500000000000004</v>
          </cell>
          <cell r="Y22">
            <v>4.1500000000000004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A23" t="str">
            <v>SG&amp;A</v>
          </cell>
          <cell r="B23">
            <v>30.471</v>
          </cell>
          <cell r="C23">
            <v>62.734999999999999</v>
          </cell>
          <cell r="D23">
            <v>107.50599999999999</v>
          </cell>
          <cell r="E23">
            <v>113.57178409136691</v>
          </cell>
          <cell r="F23">
            <v>118.16323606281145</v>
          </cell>
          <cell r="G23">
            <v>117.6728125928645</v>
          </cell>
          <cell r="H23">
            <v>122.29116141718265</v>
          </cell>
          <cell r="J23">
            <v>10.723000000000001</v>
          </cell>
          <cell r="K23">
            <v>11.913</v>
          </cell>
          <cell r="L23">
            <v>20.282</v>
          </cell>
          <cell r="M23">
            <v>19.816999999999993</v>
          </cell>
          <cell r="N23">
            <v>24.798999999999999</v>
          </cell>
          <cell r="O23">
            <v>31.454999999999998</v>
          </cell>
          <cell r="P23">
            <v>23.731999999999999</v>
          </cell>
          <cell r="Q23">
            <v>27.52</v>
          </cell>
          <cell r="R23">
            <v>25.372182430780324</v>
          </cell>
          <cell r="S23">
            <v>30.045860180066668</v>
          </cell>
          <cell r="T23">
            <v>27.585201984212254</v>
          </cell>
          <cell r="U23">
            <v>30.568539496307661</v>
          </cell>
          <cell r="V23">
            <v>23.715794016717616</v>
          </cell>
          <cell r="W23">
            <v>28.051936169902362</v>
          </cell>
          <cell r="X23">
            <v>25.018312292367803</v>
          </cell>
          <cell r="Y23">
            <v>41.377193583823662</v>
          </cell>
          <cell r="Z23">
            <v>23.641183152527297</v>
          </cell>
          <cell r="AA23">
            <v>28.241830349826571</v>
          </cell>
          <cell r="AB23">
            <v>25.862583454661944</v>
          </cell>
          <cell r="AC23">
            <v>39.927215635848697</v>
          </cell>
          <cell r="AD23">
            <v>24.287319720232546</v>
          </cell>
          <cell r="AE23">
            <v>28.973356462020213</v>
          </cell>
          <cell r="AF23">
            <v>26.551559579972697</v>
          </cell>
          <cell r="AG23">
            <v>42.478925654957202</v>
          </cell>
        </row>
        <row r="24">
          <cell r="A24" t="str">
            <v>Total Expenses</v>
          </cell>
          <cell r="B24">
            <v>79.069999999999993</v>
          </cell>
          <cell r="C24">
            <v>475.23200000000003</v>
          </cell>
          <cell r="D24">
            <v>647.91</v>
          </cell>
          <cell r="E24">
            <v>707.54251716428348</v>
          </cell>
          <cell r="F24">
            <v>747.21373021869522</v>
          </cell>
          <cell r="G24">
            <v>733.6201158909206</v>
          </cell>
          <cell r="H24">
            <v>739.00245612140407</v>
          </cell>
          <cell r="J24">
            <v>90.584000000000003</v>
          </cell>
          <cell r="K24">
            <v>107.696</v>
          </cell>
          <cell r="L24">
            <v>135.88300000000001</v>
          </cell>
          <cell r="M24">
            <v>141.06899999999996</v>
          </cell>
          <cell r="N24">
            <v>154.38300000000001</v>
          </cell>
          <cell r="O24">
            <v>160.16500000000002</v>
          </cell>
          <cell r="P24">
            <v>154.85</v>
          </cell>
          <cell r="Q24">
            <v>178.512</v>
          </cell>
          <cell r="R24">
            <v>165.08284909744697</v>
          </cell>
          <cell r="S24">
            <v>177.47842268006667</v>
          </cell>
          <cell r="T24">
            <v>176.39534260921226</v>
          </cell>
          <cell r="U24">
            <v>188.58590277755766</v>
          </cell>
          <cell r="V24">
            <v>177.76056061828012</v>
          </cell>
          <cell r="W24">
            <v>184.1047069218555</v>
          </cell>
          <cell r="X24">
            <v>183.28394760730919</v>
          </cell>
          <cell r="Y24">
            <v>202.06451507125044</v>
          </cell>
          <cell r="Z24">
            <v>176.75380669149826</v>
          </cell>
          <cell r="AA24">
            <v>182.15891812314959</v>
          </cell>
          <cell r="AB24">
            <v>180.28325048332749</v>
          </cell>
          <cell r="AC24">
            <v>194.42414059294526</v>
          </cell>
          <cell r="AD24">
            <v>178.27414554474657</v>
          </cell>
          <cell r="AE24">
            <v>183.17873285791998</v>
          </cell>
          <cell r="AF24">
            <v>180.82900813151664</v>
          </cell>
          <cell r="AG24">
            <v>196.72056958722078</v>
          </cell>
        </row>
        <row r="25">
          <cell r="A25" t="str">
            <v>Operating Income</v>
          </cell>
          <cell r="B25">
            <v>286.46300000000014</v>
          </cell>
          <cell r="C25">
            <v>311.42599999999987</v>
          </cell>
          <cell r="D25">
            <v>642.26900000000035</v>
          </cell>
          <cell r="E25">
            <v>793.01393456104847</v>
          </cell>
          <cell r="F25">
            <v>948.77363711066937</v>
          </cell>
          <cell r="G25">
            <v>1000.8113044859855</v>
          </cell>
          <cell r="H25">
            <v>1038.6111323962236</v>
          </cell>
          <cell r="J25">
            <v>45.806000000000012</v>
          </cell>
          <cell r="K25">
            <v>121.0690000000001</v>
          </cell>
          <cell r="L25">
            <v>78.063000000000102</v>
          </cell>
          <cell r="M25">
            <v>66.487999999999801</v>
          </cell>
          <cell r="N25">
            <v>171.49900000000017</v>
          </cell>
          <cell r="O25">
            <v>280.91900000000021</v>
          </cell>
          <cell r="P25">
            <v>118.12500000000003</v>
          </cell>
          <cell r="Q25">
            <v>71.725999999999829</v>
          </cell>
          <cell r="R25">
            <v>185.06032827569823</v>
          </cell>
          <cell r="S25">
            <v>305.79118008805426</v>
          </cell>
          <cell r="T25">
            <v>179.530429691454</v>
          </cell>
          <cell r="U25">
            <v>122.63199650584195</v>
          </cell>
          <cell r="V25">
            <v>247.17998416052427</v>
          </cell>
          <cell r="W25">
            <v>340.54018450249021</v>
          </cell>
          <cell r="X25">
            <v>210.10794765057824</v>
          </cell>
          <cell r="Y25">
            <v>150.94552079707668</v>
          </cell>
          <cell r="Z25">
            <v>257.47822511110314</v>
          </cell>
          <cell r="AA25">
            <v>355.63932665511567</v>
          </cell>
          <cell r="AB25">
            <v>222.87157752329881</v>
          </cell>
          <cell r="AC25">
            <v>164.82217519646792</v>
          </cell>
          <cell r="AD25">
            <v>265.82286867064556</v>
          </cell>
          <cell r="AE25">
            <v>368.10998462207692</v>
          </cell>
          <cell r="AF25">
            <v>231.97578702334195</v>
          </cell>
          <cell r="AG25">
            <v>172.7024920801594</v>
          </cell>
        </row>
        <row r="26">
          <cell r="A26" t="str">
            <v>Interest expense</v>
          </cell>
          <cell r="B26">
            <v>-41.19</v>
          </cell>
          <cell r="C26">
            <v>-93.016999999999996</v>
          </cell>
          <cell r="D26">
            <v>-113.857</v>
          </cell>
          <cell r="E26">
            <v>-183.9</v>
          </cell>
          <cell r="F26">
            <v>-247.8</v>
          </cell>
          <cell r="G26">
            <v>-311.7</v>
          </cell>
          <cell r="H26">
            <v>-375.59999999999997</v>
          </cell>
          <cell r="J26">
            <v>-17.331</v>
          </cell>
          <cell r="K26">
            <v>-23.024000000000001</v>
          </cell>
          <cell r="L26">
            <v>-26.407</v>
          </cell>
          <cell r="M26">
            <v>-26.254999999999999</v>
          </cell>
          <cell r="N26">
            <v>-28.393000000000001</v>
          </cell>
          <cell r="O26">
            <v>-28.542000000000002</v>
          </cell>
          <cell r="P26">
            <v>-13.673999999999999</v>
          </cell>
          <cell r="Q26">
            <v>-43.247999999999998</v>
          </cell>
          <cell r="R26">
            <v>-45.975000000000001</v>
          </cell>
          <cell r="S26">
            <v>-45.975000000000001</v>
          </cell>
          <cell r="T26">
            <v>-45.975000000000001</v>
          </cell>
          <cell r="U26">
            <v>-45.975000000000001</v>
          </cell>
          <cell r="V26">
            <v>-61.95</v>
          </cell>
          <cell r="W26">
            <v>-61.95</v>
          </cell>
          <cell r="X26">
            <v>-61.95</v>
          </cell>
          <cell r="Y26">
            <v>-61.95</v>
          </cell>
          <cell r="Z26">
            <v>-77.924999999999997</v>
          </cell>
          <cell r="AA26">
            <v>-77.924999999999997</v>
          </cell>
          <cell r="AB26">
            <v>-77.924999999999997</v>
          </cell>
          <cell r="AC26">
            <v>-77.924999999999997</v>
          </cell>
          <cell r="AD26">
            <v>-93.899999999999991</v>
          </cell>
          <cell r="AE26">
            <v>-93.899999999999991</v>
          </cell>
          <cell r="AF26">
            <v>-93.899999999999991</v>
          </cell>
          <cell r="AG26">
            <v>-93.899999999999991</v>
          </cell>
        </row>
        <row r="27">
          <cell r="A27" t="str">
            <v>Equity in earnings</v>
          </cell>
          <cell r="B27">
            <v>0.36299999999999999</v>
          </cell>
          <cell r="C27">
            <v>-0.376</v>
          </cell>
          <cell r="D27">
            <v>-0.47900000000000009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J27">
            <v>3.5999999999999997E-2</v>
          </cell>
          <cell r="K27">
            <v>0.109</v>
          </cell>
          <cell r="L27">
            <v>-0.307</v>
          </cell>
          <cell r="M27">
            <v>-0.214</v>
          </cell>
          <cell r="N27">
            <v>-0.27400000000000002</v>
          </cell>
          <cell r="O27">
            <v>0.106</v>
          </cell>
          <cell r="P27">
            <v>-0.15</v>
          </cell>
          <cell r="Q27">
            <v>-0.161</v>
          </cell>
        </row>
        <row r="28">
          <cell r="A28" t="str">
            <v>Gain (loss) on disposal of assets</v>
          </cell>
          <cell r="B28">
            <v>-1.006</v>
          </cell>
          <cell r="C28">
            <v>-0.33</v>
          </cell>
          <cell r="D28">
            <v>0.85099999999999998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J28">
            <v>-9.0999999999999998E-2</v>
          </cell>
          <cell r="K28">
            <v>-0.436</v>
          </cell>
          <cell r="L28">
            <v>-0.13800000000000001</v>
          </cell>
          <cell r="M28">
            <v>0.33500000000000002</v>
          </cell>
          <cell r="N28">
            <v>-0.128</v>
          </cell>
          <cell r="O28">
            <v>0.66200000000000003</v>
          </cell>
          <cell r="P28">
            <v>2.1999999999999999E-2</v>
          </cell>
          <cell r="Q28">
            <v>0.29499999999999998</v>
          </cell>
        </row>
        <row r="29">
          <cell r="A29" t="str">
            <v>Loss on extinguishment of debt</v>
          </cell>
          <cell r="B29">
            <v>0</v>
          </cell>
          <cell r="C29">
            <v>-9.5500000000000007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J29">
            <v>0</v>
          </cell>
          <cell r="K29">
            <v>-7.9960000000000004</v>
          </cell>
          <cell r="L29">
            <v>-1.554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A30" t="str">
            <v>Interest income and other</v>
          </cell>
          <cell r="B30">
            <v>0.50900000000000001</v>
          </cell>
          <cell r="C30">
            <v>0.63100000000000001</v>
          </cell>
          <cell r="D30">
            <v>14.62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J30">
            <v>0.13400000000000001</v>
          </cell>
          <cell r="K30">
            <v>0.23499999999999999</v>
          </cell>
          <cell r="L30">
            <v>-0.35399999999999998</v>
          </cell>
          <cell r="M30">
            <v>0.61599999999999999</v>
          </cell>
          <cell r="N30">
            <v>0.95899999999999996</v>
          </cell>
          <cell r="O30">
            <v>2.302</v>
          </cell>
          <cell r="P30">
            <v>9.6720000000000006</v>
          </cell>
          <cell r="Q30">
            <v>1.6870000000000001</v>
          </cell>
        </row>
        <row r="31">
          <cell r="A31" t="str">
            <v>Earnings before tax, minority interest</v>
          </cell>
          <cell r="B31">
            <v>245.13900000000012</v>
          </cell>
          <cell r="C31">
            <v>208.78399999999985</v>
          </cell>
          <cell r="D31">
            <v>543.40400000000034</v>
          </cell>
          <cell r="E31">
            <v>609.1139345610485</v>
          </cell>
          <cell r="F31">
            <v>700.97363711066942</v>
          </cell>
          <cell r="G31">
            <v>689.11130448598556</v>
          </cell>
          <cell r="H31">
            <v>663.01113239622373</v>
          </cell>
          <cell r="J31">
            <v>28.554000000000013</v>
          </cell>
          <cell r="K31">
            <v>89.957000000000093</v>
          </cell>
          <cell r="L31">
            <v>49.303000000000104</v>
          </cell>
          <cell r="M31">
            <v>40.969999999999807</v>
          </cell>
          <cell r="N31">
            <v>143.66300000000018</v>
          </cell>
          <cell r="O31">
            <v>255.4470000000002</v>
          </cell>
          <cell r="P31">
            <v>113.99500000000002</v>
          </cell>
          <cell r="Q31">
            <v>30.298999999999833</v>
          </cell>
          <cell r="R31">
            <v>139.08532827569823</v>
          </cell>
          <cell r="S31">
            <v>259.81618008805424</v>
          </cell>
          <cell r="T31">
            <v>133.55542969145401</v>
          </cell>
          <cell r="U31">
            <v>76.65699650584196</v>
          </cell>
          <cell r="V31">
            <v>185.22998416052428</v>
          </cell>
          <cell r="W31">
            <v>278.59018450249022</v>
          </cell>
          <cell r="X31">
            <v>148.15794765057825</v>
          </cell>
          <cell r="Y31">
            <v>88.995520797076679</v>
          </cell>
          <cell r="Z31">
            <v>179.55322511110313</v>
          </cell>
          <cell r="AA31">
            <v>277.71432665511566</v>
          </cell>
          <cell r="AB31">
            <v>144.9465775232988</v>
          </cell>
          <cell r="AC31">
            <v>86.897175196467927</v>
          </cell>
          <cell r="AD31">
            <v>171.92286867064558</v>
          </cell>
          <cell r="AE31">
            <v>274.20998462207695</v>
          </cell>
          <cell r="AF31">
            <v>138.07578702334195</v>
          </cell>
          <cell r="AG31">
            <v>78.802492080159411</v>
          </cell>
        </row>
        <row r="32">
          <cell r="A32" t="str">
            <v>Income tax expense</v>
          </cell>
          <cell r="B32">
            <v>-4.4809999999999999</v>
          </cell>
          <cell r="C32">
            <v>-7.2949999999999999</v>
          </cell>
          <cell r="D32">
            <v>-25.919000000000004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J32">
            <v>-1.032</v>
          </cell>
          <cell r="K32">
            <v>-3.1269999999999998</v>
          </cell>
          <cell r="L32">
            <v>-3.1819999999999999</v>
          </cell>
          <cell r="M32">
            <v>4.5999999999999375E-2</v>
          </cell>
          <cell r="N32">
            <v>-22.411000000000001</v>
          </cell>
          <cell r="O32">
            <v>-4.0140000000000002</v>
          </cell>
          <cell r="P32">
            <v>-1.9810000000000001</v>
          </cell>
          <cell r="Q32">
            <v>2.4870000000000001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A33" t="str">
            <v>Minority interest</v>
          </cell>
          <cell r="B33">
            <v>-0.29499999999999998</v>
          </cell>
          <cell r="C33">
            <v>-0.73099999999999998</v>
          </cell>
          <cell r="D33">
            <v>-2.2340000000000004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J33">
            <v>-0.158</v>
          </cell>
          <cell r="K33">
            <v>-0.35799999999999998</v>
          </cell>
          <cell r="L33">
            <v>-0.42199999999999999</v>
          </cell>
          <cell r="M33">
            <v>0.20699999999999996</v>
          </cell>
          <cell r="N33">
            <v>-1.5549999999999999</v>
          </cell>
          <cell r="O33">
            <v>-0.54900000000000004</v>
          </cell>
          <cell r="P33">
            <v>-9.5000000000000001E-2</v>
          </cell>
          <cell r="Q33">
            <v>-3.5000000000000003E-2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A34" t="str">
            <v>Income from discontinued Operations</v>
          </cell>
          <cell r="B34">
            <v>6.1630000000000003</v>
          </cell>
          <cell r="C34">
            <v>147.96699999999998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J34">
            <v>0</v>
          </cell>
          <cell r="K34">
            <v>0</v>
          </cell>
          <cell r="L34">
            <v>143.006</v>
          </cell>
          <cell r="M34">
            <v>4.9609999999999843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A35" t="str">
            <v>Net Income</v>
          </cell>
          <cell r="B35">
            <v>246.52600000000015</v>
          </cell>
          <cell r="C35">
            <v>348.72499999999985</v>
          </cell>
          <cell r="D35">
            <v>515.25100000000032</v>
          </cell>
          <cell r="E35">
            <v>609.1139345610485</v>
          </cell>
          <cell r="F35">
            <v>700.97363711066942</v>
          </cell>
          <cell r="G35">
            <v>689.11130448598556</v>
          </cell>
          <cell r="H35">
            <v>663.01113239622373</v>
          </cell>
          <cell r="J35">
            <v>27.364000000000011</v>
          </cell>
          <cell r="K35">
            <v>86.472000000000094</v>
          </cell>
          <cell r="L35">
            <v>188.7050000000001</v>
          </cell>
          <cell r="M35">
            <v>46.183999999999791</v>
          </cell>
          <cell r="N35">
            <v>119.69700000000017</v>
          </cell>
          <cell r="O35">
            <v>250.88400000000019</v>
          </cell>
          <cell r="P35">
            <v>111.91900000000003</v>
          </cell>
          <cell r="Q35">
            <v>32.750999999999834</v>
          </cell>
          <cell r="R35">
            <v>139.08532827569823</v>
          </cell>
          <cell r="S35">
            <v>259.81618008805424</v>
          </cell>
          <cell r="T35">
            <v>133.55542969145401</v>
          </cell>
          <cell r="U35">
            <v>76.65699650584196</v>
          </cell>
          <cell r="V35">
            <v>185.22998416052428</v>
          </cell>
          <cell r="W35">
            <v>278.59018450249022</v>
          </cell>
          <cell r="X35">
            <v>148.15794765057825</v>
          </cell>
          <cell r="Y35">
            <v>88.995520797076679</v>
          </cell>
          <cell r="Z35">
            <v>179.55322511110313</v>
          </cell>
          <cell r="AA35">
            <v>277.71432665511566</v>
          </cell>
          <cell r="AB35">
            <v>144.9465775232988</v>
          </cell>
          <cell r="AC35">
            <v>86.897175196467927</v>
          </cell>
          <cell r="AD35">
            <v>171.92286867064558</v>
          </cell>
          <cell r="AE35">
            <v>274.20998462207695</v>
          </cell>
          <cell r="AF35">
            <v>138.07578702334195</v>
          </cell>
          <cell r="AG35">
            <v>78.802492080159411</v>
          </cell>
        </row>
        <row r="36">
          <cell r="A36" t="str">
            <v>Net Income from Continuing Operations</v>
          </cell>
          <cell r="B36">
            <v>240.36300000000014</v>
          </cell>
          <cell r="C36">
            <v>200.75799999999987</v>
          </cell>
          <cell r="D36">
            <v>515.2510000000002</v>
          </cell>
          <cell r="E36">
            <v>609.11393456104838</v>
          </cell>
          <cell r="F36">
            <v>700.97363711066942</v>
          </cell>
          <cell r="G36">
            <v>689.11130448598556</v>
          </cell>
          <cell r="H36">
            <v>663.01113239622384</v>
          </cell>
          <cell r="J36">
            <v>27.364000000000011</v>
          </cell>
          <cell r="K36">
            <v>86.472000000000094</v>
          </cell>
          <cell r="L36">
            <v>45.699000000000098</v>
          </cell>
          <cell r="M36">
            <v>41.222999999999807</v>
          </cell>
          <cell r="N36">
            <v>119.69700000000017</v>
          </cell>
          <cell r="O36">
            <v>250.88400000000019</v>
          </cell>
          <cell r="P36">
            <v>111.91900000000003</v>
          </cell>
          <cell r="Q36">
            <v>32.750999999999834</v>
          </cell>
          <cell r="R36">
            <v>139.08532827569823</v>
          </cell>
          <cell r="S36">
            <v>259.81618008805424</v>
          </cell>
          <cell r="T36">
            <v>133.55542969145401</v>
          </cell>
          <cell r="U36">
            <v>76.65699650584196</v>
          </cell>
          <cell r="V36">
            <v>185.22998416052428</v>
          </cell>
          <cell r="W36">
            <v>278.59018450249022</v>
          </cell>
          <cell r="X36">
            <v>148.15794765057825</v>
          </cell>
          <cell r="Y36">
            <v>88.995520797076679</v>
          </cell>
          <cell r="Z36">
            <v>179.55322511110313</v>
          </cell>
          <cell r="AA36">
            <v>277.71432665511566</v>
          </cell>
          <cell r="AB36">
            <v>144.9465775232988</v>
          </cell>
          <cell r="AC36">
            <v>86.897175196467927</v>
          </cell>
          <cell r="AD36">
            <v>171.92286867064558</v>
          </cell>
          <cell r="AE36">
            <v>274.20998462207695</v>
          </cell>
          <cell r="AF36">
            <v>138.07578702334195</v>
          </cell>
          <cell r="AG36">
            <v>78.802492080159411</v>
          </cell>
        </row>
        <row r="37">
          <cell r="A37" t="str">
            <v>General Partners Interest in Net Income</v>
          </cell>
          <cell r="B37">
            <v>8.9380000000000006</v>
          </cell>
          <cell r="C37">
            <v>45.442</v>
          </cell>
          <cell r="D37">
            <v>118.98500000000001</v>
          </cell>
          <cell r="E37">
            <v>213.38135070851718</v>
          </cell>
          <cell r="F37">
            <v>246.58115446444435</v>
          </cell>
          <cell r="G37">
            <v>281.69811871445899</v>
          </cell>
          <cell r="H37">
            <v>319.62444010447473</v>
          </cell>
          <cell r="J37">
            <v>6.0890000000000004</v>
          </cell>
          <cell r="K37">
            <v>10.456</v>
          </cell>
          <cell r="L37">
            <v>15.124000000000001</v>
          </cell>
          <cell r="M37">
            <v>13.772999999999996</v>
          </cell>
          <cell r="N37">
            <v>20.483000000000001</v>
          </cell>
          <cell r="O37">
            <v>27.695</v>
          </cell>
          <cell r="P37">
            <v>30.109000000000002</v>
          </cell>
          <cell r="Q37">
            <v>40.698</v>
          </cell>
          <cell r="R37">
            <v>47.609199753150065</v>
          </cell>
          <cell r="S37">
            <v>53.001457952716507</v>
          </cell>
          <cell r="T37">
            <v>55.238410180178427</v>
          </cell>
          <cell r="U37">
            <v>57.532282822472169</v>
          </cell>
          <cell r="V37">
            <v>58.407395944340308</v>
          </cell>
          <cell r="W37">
            <v>60.53744835653081</v>
          </cell>
          <cell r="X37">
            <v>62.710101816965121</v>
          </cell>
          <cell r="Y37">
            <v>64.926208346608135</v>
          </cell>
          <cell r="Z37">
            <v>66.9276055931023</v>
          </cell>
          <cell r="AA37">
            <v>69.228062198268049</v>
          </cell>
          <cell r="AB37">
            <v>71.574527935537091</v>
          </cell>
          <cell r="AC37">
            <v>73.967922987551546</v>
          </cell>
          <cell r="AD37">
            <v>76.129432013765239</v>
          </cell>
          <cell r="AE37">
            <v>78.613925147344233</v>
          </cell>
          <cell r="AF37">
            <v>81.148108143594825</v>
          </cell>
          <cell r="AG37">
            <v>83.732974799770417</v>
          </cell>
        </row>
        <row r="38">
          <cell r="A38" t="str">
            <v>Additional GP Interest in Net Income (EITF-03-06)</v>
          </cell>
          <cell r="B38">
            <v>0</v>
          </cell>
          <cell r="C38">
            <v>-20.094999999999999</v>
          </cell>
          <cell r="D38">
            <v>102.206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J38">
            <v>-4.4450000000000003</v>
          </cell>
          <cell r="K38">
            <v>-8.65</v>
          </cell>
          <cell r="L38">
            <v>-10</v>
          </cell>
          <cell r="M38">
            <v>13</v>
          </cell>
          <cell r="N38">
            <v>18.299000000000007</v>
          </cell>
          <cell r="O38">
            <v>75.906999999999996</v>
          </cell>
          <cell r="P38">
            <v>8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A39" t="str">
            <v>Limited Partners Interest in Net Income</v>
          </cell>
          <cell r="B39">
            <v>231.42500000000015</v>
          </cell>
          <cell r="C39">
            <v>175.41099999999986</v>
          </cell>
          <cell r="D39">
            <v>294.06000000000017</v>
          </cell>
          <cell r="E39">
            <v>395.73258385253121</v>
          </cell>
          <cell r="F39">
            <v>454.39248264622506</v>
          </cell>
          <cell r="G39">
            <v>407.41318577152657</v>
          </cell>
          <cell r="H39">
            <v>343.38669229174911</v>
          </cell>
          <cell r="J39">
            <v>25.720000000000013</v>
          </cell>
          <cell r="K39">
            <v>84.666000000000096</v>
          </cell>
          <cell r="L39">
            <v>40.575000000000095</v>
          </cell>
          <cell r="M39">
            <v>19.410999999999795</v>
          </cell>
          <cell r="N39">
            <v>80.915000000000163</v>
          </cell>
          <cell r="O39">
            <v>147.28200000000018</v>
          </cell>
          <cell r="P39">
            <v>73.810000000000031</v>
          </cell>
          <cell r="Q39">
            <v>-7.9470000000001662</v>
          </cell>
          <cell r="R39">
            <v>91.476128522548166</v>
          </cell>
          <cell r="S39">
            <v>206.81472213533772</v>
          </cell>
          <cell r="T39">
            <v>78.317019511275589</v>
          </cell>
          <cell r="U39">
            <v>19.124713683369791</v>
          </cell>
          <cell r="V39">
            <v>126.82258821618397</v>
          </cell>
          <cell r="W39">
            <v>218.05273614595941</v>
          </cell>
          <cell r="X39">
            <v>85.44784583361313</v>
          </cell>
          <cell r="Y39">
            <v>24.069312450468544</v>
          </cell>
          <cell r="Z39">
            <v>112.62561951800083</v>
          </cell>
          <cell r="AA39">
            <v>208.48626445684761</v>
          </cell>
          <cell r="AB39">
            <v>73.372049587761708</v>
          </cell>
          <cell r="AC39">
            <v>12.929252208916381</v>
          </cell>
          <cell r="AD39">
            <v>95.793436656880345</v>
          </cell>
          <cell r="AE39">
            <v>195.59605947473273</v>
          </cell>
          <cell r="AF39">
            <v>56.92767887974712</v>
          </cell>
          <cell r="AG39">
            <v>-4.9304827196110068</v>
          </cell>
        </row>
        <row r="41">
          <cell r="A41" t="str">
            <v>First Call Net Income per LP unit</v>
          </cell>
          <cell r="B41">
            <v>4.4163732085310023</v>
          </cell>
          <cell r="C41">
            <v>1.7717313962247507</v>
          </cell>
          <cell r="D41">
            <v>2.717208936337689</v>
          </cell>
          <cell r="E41">
            <v>2.9064203107702102</v>
          </cell>
          <cell r="F41">
            <v>3.260206227720055</v>
          </cell>
          <cell r="G41">
            <v>2.9231359589672845</v>
          </cell>
          <cell r="H41">
            <v>2.4637542993803554</v>
          </cell>
          <cell r="J41">
            <v>0.27772268401725447</v>
          </cell>
          <cell r="K41">
            <v>0.8975368208369332</v>
          </cell>
          <cell r="L41">
            <v>0.39572159176379545</v>
          </cell>
          <cell r="M41">
            <v>0.18931242927238287</v>
          </cell>
          <cell r="N41">
            <v>0.76493835956051137</v>
          </cell>
          <cell r="O41">
            <v>1.3635068386419718</v>
          </cell>
          <cell r="P41">
            <v>0.66542718644827137</v>
          </cell>
          <cell r="Q41">
            <v>-7.1571174056260553E-2</v>
          </cell>
          <cell r="R41">
            <v>0.70913878420887511</v>
          </cell>
          <cell r="S41">
            <v>1.4958840418883592</v>
          </cell>
          <cell r="T41">
            <v>0.56418018237348111</v>
          </cell>
          <cell r="U41">
            <v>0.13721730229949508</v>
          </cell>
          <cell r="V41">
            <v>0.9099353702114199</v>
          </cell>
          <cell r="W41">
            <v>1.5644996682481112</v>
          </cell>
          <cell r="X41">
            <v>0.61307704192126766</v>
          </cell>
          <cell r="Y41">
            <v>0.17269414733925573</v>
          </cell>
          <cell r="Z41">
            <v>0.80807398928580421</v>
          </cell>
          <cell r="AA41">
            <v>1.4958614936099264</v>
          </cell>
          <cell r="AB41">
            <v>0.52643479402110804</v>
          </cell>
          <cell r="AC41">
            <v>9.2765682050445872E-2</v>
          </cell>
          <cell r="AD41">
            <v>0.68730529375112759</v>
          </cell>
          <cell r="AE41">
            <v>1.4033759702699682</v>
          </cell>
          <cell r="AF41">
            <v>0.40844859961712404</v>
          </cell>
          <cell r="AG41">
            <v>-3.5375564257864062E-2</v>
          </cell>
        </row>
        <row r="44">
          <cell r="A44" t="str">
            <v>Distributable Cash Flow per Unit</v>
          </cell>
          <cell r="B44">
            <v>3.8187522391973294</v>
          </cell>
          <cell r="C44">
            <v>4.0016022065978687</v>
          </cell>
          <cell r="D44">
            <v>3.9859397769596248</v>
          </cell>
          <cell r="E44">
            <v>3.9434528485024609</v>
          </cell>
          <cell r="F44">
            <v>4.3064696233383755</v>
          </cell>
          <cell r="G44">
            <v>3.9941079691531587</v>
          </cell>
          <cell r="H44">
            <v>3.5446611548717706</v>
          </cell>
          <cell r="J44">
            <v>5.6317735303604108E-2</v>
          </cell>
          <cell r="K44">
            <v>1.0384845001112788</v>
          </cell>
          <cell r="L44">
            <v>0.50121674636988478</v>
          </cell>
          <cell r="M44">
            <v>0.2050254005359288</v>
          </cell>
          <cell r="N44">
            <v>0.97982417707743574</v>
          </cell>
          <cell r="O44">
            <v>2.13268591521408</v>
          </cell>
          <cell r="P44">
            <v>0.68406671377042427</v>
          </cell>
          <cell r="Q44">
            <v>0.18936297089768492</v>
          </cell>
          <cell r="R44">
            <v>0.94318720585979254</v>
          </cell>
          <cell r="S44">
            <v>1.7631514454833961</v>
          </cell>
          <cell r="T44">
            <v>0.8303584009097813</v>
          </cell>
          <cell r="U44">
            <v>0.40675579624949071</v>
          </cell>
          <cell r="V44">
            <v>1.1527155577336923</v>
          </cell>
          <cell r="W44">
            <v>1.8197796432625888</v>
          </cell>
          <cell r="X44">
            <v>0.88084981615355518</v>
          </cell>
          <cell r="Y44">
            <v>0.4531246061885395</v>
          </cell>
          <cell r="Z44">
            <v>1.0704435887179811</v>
          </cell>
          <cell r="AA44">
            <v>1.7631543745014566</v>
          </cell>
          <cell r="AB44">
            <v>0.79675734843341639</v>
          </cell>
          <cell r="AC44">
            <v>0.36375265750030472</v>
          </cell>
          <cell r="AD44">
            <v>0.95591634686740035</v>
          </cell>
          <cell r="AE44">
            <v>1.6735753895676928</v>
          </cell>
          <cell r="AF44">
            <v>0.67940321633203316</v>
          </cell>
          <cell r="AG44">
            <v>0.23576620210464408</v>
          </cell>
        </row>
        <row r="45">
          <cell r="A45" t="str">
            <v>LP Distribution per Unit</v>
          </cell>
          <cell r="B45">
            <v>2.125</v>
          </cell>
          <cell r="C45">
            <v>2.3075000000000001</v>
          </cell>
          <cell r="D45">
            <v>2.5575000000000001</v>
          </cell>
          <cell r="E45">
            <v>3.1298460749999997</v>
          </cell>
          <cell r="F45">
            <v>3.34893530025</v>
          </cell>
          <cell r="G45">
            <v>3.61685012427</v>
          </cell>
          <cell r="H45">
            <v>3.9061981342116008</v>
          </cell>
          <cell r="J45">
            <v>0.4375</v>
          </cell>
          <cell r="K45">
            <v>0.46250000000000002</v>
          </cell>
          <cell r="L45">
            <v>0.48749999999999999</v>
          </cell>
          <cell r="M45">
            <v>0.5</v>
          </cell>
          <cell r="N45">
            <v>0.55000000000000004</v>
          </cell>
          <cell r="O45">
            <v>0.58750000000000002</v>
          </cell>
          <cell r="P45">
            <v>0.66999999999999993</v>
          </cell>
          <cell r="Q45">
            <v>0.75</v>
          </cell>
          <cell r="R45">
            <v>0.75937499999999991</v>
          </cell>
          <cell r="S45">
            <v>0.77456249999999993</v>
          </cell>
          <cell r="T45">
            <v>0.79005375</v>
          </cell>
          <cell r="U45">
            <v>0.80585482500000005</v>
          </cell>
          <cell r="V45">
            <v>0.81253124999999993</v>
          </cell>
          <cell r="W45">
            <v>0.828781875</v>
          </cell>
          <cell r="X45">
            <v>0.84535751250000002</v>
          </cell>
          <cell r="Y45">
            <v>0.86226466275000013</v>
          </cell>
          <cell r="Z45">
            <v>0.87753375</v>
          </cell>
          <cell r="AA45">
            <v>0.89508442500000007</v>
          </cell>
          <cell r="AB45">
            <v>0.91298611350000003</v>
          </cell>
          <cell r="AC45">
            <v>0.9312458357700002</v>
          </cell>
          <cell r="AD45">
            <v>0.94773645000000006</v>
          </cell>
          <cell r="AE45">
            <v>0.96669117900000012</v>
          </cell>
          <cell r="AF45">
            <v>0.98602500258000014</v>
          </cell>
          <cell r="AG45">
            <v>1.0057455026316002</v>
          </cell>
        </row>
        <row r="46">
          <cell r="A46" t="str">
            <v>Coverage Ratio</v>
          </cell>
          <cell r="B46">
            <v>1.7153349982626698</v>
          </cell>
          <cell r="C46">
            <v>1.7141560093171846</v>
          </cell>
          <cell r="D46">
            <v>1.6749408394072045</v>
          </cell>
          <cell r="E46">
            <v>1.2720834444348805</v>
          </cell>
          <cell r="F46">
            <v>1.2990958894109306</v>
          </cell>
          <cell r="G46">
            <v>1.1163519001987823</v>
          </cell>
          <cell r="H46">
            <v>0.9183923825634247</v>
          </cell>
          <cell r="J46">
            <v>0.12872625212252367</v>
          </cell>
          <cell r="K46">
            <v>2.2453718921324946</v>
          </cell>
          <cell r="L46">
            <v>1.0281369156305329</v>
          </cell>
          <cell r="M46">
            <v>0.4100508010718576</v>
          </cell>
          <cell r="N46">
            <v>1.7862719981816382</v>
          </cell>
          <cell r="O46">
            <v>3.6368802781666507</v>
          </cell>
          <cell r="P46">
            <v>1.0234209598485926</v>
          </cell>
          <cell r="Q46">
            <v>0.25319012143193625</v>
          </cell>
          <cell r="R46">
            <v>1.2455310758786311</v>
          </cell>
          <cell r="S46">
            <v>2.2826856694881146</v>
          </cell>
          <cell r="T46">
            <v>1.0539546079529345</v>
          </cell>
          <cell r="U46">
            <v>0.50616242441984205</v>
          </cell>
          <cell r="V46">
            <v>1.4226400921548263</v>
          </cell>
          <cell r="W46">
            <v>2.2018692159888724</v>
          </cell>
          <cell r="X46">
            <v>1.0448992403023261</v>
          </cell>
          <cell r="Y46">
            <v>0.5269750091976968</v>
          </cell>
          <cell r="Z46">
            <v>1.2232435058524833</v>
          </cell>
          <cell r="AA46">
            <v>1.9753283675816142</v>
          </cell>
          <cell r="AB46">
            <v>0.87513462569297873</v>
          </cell>
          <cell r="AC46">
            <v>0.39170110166805266</v>
          </cell>
          <cell r="AD46">
            <v>1.0114519740953012</v>
          </cell>
          <cell r="AE46">
            <v>1.7360830102279301</v>
          </cell>
          <cell r="AF46">
            <v>0.69095956461011454</v>
          </cell>
          <cell r="AG46">
            <v>0.23507498132035282</v>
          </cell>
        </row>
        <row r="48">
          <cell r="A48" t="str">
            <v>WA Basic Units Outstanding (In MM)</v>
          </cell>
          <cell r="B48">
            <v>52.228741999999997</v>
          </cell>
          <cell r="C48">
            <v>97.646350999999996</v>
          </cell>
          <cell r="D48">
            <v>109.02381199999999</v>
          </cell>
          <cell r="E48">
            <v>135.98041669384909</v>
          </cell>
          <cell r="F48">
            <v>138.98665515488173</v>
          </cell>
          <cell r="G48">
            <v>138.98665515488173</v>
          </cell>
          <cell r="H48">
            <v>138.98665515488173</v>
          </cell>
          <cell r="J48">
            <v>89.24391</v>
          </cell>
          <cell r="K48">
            <v>94.177729999999997</v>
          </cell>
          <cell r="L48">
            <v>102.24457200000001</v>
          </cell>
          <cell r="M48">
            <v>102.24457200000001</v>
          </cell>
          <cell r="N48">
            <v>106.894514</v>
          </cell>
          <cell r="O48">
            <v>107.815792</v>
          </cell>
          <cell r="P48">
            <v>110.658305</v>
          </cell>
          <cell r="Q48">
            <v>110.726637</v>
          </cell>
          <cell r="R48">
            <v>128.6363106059319</v>
          </cell>
          <cell r="S48">
            <v>137.87024895809461</v>
          </cell>
          <cell r="T48">
            <v>138.42845205648817</v>
          </cell>
          <cell r="U48">
            <v>138.98665515488173</v>
          </cell>
          <cell r="V48">
            <v>138.98665515488173</v>
          </cell>
          <cell r="W48">
            <v>138.98665515488173</v>
          </cell>
          <cell r="X48">
            <v>138.98665515488173</v>
          </cell>
          <cell r="Y48">
            <v>138.98665515488173</v>
          </cell>
          <cell r="Z48">
            <v>138.98665515488173</v>
          </cell>
          <cell r="AA48">
            <v>138.98665515488173</v>
          </cell>
          <cell r="AB48">
            <v>138.98665515488173</v>
          </cell>
          <cell r="AC48">
            <v>138.98665515488173</v>
          </cell>
          <cell r="AD48">
            <v>138.98665515488173</v>
          </cell>
          <cell r="AE48">
            <v>138.98665515488173</v>
          </cell>
          <cell r="AF48">
            <v>138.98665515488173</v>
          </cell>
          <cell r="AG48">
            <v>138.98665515488173</v>
          </cell>
        </row>
        <row r="49">
          <cell r="A49" t="str">
            <v>WA Diluted Units Outstanding (In MM)</v>
          </cell>
          <cell r="B49">
            <v>52.283209999999997</v>
          </cell>
          <cell r="C49">
            <v>97.900277000000003</v>
          </cell>
          <cell r="D49">
            <v>109.28888649999999</v>
          </cell>
          <cell r="E49">
            <v>136.36073377441076</v>
          </cell>
          <cell r="F49">
            <v>139.37538023905725</v>
          </cell>
          <cell r="G49">
            <v>139.37538023905725</v>
          </cell>
          <cell r="H49">
            <v>139.37538023905725</v>
          </cell>
          <cell r="J49">
            <v>89.391631000000004</v>
          </cell>
          <cell r="K49">
            <v>94.331506000000005</v>
          </cell>
          <cell r="L49">
            <v>102.53420800000001</v>
          </cell>
          <cell r="M49">
            <v>102.53420800000001</v>
          </cell>
          <cell r="N49">
            <v>107.180936</v>
          </cell>
          <cell r="O49">
            <v>108.01706</v>
          </cell>
          <cell r="P49">
            <v>110.921227</v>
          </cell>
          <cell r="Q49">
            <v>111.036323</v>
          </cell>
          <cell r="R49">
            <v>128.99608730976431</v>
          </cell>
          <cell r="S49">
            <v>138.25585161952861</v>
          </cell>
          <cell r="T49">
            <v>138.81561592929293</v>
          </cell>
          <cell r="U49">
            <v>139.37538023905725</v>
          </cell>
          <cell r="V49">
            <v>139.37538023905725</v>
          </cell>
          <cell r="W49">
            <v>139.37538023905725</v>
          </cell>
          <cell r="X49">
            <v>139.37538023905725</v>
          </cell>
          <cell r="Y49">
            <v>139.37538023905725</v>
          </cell>
          <cell r="Z49">
            <v>139.37538023905725</v>
          </cell>
          <cell r="AA49">
            <v>139.37538023905725</v>
          </cell>
          <cell r="AB49">
            <v>139.37538023905725</v>
          </cell>
          <cell r="AC49">
            <v>139.37538023905725</v>
          </cell>
          <cell r="AD49">
            <v>139.37538023905725</v>
          </cell>
          <cell r="AE49">
            <v>139.37538023905725</v>
          </cell>
          <cell r="AF49">
            <v>139.37538023905725</v>
          </cell>
          <cell r="AG49">
            <v>139.37538023905725</v>
          </cell>
        </row>
        <row r="50">
          <cell r="A50" t="str">
            <v>Period Ending Units</v>
          </cell>
          <cell r="B50">
            <v>52.228741999999997</v>
          </cell>
          <cell r="C50">
            <v>97.646350999999996</v>
          </cell>
          <cell r="D50">
            <v>109.02381199999999</v>
          </cell>
          <cell r="E50">
            <v>135.98041669384909</v>
          </cell>
          <cell r="F50">
            <v>138.98665515488173</v>
          </cell>
          <cell r="G50">
            <v>138.98665515488173</v>
          </cell>
          <cell r="H50">
            <v>138.98665515488173</v>
          </cell>
          <cell r="J50">
            <v>89.391631000000004</v>
          </cell>
          <cell r="K50">
            <v>94.331506000000005</v>
          </cell>
          <cell r="L50">
            <v>102.53420800000001</v>
          </cell>
          <cell r="M50">
            <v>102.53420800000001</v>
          </cell>
          <cell r="N50">
            <v>107.180936</v>
          </cell>
          <cell r="O50">
            <v>108.01706</v>
          </cell>
          <cell r="P50">
            <v>110.921227</v>
          </cell>
          <cell r="Q50">
            <v>111.036323</v>
          </cell>
          <cell r="R50">
            <v>136.69999999999999</v>
          </cell>
          <cell r="S50">
            <v>138.25585161952861</v>
          </cell>
          <cell r="T50">
            <v>138.81561592929293</v>
          </cell>
          <cell r="U50">
            <v>139.37538023905725</v>
          </cell>
          <cell r="V50">
            <v>139.37538023905725</v>
          </cell>
          <cell r="W50">
            <v>139.37538023905725</v>
          </cell>
          <cell r="X50">
            <v>139.37538023905725</v>
          </cell>
          <cell r="Y50">
            <v>139.37538023905725</v>
          </cell>
          <cell r="Z50">
            <v>139.37538023905725</v>
          </cell>
          <cell r="AA50">
            <v>139.37538023905725</v>
          </cell>
          <cell r="AB50">
            <v>139.37538023905725</v>
          </cell>
          <cell r="AC50">
            <v>139.37538023905725</v>
          </cell>
          <cell r="AD50">
            <v>139.37538023905725</v>
          </cell>
          <cell r="AE50">
            <v>139.37538023905725</v>
          </cell>
          <cell r="AF50">
            <v>139.37538023905725</v>
          </cell>
          <cell r="AG50">
            <v>139.37538023905725</v>
          </cell>
        </row>
        <row r="52">
          <cell r="A52" t="str">
            <v>ETP Distributable Cash Flow Coverage</v>
          </cell>
        </row>
        <row r="53">
          <cell r="A53" t="str">
            <v>EBITDA</v>
          </cell>
          <cell r="B53">
            <v>211.47000000000011</v>
          </cell>
          <cell r="C53">
            <v>541.97999999999979</v>
          </cell>
          <cell r="D53">
            <v>764.00900000000024</v>
          </cell>
          <cell r="E53">
            <v>988.28144497771507</v>
          </cell>
          <cell r="F53">
            <v>1176.4478493909428</v>
          </cell>
          <cell r="G53">
            <v>1214.5845576116531</v>
          </cell>
          <cell r="H53">
            <v>1252.9647481224169</v>
          </cell>
          <cell r="J53">
            <v>28.556000000000019</v>
          </cell>
          <cell r="K53">
            <v>131.73000000000008</v>
          </cell>
          <cell r="L53">
            <v>91.610000000000113</v>
          </cell>
          <cell r="M53">
            <v>59.0399999999998</v>
          </cell>
          <cell r="N53">
            <v>185.10200000000017</v>
          </cell>
          <cell r="O53">
            <v>296.0830000000002</v>
          </cell>
          <cell r="P53">
            <v>132.67800000000003</v>
          </cell>
          <cell r="Q53">
            <v>107.128</v>
          </cell>
          <cell r="R53">
            <v>221.95799494236491</v>
          </cell>
          <cell r="S53">
            <v>350.92668008805424</v>
          </cell>
          <cell r="T53">
            <v>226.27280469145398</v>
          </cell>
          <cell r="U53">
            <v>171.59896525584196</v>
          </cell>
          <cell r="V53">
            <v>297.39894509802429</v>
          </cell>
          <cell r="W53">
            <v>392.45613567436521</v>
          </cell>
          <cell r="X53">
            <v>263.719011615422</v>
          </cell>
          <cell r="Y53">
            <v>206.27375700313138</v>
          </cell>
          <cell r="Z53">
            <v>310.24677818117152</v>
          </cell>
          <cell r="AA53">
            <v>409.04527775832611</v>
          </cell>
          <cell r="AB53">
            <v>276.65002860934311</v>
          </cell>
          <cell r="AC53">
            <v>218.64247306281237</v>
          </cell>
          <cell r="AD53">
            <v>319.26618195206242</v>
          </cell>
          <cell r="AE53">
            <v>421.72198795633096</v>
          </cell>
          <cell r="AF53">
            <v>285.63930341535684</v>
          </cell>
          <cell r="AG53">
            <v>226.33727479866695</v>
          </cell>
        </row>
        <row r="54">
          <cell r="A54" t="str">
            <v>Maintenance capital</v>
          </cell>
          <cell r="B54">
            <v>-25</v>
          </cell>
          <cell r="C54">
            <v>-25</v>
          </cell>
          <cell r="D54">
            <v>-50</v>
          </cell>
          <cell r="E54">
            <v>-44.6</v>
          </cell>
          <cell r="F54">
            <v>-54.56</v>
          </cell>
          <cell r="G54">
            <v>-54.56</v>
          </cell>
          <cell r="H54">
            <v>-54.56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-12</v>
          </cell>
          <cell r="O54">
            <v>-12</v>
          </cell>
          <cell r="P54">
            <v>-11</v>
          </cell>
          <cell r="Q54">
            <v>-7</v>
          </cell>
          <cell r="R54">
            <v>-8.66</v>
          </cell>
          <cell r="S54">
            <v>-10.32</v>
          </cell>
          <cell r="T54">
            <v>-11.98</v>
          </cell>
          <cell r="U54">
            <v>-13.64</v>
          </cell>
          <cell r="V54">
            <v>-13.64</v>
          </cell>
          <cell r="W54">
            <v>-13.64</v>
          </cell>
          <cell r="X54">
            <v>-13.64</v>
          </cell>
          <cell r="Y54">
            <v>-13.64</v>
          </cell>
          <cell r="Z54">
            <v>-13.64</v>
          </cell>
          <cell r="AA54">
            <v>-13.64</v>
          </cell>
          <cell r="AB54">
            <v>-13.64</v>
          </cell>
          <cell r="AC54">
            <v>-13.64</v>
          </cell>
          <cell r="AD54">
            <v>-13.64</v>
          </cell>
          <cell r="AE54">
            <v>-13.64</v>
          </cell>
          <cell r="AF54">
            <v>-13.64</v>
          </cell>
          <cell r="AG54">
            <v>-13.64</v>
          </cell>
        </row>
        <row r="55">
          <cell r="A55" t="str">
            <v>Interest expense</v>
          </cell>
          <cell r="B55">
            <v>-41.19</v>
          </cell>
          <cell r="C55">
            <v>-93.016999999999996</v>
          </cell>
          <cell r="D55">
            <v>-113.857</v>
          </cell>
          <cell r="E55">
            <v>-183.9</v>
          </cell>
          <cell r="F55">
            <v>-247.8</v>
          </cell>
          <cell r="G55">
            <v>-311.7</v>
          </cell>
          <cell r="H55">
            <v>-375.59999999999997</v>
          </cell>
          <cell r="J55">
            <v>-17.331</v>
          </cell>
          <cell r="K55">
            <v>-23.024000000000001</v>
          </cell>
          <cell r="L55">
            <v>-26.407</v>
          </cell>
          <cell r="M55">
            <v>-26.254999999999999</v>
          </cell>
          <cell r="N55">
            <v>-28.393000000000001</v>
          </cell>
          <cell r="O55">
            <v>-28.542000000000002</v>
          </cell>
          <cell r="P55">
            <v>-13.673999999999999</v>
          </cell>
          <cell r="Q55">
            <v>-43.247999999999998</v>
          </cell>
          <cell r="R55">
            <v>-45.975000000000001</v>
          </cell>
          <cell r="S55">
            <v>-45.975000000000001</v>
          </cell>
          <cell r="T55">
            <v>-45.975000000000001</v>
          </cell>
          <cell r="U55">
            <v>-45.975000000000001</v>
          </cell>
          <cell r="V55">
            <v>-61.95</v>
          </cell>
          <cell r="W55">
            <v>-61.95</v>
          </cell>
          <cell r="X55">
            <v>-61.95</v>
          </cell>
          <cell r="Y55">
            <v>-61.95</v>
          </cell>
          <cell r="Z55">
            <v>-77.924999999999997</v>
          </cell>
          <cell r="AA55">
            <v>-77.924999999999997</v>
          </cell>
          <cell r="AB55">
            <v>-77.924999999999997</v>
          </cell>
          <cell r="AC55">
            <v>-77.924999999999997</v>
          </cell>
          <cell r="AD55">
            <v>-93.899999999999991</v>
          </cell>
          <cell r="AE55">
            <v>-93.899999999999991</v>
          </cell>
          <cell r="AF55">
            <v>-93.899999999999991</v>
          </cell>
          <cell r="AG55">
            <v>-93.899999999999991</v>
          </cell>
        </row>
        <row r="56">
          <cell r="A56" t="str">
            <v>Taxes</v>
          </cell>
          <cell r="B56">
            <v>-4.4809999999999999</v>
          </cell>
          <cell r="C56">
            <v>-7.2949999999999999</v>
          </cell>
          <cell r="D56">
            <v>-23.919000000000004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J56">
            <v>-1.032</v>
          </cell>
          <cell r="K56">
            <v>-3.1269999999999998</v>
          </cell>
          <cell r="L56">
            <v>-3.1819999999999999</v>
          </cell>
          <cell r="M56">
            <v>4.5999999999999375E-2</v>
          </cell>
          <cell r="N56">
            <v>-22.411000000000001</v>
          </cell>
          <cell r="O56">
            <v>-4.0140000000000002</v>
          </cell>
          <cell r="P56">
            <v>-1.9810000000000001</v>
          </cell>
          <cell r="Q56">
            <v>2.4870000000000001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</row>
        <row r="57">
          <cell r="A57" t="str">
            <v>Distributable Cash Flow</v>
          </cell>
          <cell r="B57">
            <v>140.79900000000012</v>
          </cell>
          <cell r="C57">
            <v>416.66799999999978</v>
          </cell>
          <cell r="D57">
            <v>576.23300000000029</v>
          </cell>
          <cell r="E57">
            <v>742.2564449777152</v>
          </cell>
          <cell r="F57">
            <v>857.48784939094298</v>
          </cell>
          <cell r="G57">
            <v>848.32455761165306</v>
          </cell>
          <cell r="H57">
            <v>822.80474812241732</v>
          </cell>
          <cell r="J57">
            <v>10.193000000000019</v>
          </cell>
          <cell r="K57">
            <v>105.57900000000008</v>
          </cell>
          <cell r="L57">
            <v>62.021000000000114</v>
          </cell>
          <cell r="M57">
            <v>32.830999999999797</v>
          </cell>
          <cell r="N57">
            <v>122.29800000000017</v>
          </cell>
          <cell r="O57">
            <v>251.52700000000019</v>
          </cell>
          <cell r="P57">
            <v>106.02300000000002</v>
          </cell>
          <cell r="Q57">
            <v>59.367000000000004</v>
          </cell>
          <cell r="R57">
            <v>167.32299494236491</v>
          </cell>
          <cell r="S57">
            <v>294.63168008805422</v>
          </cell>
          <cell r="T57">
            <v>168.317804691454</v>
          </cell>
          <cell r="U57">
            <v>111.98396525584198</v>
          </cell>
          <cell r="V57">
            <v>221.80894509802431</v>
          </cell>
          <cell r="W57">
            <v>316.86613567436524</v>
          </cell>
          <cell r="X57">
            <v>188.12901161542203</v>
          </cell>
          <cell r="Y57">
            <v>130.6837570031314</v>
          </cell>
          <cell r="Z57">
            <v>218.68177818117152</v>
          </cell>
          <cell r="AA57">
            <v>317.48027775832611</v>
          </cell>
          <cell r="AB57">
            <v>185.08502860934311</v>
          </cell>
          <cell r="AC57">
            <v>127.07747306281239</v>
          </cell>
          <cell r="AD57">
            <v>211.72618195206246</v>
          </cell>
          <cell r="AE57">
            <v>314.181987956331</v>
          </cell>
          <cell r="AF57">
            <v>178.09930341535687</v>
          </cell>
          <cell r="AG57">
            <v>118.79727479866698</v>
          </cell>
        </row>
        <row r="58">
          <cell r="A58" t="str">
            <v>IDR Distributions</v>
          </cell>
          <cell r="B58">
            <v>0</v>
          </cell>
          <cell r="C58">
            <v>38.885238256623197</v>
          </cell>
          <cell r="D58">
            <v>112.51277393046867</v>
          </cell>
          <cell r="E58">
            <v>204.86452456059556</v>
          </cell>
          <cell r="F58">
            <v>257.27200815020723</v>
          </cell>
          <cell r="G58">
            <v>291.64424069508289</v>
          </cell>
          <cell r="H58">
            <v>328.7662518435485</v>
          </cell>
          <cell r="J58">
            <v>5.1586657869845673</v>
          </cell>
          <cell r="K58">
            <v>7.6171931468459722</v>
          </cell>
          <cell r="L58">
            <v>10.629137874627096</v>
          </cell>
          <cell r="M58">
            <v>11.80888293616556</v>
          </cell>
          <cell r="N58">
            <v>17.279527585410857</v>
          </cell>
          <cell r="O58">
            <v>21.160537535165986</v>
          </cell>
          <cell r="P58">
            <v>30.145480758726755</v>
          </cell>
          <cell r="Q58">
            <v>38.340831999165061</v>
          </cell>
          <cell r="R58">
            <v>45.655535785822472</v>
          </cell>
          <cell r="S58">
            <v>50.865675458544423</v>
          </cell>
          <cell r="T58">
            <v>53.051091827099953</v>
          </cell>
          <cell r="U58">
            <v>55.292221489128714</v>
          </cell>
          <cell r="V58">
            <v>61.148775931414008</v>
          </cell>
          <cell r="W58">
            <v>63.233655943345987</v>
          </cell>
          <cell r="X58">
            <v>65.360233555516601</v>
          </cell>
          <cell r="Y58">
            <v>67.529342719930639</v>
          </cell>
          <cell r="Z58">
            <v>69.488295979141895</v>
          </cell>
          <cell r="AA58">
            <v>71.739966392028435</v>
          </cell>
          <cell r="AB58">
            <v>74.036670213172684</v>
          </cell>
          <cell r="AC58">
            <v>76.379308110739856</v>
          </cell>
          <cell r="AD58">
            <v>78.494977630687998</v>
          </cell>
          <cell r="AE58">
            <v>80.926781676605458</v>
          </cell>
          <cell r="AF58">
            <v>83.407221803441274</v>
          </cell>
          <cell r="AG58">
            <v>85.937270732813786</v>
          </cell>
        </row>
        <row r="59">
          <cell r="A59" t="str">
            <v>LP Distributable Cash Flow</v>
          </cell>
          <cell r="B59">
            <v>140.79900000000012</v>
          </cell>
          <cell r="C59">
            <v>377.78276174337657</v>
          </cell>
          <cell r="D59">
            <v>463.72022606953163</v>
          </cell>
          <cell r="E59">
            <v>537.39192041711954</v>
          </cell>
          <cell r="F59">
            <v>600.2158412407357</v>
          </cell>
          <cell r="G59">
            <v>556.68031691657029</v>
          </cell>
          <cell r="H59">
            <v>494.03849627886882</v>
          </cell>
          <cell r="J59">
            <v>5.0343342130154518</v>
          </cell>
          <cell r="K59">
            <v>97.961806853154101</v>
          </cell>
          <cell r="L59">
            <v>51.391862125373017</v>
          </cell>
          <cell r="M59">
            <v>21.022117063834237</v>
          </cell>
          <cell r="N59">
            <v>105.01847241458931</v>
          </cell>
          <cell r="O59">
            <v>230.3664624648342</v>
          </cell>
          <cell r="P59">
            <v>75.877519241273262</v>
          </cell>
          <cell r="Q59">
            <v>21.026168000834943</v>
          </cell>
          <cell r="R59">
            <v>121.66745915654244</v>
          </cell>
          <cell r="S59">
            <v>243.76600462950981</v>
          </cell>
          <cell r="T59">
            <v>115.26671286435405</v>
          </cell>
          <cell r="U59">
            <v>56.691743766713266</v>
          </cell>
          <cell r="V59">
            <v>160.6601691666103</v>
          </cell>
          <cell r="W59">
            <v>253.63247973101926</v>
          </cell>
          <cell r="X59">
            <v>122.76877805990543</v>
          </cell>
          <cell r="Y59">
            <v>63.154414283200765</v>
          </cell>
          <cell r="Z59">
            <v>149.19348220202963</v>
          </cell>
          <cell r="AA59">
            <v>245.74031136629768</v>
          </cell>
          <cell r="AB59">
            <v>111.04835839617043</v>
          </cell>
          <cell r="AC59">
            <v>50.698164952072531</v>
          </cell>
          <cell r="AD59">
            <v>133.23120432137446</v>
          </cell>
          <cell r="AE59">
            <v>233.25520627972554</v>
          </cell>
          <cell r="AF59">
            <v>94.692081611915597</v>
          </cell>
          <cell r="AG59">
            <v>32.86000406585319</v>
          </cell>
        </row>
        <row r="60">
          <cell r="A60" t="str">
            <v>LP Distributions</v>
          </cell>
          <cell r="B60">
            <v>110.98607675</v>
          </cell>
          <cell r="C60">
            <v>183.5679256</v>
          </cell>
          <cell r="D60">
            <v>279.3198026</v>
          </cell>
          <cell r="E60">
            <v>425.84130739607991</v>
          </cell>
          <cell r="F60">
            <v>465.45731571185706</v>
          </cell>
          <cell r="G60">
            <v>502.69390096880568</v>
          </cell>
          <cell r="H60">
            <v>542.90941304631008</v>
          </cell>
          <cell r="J60">
            <v>39.044210624999998</v>
          </cell>
          <cell r="K60">
            <v>43.557200125000001</v>
          </cell>
          <cell r="L60">
            <v>49.84422885</v>
          </cell>
          <cell r="M60">
            <v>51.122286000000003</v>
          </cell>
          <cell r="N60">
            <v>58.791982700000005</v>
          </cell>
          <cell r="O60">
            <v>63.341777800000003</v>
          </cell>
          <cell r="P60">
            <v>74.141064349999994</v>
          </cell>
          <cell r="Q60">
            <v>83.044977750000001</v>
          </cell>
          <cell r="R60">
            <v>97.683198366379528</v>
          </cell>
          <cell r="S60">
            <v>106.78912470860415</v>
          </cell>
          <cell r="T60">
            <v>109.36591765392369</v>
          </cell>
          <cell r="U60">
            <v>112.00306666717258</v>
          </cell>
          <cell r="V60">
            <v>112.93100064631498</v>
          </cell>
          <cell r="W60">
            <v>115.1896206592413</v>
          </cell>
          <cell r="X60">
            <v>117.49341307242612</v>
          </cell>
          <cell r="Y60">
            <v>119.84328133387466</v>
          </cell>
          <cell r="Z60">
            <v>121.9654806980202</v>
          </cell>
          <cell r="AA60">
            <v>124.40479031198061</v>
          </cell>
          <cell r="AB60">
            <v>126.89288611822022</v>
          </cell>
          <cell r="AC60">
            <v>129.43074384058465</v>
          </cell>
          <cell r="AD60">
            <v>131.72271915386182</v>
          </cell>
          <cell r="AE60">
            <v>134.35717353693906</v>
          </cell>
          <cell r="AF60">
            <v>137.04431700767785</v>
          </cell>
          <cell r="AG60">
            <v>139.78520334783141</v>
          </cell>
        </row>
        <row r="61">
          <cell r="A61" t="str">
            <v>Coverage Ratio</v>
          </cell>
          <cell r="B61">
            <v>1.2686185882320606</v>
          </cell>
          <cell r="C61">
            <v>2.057999841249917</v>
          </cell>
          <cell r="D61">
            <v>1.6601766926407373</v>
          </cell>
          <cell r="E61">
            <v>1.2720834444348805</v>
          </cell>
          <cell r="F61">
            <v>1.2990958894109306</v>
          </cell>
          <cell r="G61">
            <v>1.1163519001987823</v>
          </cell>
          <cell r="H61">
            <v>0.9183923825634247</v>
          </cell>
          <cell r="J61">
            <v>0.1289393262772732</v>
          </cell>
          <cell r="K61">
            <v>2.2490381974053504</v>
          </cell>
          <cell r="L61">
            <v>1.0310493975146136</v>
          </cell>
          <cell r="M61">
            <v>0.4112123832614652</v>
          </cell>
          <cell r="N61">
            <v>1.7862719981816382</v>
          </cell>
          <cell r="O61">
            <v>3.6368802781666507</v>
          </cell>
          <cell r="P61">
            <v>1.0234209598485926</v>
          </cell>
          <cell r="Q61">
            <v>0.25319012143193625</v>
          </cell>
          <cell r="R61">
            <v>1.2455310758786311</v>
          </cell>
          <cell r="S61">
            <v>2.2826856694881146</v>
          </cell>
          <cell r="T61">
            <v>1.0539546079529345</v>
          </cell>
          <cell r="U61">
            <v>0.50616242441984205</v>
          </cell>
          <cell r="V61">
            <v>1.4226400921548263</v>
          </cell>
          <cell r="W61">
            <v>2.2018692159888724</v>
          </cell>
          <cell r="X61">
            <v>1.0448992403023261</v>
          </cell>
          <cell r="Y61">
            <v>0.5269750091976968</v>
          </cell>
          <cell r="Z61">
            <v>1.2232435058524833</v>
          </cell>
          <cell r="AA61">
            <v>1.9753283675816142</v>
          </cell>
          <cell r="AB61">
            <v>0.87513462569297873</v>
          </cell>
          <cell r="AC61">
            <v>0.39170110166805266</v>
          </cell>
          <cell r="AD61">
            <v>1.0114519740953012</v>
          </cell>
          <cell r="AE61">
            <v>1.7360830102279301</v>
          </cell>
          <cell r="AF61">
            <v>0.69095956461011454</v>
          </cell>
          <cell r="AG61">
            <v>0.23507498132035282</v>
          </cell>
        </row>
        <row r="64">
          <cell r="A64" t="str">
            <v>Cash Flow Statement</v>
          </cell>
          <cell r="B64">
            <v>2004</v>
          </cell>
          <cell r="C64">
            <v>2005</v>
          </cell>
          <cell r="D64" t="str">
            <v>2006E</v>
          </cell>
          <cell r="E64" t="str">
            <v>2007E</v>
          </cell>
          <cell r="F64" t="str">
            <v>2008E</v>
          </cell>
          <cell r="G64" t="str">
            <v>2009E</v>
          </cell>
          <cell r="H64" t="str">
            <v>2010E</v>
          </cell>
        </row>
        <row r="65">
          <cell r="A65" t="str">
            <v>Operating</v>
          </cell>
        </row>
        <row r="66">
          <cell r="A66" t="str">
            <v>Net Income before Extraordinaries</v>
          </cell>
          <cell r="B66">
            <v>99.151989999999998</v>
          </cell>
          <cell r="C66">
            <v>201.38300000000001</v>
          </cell>
          <cell r="D66">
            <v>515.85199999999998</v>
          </cell>
          <cell r="E66">
            <v>395.73258385253121</v>
          </cell>
          <cell r="F66">
            <v>454.39248264622506</v>
          </cell>
          <cell r="G66">
            <v>407.41318577152657</v>
          </cell>
          <cell r="H66">
            <v>343.38669229174911</v>
          </cell>
        </row>
        <row r="67">
          <cell r="A67" t="str">
            <v>Depreciation &amp; Amortization</v>
          </cell>
          <cell r="B67">
            <v>53.489989999999999</v>
          </cell>
          <cell r="C67">
            <v>98.539000000000001</v>
          </cell>
          <cell r="D67">
            <v>117.41500000000001</v>
          </cell>
          <cell r="E67">
            <v>177.74251041666665</v>
          </cell>
          <cell r="F67">
            <v>211.0742122802734</v>
          </cell>
          <cell r="G67">
            <v>213.77325312566754</v>
          </cell>
          <cell r="H67">
            <v>214.35361572619337</v>
          </cell>
        </row>
        <row r="68">
          <cell r="A68" t="str">
            <v>Deferred Taxes &amp; Investment Tax Credit</v>
          </cell>
          <cell r="B68">
            <v>-3.7229996000000001</v>
          </cell>
          <cell r="C68">
            <v>1.2889995999999999</v>
          </cell>
          <cell r="D68">
            <v>-3.827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A69" t="str">
            <v>Other Operating Activities</v>
          </cell>
          <cell r="B69">
            <v>1.8479996000000001</v>
          </cell>
          <cell r="C69">
            <v>17.562995999999998</v>
          </cell>
          <cell r="D69">
            <v>12.578000000000088</v>
          </cell>
          <cell r="E69">
            <v>55</v>
          </cell>
          <cell r="F69">
            <v>0</v>
          </cell>
          <cell r="G69">
            <v>0</v>
          </cell>
          <cell r="H69">
            <v>0</v>
          </cell>
        </row>
        <row r="70">
          <cell r="A70" t="str">
            <v>Gross Cash Flow - Operating</v>
          </cell>
          <cell r="B70">
            <v>150.76697999999999</v>
          </cell>
          <cell r="C70">
            <v>318.77399560000003</v>
          </cell>
          <cell r="D70">
            <v>642.01800000000003</v>
          </cell>
          <cell r="E70">
            <v>628.47509426919783</v>
          </cell>
          <cell r="F70">
            <v>665.46669492649846</v>
          </cell>
          <cell r="G70">
            <v>621.18643889719408</v>
          </cell>
          <cell r="H70">
            <v>557.74030801794243</v>
          </cell>
        </row>
        <row r="72">
          <cell r="A72" t="str">
            <v>Extraordinaries</v>
          </cell>
          <cell r="B72">
            <v>0</v>
          </cell>
          <cell r="C72">
            <v>1.5660000000000001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A73" t="str">
            <v>Loss (Gain) - Sale Prop, Plant &amp; Equip</v>
          </cell>
          <cell r="B73">
            <v>1.0059996</v>
          </cell>
          <cell r="C73">
            <v>0.32999998000000003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A74" t="str">
            <v>Net Chg in Operating Assets &amp; Liabs</v>
          </cell>
          <cell r="B74">
            <v>10.921996999999999</v>
          </cell>
          <cell r="C74">
            <v>-151.25198</v>
          </cell>
          <cell r="D74">
            <v>98.134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</row>
        <row r="75">
          <cell r="A75" t="str">
            <v>Net Cash Flow - Operating</v>
          </cell>
          <cell r="B75">
            <v>162.69499999999999</v>
          </cell>
          <cell r="C75">
            <v>169.41801558000003</v>
          </cell>
          <cell r="D75">
            <v>543.88400000000001</v>
          </cell>
          <cell r="E75">
            <v>628.47509426919783</v>
          </cell>
          <cell r="F75">
            <v>665.46669492649846</v>
          </cell>
          <cell r="G75">
            <v>621.18643889719408</v>
          </cell>
          <cell r="H75">
            <v>557.74030801794243</v>
          </cell>
        </row>
        <row r="77">
          <cell r="A77" t="str">
            <v>Investing</v>
          </cell>
        </row>
        <row r="78">
          <cell r="A78" t="str">
            <v>Capital Expenditures (maintenance &amp; expansion)</v>
          </cell>
          <cell r="B78">
            <v>-109.688</v>
          </cell>
          <cell r="C78">
            <v>-196.459</v>
          </cell>
          <cell r="D78">
            <v>-680.16399999999999</v>
          </cell>
          <cell r="E78">
            <v>-708.6</v>
          </cell>
          <cell r="F78">
            <v>-54.56</v>
          </cell>
          <cell r="G78">
            <v>-54.56</v>
          </cell>
          <cell r="H78">
            <v>-54.56</v>
          </cell>
        </row>
        <row r="79">
          <cell r="A79" t="str">
            <v>Acquisitions &amp; Investments</v>
          </cell>
          <cell r="B79">
            <v>0</v>
          </cell>
          <cell r="C79">
            <v>-1131.8440000000001</v>
          </cell>
          <cell r="D79">
            <v>-586.18499999999995</v>
          </cell>
          <cell r="E79">
            <v>-1000</v>
          </cell>
          <cell r="F79">
            <v>0</v>
          </cell>
          <cell r="G79">
            <v>0</v>
          </cell>
          <cell r="H79">
            <v>0</v>
          </cell>
        </row>
        <row r="80">
          <cell r="A80" t="str">
            <v>Sale of Property &amp; Investments</v>
          </cell>
          <cell r="B80">
            <v>0</v>
          </cell>
          <cell r="C80">
            <v>0</v>
          </cell>
          <cell r="D80">
            <v>6.9409999999999998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</row>
        <row r="81">
          <cell r="A81" t="str">
            <v>Other Investing Activities</v>
          </cell>
          <cell r="B81">
            <v>-681.04880000000003</v>
          </cell>
          <cell r="C81">
            <v>194.554</v>
          </cell>
          <cell r="D81">
            <v>15.001999999999999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</row>
        <row r="82">
          <cell r="A82" t="str">
            <v>Net Cash Flow - Investing</v>
          </cell>
          <cell r="B82">
            <v>-790.73680000000002</v>
          </cell>
          <cell r="C82">
            <v>-1133.749</v>
          </cell>
          <cell r="D82">
            <v>-1244.4059999999999</v>
          </cell>
          <cell r="E82">
            <v>-1708.6</v>
          </cell>
          <cell r="F82">
            <v>-54.56</v>
          </cell>
          <cell r="G82">
            <v>-54.56</v>
          </cell>
          <cell r="H82">
            <v>-54.56</v>
          </cell>
        </row>
        <row r="84">
          <cell r="A84" t="str">
            <v>Financing</v>
          </cell>
        </row>
        <row r="85">
          <cell r="A85" t="str">
            <v>Cash Dividends</v>
          </cell>
          <cell r="B85">
            <v>-63.382995999999999</v>
          </cell>
          <cell r="C85">
            <v>-207.03899999999999</v>
          </cell>
          <cell r="D85">
            <v>-343.77100000000002</v>
          </cell>
          <cell r="E85">
            <v>-425.84130739607991</v>
          </cell>
          <cell r="F85">
            <v>-465.45731571185706</v>
          </cell>
          <cell r="G85">
            <v>-502.69390096880568</v>
          </cell>
          <cell r="H85">
            <v>-542.90941304631008</v>
          </cell>
        </row>
        <row r="86">
          <cell r="A86" t="str">
            <v>Change in Current Debt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A87" t="str">
            <v>Change in Long-Term Debt</v>
          </cell>
          <cell r="B87">
            <v>383.99486999999999</v>
          </cell>
          <cell r="C87">
            <v>616.10299999999995</v>
          </cell>
          <cell r="D87">
            <v>912.29700000000003</v>
          </cell>
          <cell r="E87">
            <v>852</v>
          </cell>
          <cell r="F87">
            <v>0</v>
          </cell>
          <cell r="G87">
            <v>0</v>
          </cell>
          <cell r="H87">
            <v>0</v>
          </cell>
        </row>
        <row r="88">
          <cell r="A88" t="str">
            <v>Change in Capital Stock</v>
          </cell>
          <cell r="B88">
            <v>528.12890000000004</v>
          </cell>
          <cell r="C88">
            <v>507.72388000000001</v>
          </cell>
          <cell r="D88">
            <v>132.38300000000001</v>
          </cell>
          <cell r="E88">
            <v>1333</v>
          </cell>
          <cell r="F88">
            <v>0</v>
          </cell>
          <cell r="G88">
            <v>0</v>
          </cell>
          <cell r="H88">
            <v>0</v>
          </cell>
        </row>
        <row r="89">
          <cell r="A89" t="str">
            <v>Other Financing Activity</v>
          </cell>
          <cell r="B89">
            <v>-192.07599999999999</v>
          </cell>
          <cell r="C89">
            <v>-9.2880000000000003</v>
          </cell>
          <cell r="D89">
            <v>0.73999999999999977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</row>
        <row r="90">
          <cell r="A90" t="str">
            <v>Net Cash Flow - Financing</v>
          </cell>
          <cell r="B90">
            <v>656.66480000000001</v>
          </cell>
          <cell r="C90">
            <v>907.5</v>
          </cell>
          <cell r="D90">
            <v>701.64900000000011</v>
          </cell>
          <cell r="E90">
            <v>1759.1586926039201</v>
          </cell>
          <cell r="F90">
            <v>-465.45731571185706</v>
          </cell>
          <cell r="G90">
            <v>-502.69390096880568</v>
          </cell>
          <cell r="H90">
            <v>-542.90941304631008</v>
          </cell>
        </row>
        <row r="92">
          <cell r="A92" t="str">
            <v>Exchange Rate Effect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4">
          <cell r="A94" t="str">
            <v>Change in Cash</v>
          </cell>
          <cell r="B94">
            <v>28.622986000000001</v>
          </cell>
          <cell r="C94">
            <v>-56.830993999999997</v>
          </cell>
          <cell r="D94">
            <v>1.1270000000001801</v>
          </cell>
          <cell r="E94">
            <v>679.03378687311806</v>
          </cell>
          <cell r="F94">
            <v>145.44937921464145</v>
          </cell>
          <cell r="G94">
            <v>63.932537928388342</v>
          </cell>
          <cell r="H94">
            <v>-39.729105028367712</v>
          </cell>
        </row>
      </sheetData>
      <sheetData sheetId="3" refreshError="1"/>
      <sheetData sheetId="4" refreshError="1">
        <row r="2">
          <cell r="B2">
            <v>2002</v>
          </cell>
          <cell r="C2">
            <v>2003</v>
          </cell>
          <cell r="D2">
            <v>2004</v>
          </cell>
          <cell r="E2">
            <v>2005</v>
          </cell>
          <cell r="F2" t="str">
            <v>2006E</v>
          </cell>
          <cell r="G2" t="str">
            <v>2007E</v>
          </cell>
          <cell r="H2" t="str">
            <v>2008E</v>
          </cell>
          <cell r="I2" t="str">
            <v>2009E</v>
          </cell>
          <cell r="J2" t="str">
            <v>2010E</v>
          </cell>
        </row>
        <row r="3">
          <cell r="A3" t="str">
            <v>Assets</v>
          </cell>
        </row>
        <row r="4">
          <cell r="A4" t="str">
            <v>Cash &amp; Short-Term Investments</v>
          </cell>
          <cell r="B4">
            <v>7.1549997000000003</v>
          </cell>
          <cell r="C4">
            <v>10.161</v>
          </cell>
          <cell r="D4">
            <v>84.209000000000003</v>
          </cell>
          <cell r="E4">
            <v>28.366</v>
          </cell>
          <cell r="F4">
            <v>28.858000000000001</v>
          </cell>
          <cell r="G4">
            <v>707.89178687311801</v>
          </cell>
          <cell r="H4">
            <v>853.34116608775946</v>
          </cell>
          <cell r="I4">
            <v>917.2737040161478</v>
          </cell>
          <cell r="J4">
            <v>877.54459898778009</v>
          </cell>
        </row>
        <row r="5">
          <cell r="A5" t="str">
            <v>Net Receivables</v>
          </cell>
          <cell r="B5">
            <v>30.897995000000002</v>
          </cell>
          <cell r="C5">
            <v>35.878998000000003</v>
          </cell>
          <cell r="D5">
            <v>284.3098</v>
          </cell>
          <cell r="E5">
            <v>851.50700000000006</v>
          </cell>
          <cell r="F5">
            <v>676.44200000000001</v>
          </cell>
          <cell r="G5">
            <v>676.44200000000001</v>
          </cell>
          <cell r="H5">
            <v>676.44200000000001</v>
          </cell>
          <cell r="I5">
            <v>676.44200000000001</v>
          </cell>
          <cell r="J5">
            <v>676.44200000000001</v>
          </cell>
        </row>
        <row r="6">
          <cell r="A6" t="str">
            <v>Inventories</v>
          </cell>
          <cell r="B6">
            <v>48.186996000000001</v>
          </cell>
          <cell r="C6">
            <v>45.273986999999998</v>
          </cell>
          <cell r="D6">
            <v>54.067</v>
          </cell>
          <cell r="E6">
            <v>302.89281999999997</v>
          </cell>
          <cell r="F6">
            <v>387.14</v>
          </cell>
          <cell r="G6">
            <v>387.14</v>
          </cell>
          <cell r="H6">
            <v>387.14</v>
          </cell>
          <cell r="I6">
            <v>387.14</v>
          </cell>
          <cell r="J6">
            <v>387.14</v>
          </cell>
        </row>
        <row r="7">
          <cell r="A7" t="str">
            <v>Other Current Assets</v>
          </cell>
          <cell r="B7">
            <v>9.1470000000000002</v>
          </cell>
          <cell r="C7">
            <v>2.8239993999999999</v>
          </cell>
          <cell r="D7">
            <v>14.295999999999999</v>
          </cell>
          <cell r="E7">
            <v>239.631</v>
          </cell>
          <cell r="F7">
            <v>209.36400000000003</v>
          </cell>
          <cell r="G7">
            <v>209.36400000000003</v>
          </cell>
          <cell r="H7">
            <v>209.36400000000003</v>
          </cell>
          <cell r="I7">
            <v>209.36400000000003</v>
          </cell>
          <cell r="J7">
            <v>209.36400000000003</v>
          </cell>
        </row>
        <row r="8">
          <cell r="A8" t="str">
            <v>Total Current Assets</v>
          </cell>
          <cell r="B8">
            <v>95.386989999999997</v>
          </cell>
          <cell r="C8">
            <v>94.138000000000005</v>
          </cell>
          <cell r="D8">
            <v>436.88184000000001</v>
          </cell>
          <cell r="E8">
            <v>1422.3968200000002</v>
          </cell>
          <cell r="F8">
            <v>1301.8040000000001</v>
          </cell>
          <cell r="G8">
            <v>1980.8377868731181</v>
          </cell>
          <cell r="H8">
            <v>2126.2871660877595</v>
          </cell>
          <cell r="I8">
            <v>2190.2197040161477</v>
          </cell>
          <cell r="J8">
            <v>2150.4905989877802</v>
          </cell>
        </row>
        <row r="10">
          <cell r="A10" t="str">
            <v>Net Property, Plant &amp; Equipment</v>
          </cell>
          <cell r="B10">
            <v>400.04395</v>
          </cell>
          <cell r="C10">
            <v>426.58789999999999</v>
          </cell>
          <cell r="D10">
            <v>1467.6488999999999</v>
          </cell>
          <cell r="E10">
            <v>2440.5650000000001</v>
          </cell>
          <cell r="F10">
            <v>3313.6489999999999</v>
          </cell>
          <cell r="G10">
            <v>4789.506489583333</v>
          </cell>
          <cell r="H10">
            <v>4632.9922773030603</v>
          </cell>
          <cell r="I10">
            <v>4473.7790241773928</v>
          </cell>
          <cell r="J10">
            <v>4313.9854084511999</v>
          </cell>
        </row>
        <row r="11">
          <cell r="A11" t="str">
            <v>Total Long Term Investments</v>
          </cell>
          <cell r="B11">
            <v>7.8579999999999997</v>
          </cell>
          <cell r="C11">
            <v>8.6940000000000008</v>
          </cell>
          <cell r="D11">
            <v>8.01</v>
          </cell>
          <cell r="E11">
            <v>37.352997000000002</v>
          </cell>
          <cell r="F11">
            <v>41.344000000000001</v>
          </cell>
          <cell r="G11">
            <v>41.344000000000001</v>
          </cell>
          <cell r="H11">
            <v>41.344000000000001</v>
          </cell>
          <cell r="I11">
            <v>41.344000000000001</v>
          </cell>
          <cell r="J11">
            <v>41.344000000000001</v>
          </cell>
        </row>
        <row r="12">
          <cell r="A12" t="str">
            <v>Intangibles</v>
          </cell>
          <cell r="B12">
            <v>155.73500000000001</v>
          </cell>
          <cell r="C12">
            <v>209.155</v>
          </cell>
          <cell r="D12">
            <v>412.88085999999998</v>
          </cell>
          <cell r="E12">
            <v>434.76490000000001</v>
          </cell>
          <cell r="F12">
            <v>786.80099999999993</v>
          </cell>
          <cell r="G12">
            <v>786.80099999999993</v>
          </cell>
          <cell r="H12">
            <v>786.80099999999993</v>
          </cell>
          <cell r="I12">
            <v>786.80099999999993</v>
          </cell>
          <cell r="J12">
            <v>786.80099999999993</v>
          </cell>
        </row>
        <row r="13">
          <cell r="A13" t="str">
            <v>Other Assets</v>
          </cell>
          <cell r="B13">
            <v>58.239989999999999</v>
          </cell>
          <cell r="C13">
            <v>0.26400000000000001</v>
          </cell>
          <cell r="D13">
            <v>1.2599993</v>
          </cell>
          <cell r="E13">
            <v>91.825779999999995</v>
          </cell>
          <cell r="F13">
            <v>11.415000000000001</v>
          </cell>
          <cell r="G13">
            <v>11.415000000000001</v>
          </cell>
          <cell r="H13">
            <v>11.415000000000001</v>
          </cell>
          <cell r="I13">
            <v>11.415000000000001</v>
          </cell>
          <cell r="J13">
            <v>11.415000000000001</v>
          </cell>
        </row>
        <row r="14">
          <cell r="A14" t="str">
            <v>Total Assets</v>
          </cell>
          <cell r="B14">
            <v>717.26390000000004</v>
          </cell>
          <cell r="C14">
            <v>738.83887000000004</v>
          </cell>
          <cell r="D14">
            <v>2326.6819999999998</v>
          </cell>
          <cell r="E14">
            <v>4426.9054970000007</v>
          </cell>
          <cell r="F14">
            <v>5455.0129999999999</v>
          </cell>
          <cell r="G14">
            <v>7609.904276456451</v>
          </cell>
          <cell r="H14">
            <v>7598.8394433908197</v>
          </cell>
          <cell r="I14">
            <v>7503.5587281935404</v>
          </cell>
          <cell r="J14">
            <v>7304.0360074389791</v>
          </cell>
        </row>
        <row r="16">
          <cell r="A16" t="str">
            <v>Liabilities &amp; Shareholders' Equity</v>
          </cell>
        </row>
        <row r="17">
          <cell r="A17" t="str">
            <v>Debt in Current Liabilities</v>
          </cell>
          <cell r="B17">
            <v>50.357999999999997</v>
          </cell>
          <cell r="C17">
            <v>65.009</v>
          </cell>
          <cell r="D17">
            <v>45.506990000000002</v>
          </cell>
          <cell r="E17">
            <v>56.375</v>
          </cell>
          <cell r="F17">
            <v>40.578000000000003</v>
          </cell>
          <cell r="G17">
            <v>40.578000000000003</v>
          </cell>
          <cell r="H17">
            <v>40.578000000000003</v>
          </cell>
          <cell r="I17">
            <v>40.578000000000003</v>
          </cell>
          <cell r="J17">
            <v>40.578000000000003</v>
          </cell>
        </row>
        <row r="18">
          <cell r="A18" t="str">
            <v>Accounts Payable</v>
          </cell>
          <cell r="B18">
            <v>45.930999999999997</v>
          </cell>
          <cell r="C18">
            <v>49.944991999999999</v>
          </cell>
          <cell r="D18">
            <v>278.39794999999998</v>
          </cell>
          <cell r="E18">
            <v>819.84789999999998</v>
          </cell>
          <cell r="F18">
            <v>603.79</v>
          </cell>
          <cell r="G18">
            <v>603.79</v>
          </cell>
          <cell r="H18">
            <v>603.79</v>
          </cell>
          <cell r="I18">
            <v>603.79</v>
          </cell>
          <cell r="J18">
            <v>603.79</v>
          </cell>
        </row>
        <row r="19">
          <cell r="A19" t="str">
            <v>Income Taxes Payable</v>
          </cell>
          <cell r="B19">
            <v>0</v>
          </cell>
          <cell r="C19">
            <v>0.5</v>
          </cell>
          <cell r="D19">
            <v>2.2519998999999999</v>
          </cell>
          <cell r="E19">
            <v>2.0629997000000002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Other Current Liabilities</v>
          </cell>
          <cell r="B20">
            <v>25.779999</v>
          </cell>
          <cell r="C20">
            <v>35.572997999999998</v>
          </cell>
          <cell r="D20">
            <v>71.302989999999895</v>
          </cell>
          <cell r="E20">
            <v>372.58789999999999</v>
          </cell>
          <cell r="F20">
            <v>372.12200000000007</v>
          </cell>
          <cell r="G20">
            <v>372.12200000000007</v>
          </cell>
          <cell r="H20">
            <v>372.12200000000007</v>
          </cell>
          <cell r="I20">
            <v>372.12200000000007</v>
          </cell>
          <cell r="J20">
            <v>372.12200000000007</v>
          </cell>
        </row>
        <row r="21">
          <cell r="A21" t="str">
            <v>Total Current Liabilities</v>
          </cell>
          <cell r="B21">
            <v>122.069</v>
          </cell>
          <cell r="C21">
            <v>151.02699999999999</v>
          </cell>
          <cell r="D21">
            <v>397.45996000000002</v>
          </cell>
          <cell r="E21">
            <v>1250.874</v>
          </cell>
          <cell r="F21">
            <v>1016.49</v>
          </cell>
          <cell r="G21">
            <v>1016.49</v>
          </cell>
          <cell r="H21">
            <v>1016.49</v>
          </cell>
          <cell r="I21">
            <v>1016.49</v>
          </cell>
          <cell r="J21">
            <v>1016.49</v>
          </cell>
        </row>
        <row r="23">
          <cell r="A23" t="str">
            <v>Long-Term Debt</v>
          </cell>
          <cell r="B23">
            <v>420.02100000000002</v>
          </cell>
          <cell r="C23">
            <v>360.76195999999999</v>
          </cell>
          <cell r="D23">
            <v>1070.8707999999999</v>
          </cell>
          <cell r="E23">
            <v>1675.7048</v>
          </cell>
          <cell r="F23">
            <v>2589.1239999999998</v>
          </cell>
          <cell r="G23">
            <v>3441.1239999999998</v>
          </cell>
          <cell r="H23">
            <v>3441.1239999999998</v>
          </cell>
          <cell r="I23">
            <v>3441.1239999999998</v>
          </cell>
          <cell r="J23">
            <v>3441.1239999999998</v>
          </cell>
        </row>
        <row r="24">
          <cell r="A24" t="str">
            <v>Deferred Taxes &amp; Investment Tax Credit</v>
          </cell>
          <cell r="B24">
            <v>0</v>
          </cell>
          <cell r="C24">
            <v>0</v>
          </cell>
          <cell r="D24">
            <v>109.895996</v>
          </cell>
          <cell r="E24">
            <v>111.185</v>
          </cell>
          <cell r="F24">
            <v>106.842</v>
          </cell>
          <cell r="G24">
            <v>106.842</v>
          </cell>
          <cell r="H24">
            <v>106.842</v>
          </cell>
          <cell r="I24">
            <v>106.842</v>
          </cell>
          <cell r="J24">
            <v>106.842</v>
          </cell>
        </row>
        <row r="25">
          <cell r="A25" t="str">
            <v>Minority Interest</v>
          </cell>
          <cell r="B25">
            <v>3.5639992</v>
          </cell>
          <cell r="C25">
            <v>4.0019999999999998</v>
          </cell>
          <cell r="D25">
            <v>1.4749994</v>
          </cell>
          <cell r="E25">
            <v>17.143996999999999</v>
          </cell>
          <cell r="F25">
            <v>1.857</v>
          </cell>
          <cell r="G25">
            <v>1.857</v>
          </cell>
          <cell r="H25">
            <v>1.857</v>
          </cell>
          <cell r="I25">
            <v>1.857</v>
          </cell>
          <cell r="J25">
            <v>1.857</v>
          </cell>
        </row>
        <row r="26">
          <cell r="A26" t="str">
            <v>Other Liabilities</v>
          </cell>
          <cell r="B26">
            <v>0</v>
          </cell>
          <cell r="C26">
            <v>0</v>
          </cell>
          <cell r="D26">
            <v>0</v>
          </cell>
          <cell r="E26">
            <v>45.805999999999997</v>
          </cell>
          <cell r="F26">
            <v>3.8379999999999654</v>
          </cell>
          <cell r="G26">
            <v>3.8379999999999654</v>
          </cell>
          <cell r="H26">
            <v>3.8379999999999654</v>
          </cell>
          <cell r="I26">
            <v>3.8379999999999654</v>
          </cell>
          <cell r="J26">
            <v>3.8379999999999654</v>
          </cell>
        </row>
        <row r="27">
          <cell r="A27" t="str">
            <v>Total Liabilities</v>
          </cell>
          <cell r="B27">
            <v>545.65380000000005</v>
          </cell>
          <cell r="C27">
            <v>515.79100000000005</v>
          </cell>
          <cell r="D27">
            <v>1579.7019</v>
          </cell>
          <cell r="E27">
            <v>3100.7139999999999</v>
          </cell>
          <cell r="F27">
            <v>2701.6610000000001</v>
          </cell>
          <cell r="G27">
            <v>3553.6610000000001</v>
          </cell>
          <cell r="H27">
            <v>3553.6610000000001</v>
          </cell>
          <cell r="I27">
            <v>3553.6610000000001</v>
          </cell>
          <cell r="J27">
            <v>3553.6610000000001</v>
          </cell>
        </row>
        <row r="29">
          <cell r="A29" t="str">
            <v>Preferred Stock (Carrying Value)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Common Equity</v>
          </cell>
          <cell r="B30">
            <v>171.61</v>
          </cell>
          <cell r="C30">
            <v>223.048</v>
          </cell>
          <cell r="D30">
            <v>746.98</v>
          </cell>
          <cell r="E30">
            <v>1326.1919</v>
          </cell>
          <cell r="F30">
            <v>1736.8620000000001</v>
          </cell>
          <cell r="G30">
            <v>3039.7532764564512</v>
          </cell>
          <cell r="H30">
            <v>3028.688443390819</v>
          </cell>
          <cell r="I30">
            <v>2933.4077281935397</v>
          </cell>
          <cell r="J30">
            <v>2733.8850074389788</v>
          </cell>
        </row>
        <row r="31">
          <cell r="A31" t="str">
            <v>Total Shareholders' Equity</v>
          </cell>
          <cell r="B31">
            <v>171.61</v>
          </cell>
          <cell r="C31">
            <v>223.048</v>
          </cell>
          <cell r="D31">
            <v>746.98</v>
          </cell>
          <cell r="E31">
            <v>1326.1919</v>
          </cell>
          <cell r="F31">
            <v>1736.8620000000001</v>
          </cell>
          <cell r="G31">
            <v>3039.7532764564512</v>
          </cell>
          <cell r="H31">
            <v>3028.688443390819</v>
          </cell>
          <cell r="I31">
            <v>2933.4077281935397</v>
          </cell>
          <cell r="J31">
            <v>2733.8850074389788</v>
          </cell>
        </row>
        <row r="33">
          <cell r="A33" t="str">
            <v>Total Liabilities &amp; Shareholders' Equity</v>
          </cell>
          <cell r="B33">
            <v>717.26390000000004</v>
          </cell>
          <cell r="C33">
            <v>738.83887000000004</v>
          </cell>
          <cell r="D33">
            <v>2326.6819999999998</v>
          </cell>
          <cell r="E33">
            <v>4426.9022999999997</v>
          </cell>
          <cell r="F33">
            <v>5455.0129999999999</v>
          </cell>
          <cell r="G33">
            <v>7609.904276456451</v>
          </cell>
          <cell r="H33">
            <v>7598.8394433908188</v>
          </cell>
          <cell r="I33">
            <v>7503.5587281935395</v>
          </cell>
          <cell r="J33">
            <v>7304.0360074389791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ReportOutput"/>
      <sheetName val="DDM"/>
      <sheetName val="DCF"/>
      <sheetName val="ROCE"/>
      <sheetName val="DPM"/>
      <sheetName val="Segment"/>
      <sheetName val="BS"/>
      <sheetName val="QtrlyVar"/>
      <sheetName val="Qtrly Sum"/>
      <sheetName val="Debt"/>
      <sheetName val="Capex"/>
      <sheetName val="Scenarios"/>
      <sheetName val="RIM"/>
      <sheetName val="OrganicPrograms"/>
      <sheetName val="Distribution"/>
      <sheetName val="Quarter"/>
      <sheetName val="Modelware"/>
      <sheetName val="mwareDates"/>
      <sheetName val="Sheet4"/>
      <sheetName val="mwareSettings"/>
      <sheetName val="Valuation"/>
      <sheetName val="Sheet1"/>
      <sheetName val="Summary"/>
      <sheetName val="Variance"/>
      <sheetName val="QtrlyVariance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 t="str">
            <v>DPM Earnings Model</v>
          </cell>
          <cell r="J1">
            <v>2005</v>
          </cell>
          <cell r="K1">
            <v>2006</v>
          </cell>
          <cell r="L1">
            <v>2005</v>
          </cell>
          <cell r="M1">
            <v>2006</v>
          </cell>
          <cell r="O1" t="str">
            <v>2007E</v>
          </cell>
          <cell r="Q1" t="str">
            <v>2007E</v>
          </cell>
          <cell r="S1" t="str">
            <v>2008E</v>
          </cell>
          <cell r="U1" t="str">
            <v>2008E</v>
          </cell>
          <cell r="W1" t="str">
            <v>2009E</v>
          </cell>
          <cell r="Y1" t="str">
            <v>2009E</v>
          </cell>
          <cell r="AA1" t="str">
            <v>2010E</v>
          </cell>
          <cell r="AC1" t="str">
            <v>2010E</v>
          </cell>
          <cell r="AG1" t="str">
            <v>2011E</v>
          </cell>
          <cell r="AK1" t="str">
            <v>2012E</v>
          </cell>
        </row>
        <row r="2">
          <cell r="B2">
            <v>2004</v>
          </cell>
          <cell r="C2">
            <v>2005</v>
          </cell>
          <cell r="D2">
            <v>2006</v>
          </cell>
          <cell r="E2" t="str">
            <v>2007E</v>
          </cell>
          <cell r="F2" t="str">
            <v>2008E</v>
          </cell>
          <cell r="G2" t="str">
            <v>2009E</v>
          </cell>
          <cell r="H2" t="str">
            <v>2010E</v>
          </cell>
          <cell r="I2" t="str">
            <v>2011E</v>
          </cell>
          <cell r="J2" t="str">
            <v>4Q</v>
          </cell>
          <cell r="K2" t="str">
            <v>1Q</v>
          </cell>
          <cell r="L2" t="str">
            <v>2Q</v>
          </cell>
          <cell r="M2" t="str">
            <v>3Q</v>
          </cell>
          <cell r="N2" t="str">
            <v>4Q</v>
          </cell>
          <cell r="O2" t="str">
            <v>1Q</v>
          </cell>
          <cell r="P2" t="str">
            <v>2Q</v>
          </cell>
          <cell r="Q2" t="str">
            <v>3Q</v>
          </cell>
          <cell r="R2" t="str">
            <v>4Q</v>
          </cell>
          <cell r="S2" t="str">
            <v>1Q</v>
          </cell>
          <cell r="T2" t="str">
            <v>2Q</v>
          </cell>
          <cell r="U2" t="str">
            <v>3Q</v>
          </cell>
          <cell r="V2" t="str">
            <v>4Q</v>
          </cell>
          <cell r="W2" t="str">
            <v>1Q</v>
          </cell>
          <cell r="X2" t="str">
            <v>2Q</v>
          </cell>
          <cell r="Y2" t="str">
            <v>3Q</v>
          </cell>
          <cell r="Z2" t="str">
            <v>4Q</v>
          </cell>
          <cell r="AA2" t="str">
            <v>1Q</v>
          </cell>
          <cell r="AB2" t="str">
            <v>2Q</v>
          </cell>
          <cell r="AC2" t="str">
            <v>3Q</v>
          </cell>
          <cell r="AD2" t="str">
            <v>4Q</v>
          </cell>
          <cell r="AE2" t="str">
            <v>3Q</v>
          </cell>
          <cell r="AF2" t="str">
            <v>4Q</v>
          </cell>
          <cell r="AG2" t="str">
            <v>1Q</v>
          </cell>
          <cell r="AH2" t="str">
            <v>2Q</v>
          </cell>
          <cell r="AI2" t="str">
            <v>3Q</v>
          </cell>
          <cell r="AJ2" t="str">
            <v>4Q</v>
          </cell>
          <cell r="AK2" t="str">
            <v>1Q</v>
          </cell>
          <cell r="AL2" t="str">
            <v>2Q</v>
          </cell>
          <cell r="AM2" t="str">
            <v>3Q</v>
          </cell>
          <cell r="AN2" t="str">
            <v>4Q</v>
          </cell>
        </row>
        <row r="3">
          <cell r="A3" t="str">
            <v>Gross Margin</v>
          </cell>
          <cell r="B3">
            <v>56.9</v>
          </cell>
          <cell r="C3">
            <v>75.2</v>
          </cell>
          <cell r="D3">
            <v>86.399999999999991</v>
          </cell>
          <cell r="E3">
            <v>121.92116913433205</v>
          </cell>
          <cell r="F3">
            <v>168.50583122097049</v>
          </cell>
          <cell r="G3">
            <v>170.63984885088516</v>
          </cell>
          <cell r="H3">
            <v>172.97498825556573</v>
          </cell>
          <cell r="I3">
            <v>173.97238528582608</v>
          </cell>
          <cell r="J3">
            <v>28.700000000000003</v>
          </cell>
          <cell r="K3">
            <v>17.899999999999999</v>
          </cell>
          <cell r="L3">
            <v>19.400000000000002</v>
          </cell>
          <cell r="M3">
            <v>21.9</v>
          </cell>
          <cell r="N3">
            <v>27.2</v>
          </cell>
          <cell r="O3">
            <v>29.2</v>
          </cell>
          <cell r="P3">
            <v>21.7</v>
          </cell>
          <cell r="Q3">
            <v>34.173912780977282</v>
          </cell>
          <cell r="R3">
            <v>36.847256353354766</v>
          </cell>
          <cell r="S3">
            <v>41.859773403542</v>
          </cell>
          <cell r="T3">
            <v>42.116141562938402</v>
          </cell>
          <cell r="U3">
            <v>43.786552200974342</v>
          </cell>
          <cell r="V3">
            <v>40.743364053515741</v>
          </cell>
          <cell r="W3">
            <v>42.366397051351946</v>
          </cell>
          <cell r="X3">
            <v>42.677817269548555</v>
          </cell>
          <cell r="Y3">
            <v>44.351968305981451</v>
          </cell>
          <cell r="Z3">
            <v>41.243666224003213</v>
          </cell>
          <cell r="AA3">
            <v>42.873823311557416</v>
          </cell>
          <cell r="AB3">
            <v>43.332639472702226</v>
          </cell>
          <cell r="AC3">
            <v>44.999504234703181</v>
          </cell>
          <cell r="AD3">
            <v>41.769021236602882</v>
          </cell>
          <cell r="AE3">
            <v>44.999504234703181</v>
          </cell>
          <cell r="AF3">
            <v>41.769021236602882</v>
          </cell>
          <cell r="AG3">
            <v>43.096874035578026</v>
          </cell>
          <cell r="AH3">
            <v>43.606930079048794</v>
          </cell>
          <cell r="AI3">
            <v>45.272188120234063</v>
          </cell>
          <cell r="AJ3">
            <v>41.996393050965182</v>
          </cell>
          <cell r="AK3">
            <v>43.322250809790603</v>
          </cell>
          <cell r="AL3">
            <v>43.884062328686582</v>
          </cell>
          <cell r="AM3">
            <v>45.547689548243923</v>
          </cell>
          <cell r="AN3">
            <v>42.226132469244334</v>
          </cell>
        </row>
        <row r="4">
          <cell r="A4" t="str">
            <v>Op Expense</v>
          </cell>
          <cell r="B4">
            <v>14.5</v>
          </cell>
          <cell r="C4">
            <v>15.1</v>
          </cell>
          <cell r="D4">
            <v>17.3</v>
          </cell>
          <cell r="E4">
            <v>25.762499999999999</v>
          </cell>
          <cell r="F4">
            <v>25.444645182291666</v>
          </cell>
          <cell r="G4">
            <v>25.538260948118364</v>
          </cell>
          <cell r="H4">
            <v>25.533413245370788</v>
          </cell>
          <cell r="I4">
            <v>25.533376181411334</v>
          </cell>
          <cell r="J4">
            <v>2.7</v>
          </cell>
          <cell r="K4">
            <v>4.3</v>
          </cell>
          <cell r="L4">
            <v>3</v>
          </cell>
          <cell r="M4">
            <v>3.6</v>
          </cell>
          <cell r="N4">
            <v>6.4</v>
          </cell>
          <cell r="O4">
            <v>6.6</v>
          </cell>
          <cell r="P4">
            <v>6.3</v>
          </cell>
          <cell r="Q4">
            <v>6.3500000000000005</v>
          </cell>
          <cell r="R4">
            <v>6.5125000000000002</v>
          </cell>
          <cell r="S4">
            <v>6.2406249999999996</v>
          </cell>
          <cell r="T4">
            <v>6.4507812500000004</v>
          </cell>
          <cell r="U4">
            <v>6.3884765625000002</v>
          </cell>
          <cell r="V4">
            <v>6.3647623697916673</v>
          </cell>
          <cell r="W4">
            <v>6.3833835177951395</v>
          </cell>
          <cell r="X4">
            <v>6.3931472213179976</v>
          </cell>
          <cell r="Y4">
            <v>6.3775041462462632</v>
          </cell>
          <cell r="Z4">
            <v>6.3842260627589607</v>
          </cell>
          <cell r="AA4">
            <v>6.3831934949171076</v>
          </cell>
          <cell r="AB4">
            <v>6.3839233097280061</v>
          </cell>
          <cell r="AC4">
            <v>6.383065281838129</v>
          </cell>
          <cell r="AD4">
            <v>6.383231158887547</v>
          </cell>
          <cell r="AE4">
            <v>6.383065281838129</v>
          </cell>
          <cell r="AF4">
            <v>6.383231158887547</v>
          </cell>
          <cell r="AG4">
            <v>6.3833160541495193</v>
          </cell>
          <cell r="AH4">
            <v>6.3835324154205875</v>
          </cell>
          <cell r="AI4">
            <v>6.383199670458481</v>
          </cell>
          <cell r="AJ4">
            <v>6.3833280413827476</v>
          </cell>
          <cell r="AK4">
            <v>6.3833674199555119</v>
          </cell>
          <cell r="AL4">
            <v>6.3833385648513072</v>
          </cell>
          <cell r="AM4">
            <v>6.3833128472631353</v>
          </cell>
          <cell r="AN4">
            <v>6.3833398769467689</v>
          </cell>
        </row>
        <row r="5">
          <cell r="A5" t="str">
            <v>G&amp;A</v>
          </cell>
          <cell r="B5">
            <v>10.3</v>
          </cell>
          <cell r="C5">
            <v>11</v>
          </cell>
          <cell r="D5">
            <v>17.5</v>
          </cell>
          <cell r="E5">
            <v>25.049999999999997</v>
          </cell>
          <cell r="F5">
            <v>26.784374999999997</v>
          </cell>
          <cell r="G5">
            <v>26.799023437499997</v>
          </cell>
          <cell r="H5">
            <v>26.799938964843747</v>
          </cell>
          <cell r="I5">
            <v>26.799996185302732</v>
          </cell>
          <cell r="J5">
            <v>3.2</v>
          </cell>
          <cell r="K5">
            <v>4.0999999999999996</v>
          </cell>
          <cell r="L5">
            <v>3.6</v>
          </cell>
          <cell r="M5">
            <v>4.4000000000000004</v>
          </cell>
          <cell r="N5">
            <v>5.4</v>
          </cell>
          <cell r="O5">
            <v>4.8</v>
          </cell>
          <cell r="P5">
            <v>6.9</v>
          </cell>
          <cell r="Q5">
            <v>6.6</v>
          </cell>
          <cell r="R5">
            <v>6.75</v>
          </cell>
          <cell r="S5">
            <v>6.6749999999999998</v>
          </cell>
          <cell r="T5">
            <v>6.7125000000000004</v>
          </cell>
          <cell r="U5">
            <v>6.6937499999999996</v>
          </cell>
          <cell r="V5">
            <v>6.703125</v>
          </cell>
          <cell r="W5">
            <v>6.6984374999999998</v>
          </cell>
          <cell r="X5">
            <v>6.7007812500000004</v>
          </cell>
          <cell r="Y5">
            <v>6.6996093749999996</v>
          </cell>
          <cell r="Z5">
            <v>6.7001953125</v>
          </cell>
          <cell r="AA5">
            <v>6.6999023437499998</v>
          </cell>
          <cell r="AB5">
            <v>6.7000488281250004</v>
          </cell>
          <cell r="AC5">
            <v>6.6999755859374996</v>
          </cell>
          <cell r="AD5">
            <v>6.70001220703125</v>
          </cell>
          <cell r="AE5">
            <v>6.6999755859374996</v>
          </cell>
          <cell r="AF5">
            <v>6.70001220703125</v>
          </cell>
          <cell r="AG5">
            <v>6.6999938964843748</v>
          </cell>
          <cell r="AH5">
            <v>6.7000030517578129</v>
          </cell>
          <cell r="AI5">
            <v>6.6999984741210934</v>
          </cell>
          <cell r="AJ5">
            <v>6.7000007629394531</v>
          </cell>
          <cell r="AK5">
            <v>6.6999996185302733</v>
          </cell>
          <cell r="AL5">
            <v>6.7000001907348636</v>
          </cell>
          <cell r="AM5">
            <v>6.699999904632568</v>
          </cell>
          <cell r="AN5">
            <v>6.7000000476837158</v>
          </cell>
        </row>
        <row r="6">
          <cell r="A6" t="str">
            <v>EBITDA</v>
          </cell>
          <cell r="B6">
            <v>32.099999999999994</v>
          </cell>
          <cell r="C6">
            <v>49.1</v>
          </cell>
          <cell r="D6">
            <v>51.6</v>
          </cell>
          <cell r="E6">
            <v>71.108669134332047</v>
          </cell>
          <cell r="F6">
            <v>116.27681103867882</v>
          </cell>
          <cell r="G6">
            <v>118.3025644652668</v>
          </cell>
          <cell r="H6">
            <v>120.64163604535116</v>
          </cell>
          <cell r="I6">
            <v>121.63901291911199</v>
          </cell>
          <cell r="J6">
            <v>22.800000000000004</v>
          </cell>
          <cell r="K6">
            <v>9.5</v>
          </cell>
          <cell r="L6">
            <v>12.800000000000002</v>
          </cell>
          <cell r="M6">
            <v>13.899999999999999</v>
          </cell>
          <cell r="N6">
            <v>15.399999999999999</v>
          </cell>
          <cell r="O6">
            <v>17.8</v>
          </cell>
          <cell r="P6">
            <v>8.5</v>
          </cell>
          <cell r="Q6">
            <v>21.223912780977283</v>
          </cell>
          <cell r="R6">
            <v>23.584756353354766</v>
          </cell>
          <cell r="S6">
            <v>28.944148403542002</v>
          </cell>
          <cell r="T6">
            <v>28.952860312938402</v>
          </cell>
          <cell r="U6">
            <v>30.704325638474341</v>
          </cell>
          <cell r="V6">
            <v>27.675476683724074</v>
          </cell>
          <cell r="W6">
            <v>29.284576033556807</v>
          </cell>
          <cell r="X6">
            <v>29.583888798230557</v>
          </cell>
          <cell r="Y6">
            <v>31.27485478473519</v>
          </cell>
          <cell r="Z6">
            <v>28.159244848744251</v>
          </cell>
          <cell r="AA6">
            <v>29.79072747289031</v>
          </cell>
          <cell r="AB6">
            <v>30.24866733484922</v>
          </cell>
          <cell r="AC6">
            <v>31.916463366927552</v>
          </cell>
          <cell r="AD6">
            <v>28.685777870684085</v>
          </cell>
          <cell r="AE6">
            <v>31.916463366927552</v>
          </cell>
          <cell r="AF6">
            <v>28.685777870684085</v>
          </cell>
          <cell r="AG6">
            <v>30.013564084944132</v>
          </cell>
          <cell r="AH6">
            <v>30.523394611870394</v>
          </cell>
          <cell r="AI6">
            <v>32.188989975654486</v>
          </cell>
          <cell r="AJ6">
            <v>28.913064246642982</v>
          </cell>
          <cell r="AK6">
            <v>30.238883771304817</v>
          </cell>
          <cell r="AL6">
            <v>30.800723573100413</v>
          </cell>
          <cell r="AM6">
            <v>32.464376796348219</v>
          </cell>
          <cell r="AN6">
            <v>29.142792544613847</v>
          </cell>
        </row>
        <row r="7">
          <cell r="A7" t="str">
            <v>D&amp;A</v>
          </cell>
          <cell r="B7">
            <v>-12.799999999999999</v>
          </cell>
          <cell r="C7">
            <v>-11.899999999999999</v>
          </cell>
          <cell r="D7">
            <v>-12.100000000000001</v>
          </cell>
          <cell r="E7">
            <v>-17.366666666666667</v>
          </cell>
          <cell r="F7">
            <v>-19.733333333333334</v>
          </cell>
          <cell r="G7">
            <v>-19.733333333333334</v>
          </cell>
          <cell r="H7">
            <v>-19.733333333333334</v>
          </cell>
          <cell r="I7">
            <v>-19.733333333333334</v>
          </cell>
          <cell r="J7">
            <v>-2.9</v>
          </cell>
          <cell r="K7">
            <v>-3</v>
          </cell>
          <cell r="L7">
            <v>-2.9000000000000004</v>
          </cell>
          <cell r="M7">
            <v>-3</v>
          </cell>
          <cell r="N7">
            <v>-3.2</v>
          </cell>
          <cell r="O7">
            <v>-3.4</v>
          </cell>
          <cell r="P7">
            <v>-4.5</v>
          </cell>
          <cell r="Q7">
            <v>-4.7333333333333334</v>
          </cell>
          <cell r="R7">
            <v>-4.7333333333333334</v>
          </cell>
          <cell r="S7">
            <v>-4.9333333333333336</v>
          </cell>
          <cell r="T7">
            <v>-4.9333333333333336</v>
          </cell>
          <cell r="U7">
            <v>-4.9333333333333336</v>
          </cell>
          <cell r="V7">
            <v>-4.9333333333333336</v>
          </cell>
          <cell r="W7">
            <v>-4.9333333333333336</v>
          </cell>
          <cell r="X7">
            <v>-4.9333333333333336</v>
          </cell>
          <cell r="Y7">
            <v>-4.9333333333333336</v>
          </cell>
          <cell r="Z7">
            <v>-4.9333333333333336</v>
          </cell>
          <cell r="AA7">
            <v>-4.9333333333333336</v>
          </cell>
          <cell r="AB7">
            <v>-4.9333333333333336</v>
          </cell>
          <cell r="AC7">
            <v>-4.9333333333333336</v>
          </cell>
          <cell r="AD7">
            <v>-4.9333333333333336</v>
          </cell>
          <cell r="AE7">
            <v>-4.9333333333333336</v>
          </cell>
          <cell r="AF7">
            <v>-4.9333333333333336</v>
          </cell>
          <cell r="AG7">
            <v>-4.9333333333333336</v>
          </cell>
          <cell r="AH7">
            <v>-4.9333333333333336</v>
          </cell>
          <cell r="AI7">
            <v>-4.9333333333333336</v>
          </cell>
          <cell r="AJ7">
            <v>-4.9333333333333336</v>
          </cell>
          <cell r="AK7">
            <v>-4.9333333333333336</v>
          </cell>
          <cell r="AL7">
            <v>-4.9333333333333336</v>
          </cell>
          <cell r="AM7">
            <v>-4.9333333333333336</v>
          </cell>
          <cell r="AN7">
            <v>-4.9333333333333336</v>
          </cell>
        </row>
        <row r="8">
          <cell r="A8" t="str">
            <v>Trading Loss (Gain)</v>
          </cell>
          <cell r="B8">
            <v>-0.1</v>
          </cell>
          <cell r="C8">
            <v>0.7</v>
          </cell>
          <cell r="D8">
            <v>0.2</v>
          </cell>
          <cell r="E8">
            <v>0.9</v>
          </cell>
          <cell r="F8">
            <v>-0.25</v>
          </cell>
          <cell r="G8">
            <v>0</v>
          </cell>
          <cell r="H8">
            <v>0</v>
          </cell>
          <cell r="I8">
            <v>0</v>
          </cell>
          <cell r="J8">
            <v>0.7</v>
          </cell>
          <cell r="K8">
            <v>0</v>
          </cell>
          <cell r="L8">
            <v>0</v>
          </cell>
          <cell r="M8">
            <v>0</v>
          </cell>
          <cell r="N8">
            <v>0.2</v>
          </cell>
          <cell r="O8">
            <v>0.2</v>
          </cell>
          <cell r="P8">
            <v>0.3</v>
          </cell>
          <cell r="Q8">
            <v>0.3</v>
          </cell>
          <cell r="R8">
            <v>0.1</v>
          </cell>
          <cell r="S8">
            <v>-0.25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</row>
        <row r="9">
          <cell r="A9" t="str">
            <v>Net Interest Expense</v>
          </cell>
          <cell r="B9">
            <v>0</v>
          </cell>
          <cell r="C9">
            <v>-0.30000000000000004</v>
          </cell>
          <cell r="D9">
            <v>-5.2</v>
          </cell>
          <cell r="E9">
            <v>-13.1</v>
          </cell>
          <cell r="F9">
            <v>-27.599999999999998</v>
          </cell>
          <cell r="G9">
            <v>-27.599999999999998</v>
          </cell>
          <cell r="H9">
            <v>-27.599999999999998</v>
          </cell>
          <cell r="I9">
            <v>-27.599999999999998</v>
          </cell>
          <cell r="J9">
            <v>-0.30000000000000004</v>
          </cell>
          <cell r="K9">
            <v>-1.1000000000000001</v>
          </cell>
          <cell r="L9">
            <v>-1.1000000000000001</v>
          </cell>
          <cell r="M9">
            <v>-1.2</v>
          </cell>
          <cell r="N9">
            <v>-1.7999999999999998</v>
          </cell>
          <cell r="O9">
            <v>-2.0999999999999996</v>
          </cell>
          <cell r="P9">
            <v>-3.8</v>
          </cell>
          <cell r="Q9">
            <v>-3.6</v>
          </cell>
          <cell r="R9">
            <v>-3.6</v>
          </cell>
          <cell r="S9">
            <v>-6.8999999999999995</v>
          </cell>
          <cell r="T9">
            <v>-6.8999999999999995</v>
          </cell>
          <cell r="U9">
            <v>-6.8999999999999995</v>
          </cell>
          <cell r="V9">
            <v>-6.8999999999999995</v>
          </cell>
          <cell r="W9">
            <v>-6.8999999999999995</v>
          </cell>
          <cell r="X9">
            <v>-6.8999999999999995</v>
          </cell>
          <cell r="Y9">
            <v>-6.8999999999999995</v>
          </cell>
          <cell r="Z9">
            <v>-6.8999999999999995</v>
          </cell>
          <cell r="AA9">
            <v>-6.8999999999999995</v>
          </cell>
          <cell r="AB9">
            <v>-6.8999999999999995</v>
          </cell>
          <cell r="AC9">
            <v>-6.8999999999999995</v>
          </cell>
          <cell r="AD9">
            <v>-6.8999999999999995</v>
          </cell>
          <cell r="AE9">
            <v>-6.8999999999999995</v>
          </cell>
          <cell r="AF9">
            <v>-6.8999999999999995</v>
          </cell>
          <cell r="AG9">
            <v>-6.8999999999999995</v>
          </cell>
          <cell r="AH9">
            <v>-6.8999999999999995</v>
          </cell>
          <cell r="AI9">
            <v>-6.8999999999999995</v>
          </cell>
          <cell r="AJ9">
            <v>-6.8999999999999995</v>
          </cell>
          <cell r="AK9">
            <v>-6.8999999999999995</v>
          </cell>
          <cell r="AL9">
            <v>-6.8999999999999995</v>
          </cell>
          <cell r="AM9">
            <v>-6.8999999999999995</v>
          </cell>
          <cell r="AN9">
            <v>-6.8999999999999995</v>
          </cell>
        </row>
        <row r="10">
          <cell r="A10" t="str">
            <v>Net Income</v>
          </cell>
          <cell r="B10">
            <v>44.999999999999993</v>
          </cell>
          <cell r="C10">
            <v>37.600000000000009</v>
          </cell>
          <cell r="D10">
            <v>34.5</v>
          </cell>
          <cell r="E10">
            <v>41.542002467665384</v>
          </cell>
          <cell r="F10">
            <v>68.693477705345487</v>
          </cell>
          <cell r="G10">
            <v>70.969231131933483</v>
          </cell>
          <cell r="H10">
            <v>73.308302712017834</v>
          </cell>
          <cell r="I10">
            <v>74.305679585778662</v>
          </cell>
          <cell r="J10">
            <v>25.400000000000006</v>
          </cell>
          <cell r="K10">
            <v>5.4</v>
          </cell>
          <cell r="L10">
            <v>8.8000000000000025</v>
          </cell>
          <cell r="M10">
            <v>9.6999999999999993</v>
          </cell>
          <cell r="N10">
            <v>10.599999999999998</v>
          </cell>
          <cell r="O10">
            <v>12.5</v>
          </cell>
          <cell r="P10">
            <v>0.5</v>
          </cell>
          <cell r="Q10">
            <v>13.19057944764395</v>
          </cell>
          <cell r="R10">
            <v>15.351423020021434</v>
          </cell>
          <cell r="S10">
            <v>16.86081507020867</v>
          </cell>
          <cell r="T10">
            <v>17.11952697960507</v>
          </cell>
          <cell r="U10">
            <v>18.870992305141009</v>
          </cell>
          <cell r="V10">
            <v>15.842143350390742</v>
          </cell>
          <cell r="W10">
            <v>17.451242700223474</v>
          </cell>
          <cell r="X10">
            <v>17.750555464897225</v>
          </cell>
          <cell r="Y10">
            <v>19.441521451401858</v>
          </cell>
          <cell r="Z10">
            <v>16.325911515410919</v>
          </cell>
          <cell r="AA10">
            <v>17.957394139556978</v>
          </cell>
          <cell r="AB10">
            <v>18.415334001515888</v>
          </cell>
          <cell r="AC10">
            <v>20.08313003359422</v>
          </cell>
          <cell r="AD10">
            <v>16.852444537350753</v>
          </cell>
          <cell r="AE10">
            <v>20.08313003359422</v>
          </cell>
          <cell r="AF10">
            <v>16.852444537350753</v>
          </cell>
          <cell r="AG10">
            <v>18.1802307516108</v>
          </cell>
          <cell r="AH10">
            <v>18.690061278537062</v>
          </cell>
          <cell r="AI10">
            <v>20.355656642321154</v>
          </cell>
          <cell r="AJ10">
            <v>17.07973091330965</v>
          </cell>
          <cell r="AK10">
            <v>18.405550437971485</v>
          </cell>
          <cell r="AL10">
            <v>18.967390239767081</v>
          </cell>
          <cell r="AM10">
            <v>20.631043463014887</v>
          </cell>
          <cell r="AN10">
            <v>17.309459211280515</v>
          </cell>
        </row>
        <row r="11">
          <cell r="A11" t="str">
            <v>Additional Allocation to GP</v>
          </cell>
          <cell r="B11">
            <v>0</v>
          </cell>
          <cell r="C11">
            <v>0</v>
          </cell>
          <cell r="D11">
            <v>0</v>
          </cell>
          <cell r="E11">
            <v>4.1688171833886685</v>
          </cell>
          <cell r="F11">
            <v>5.2077680118605603</v>
          </cell>
          <cell r="G11">
            <v>5.3802967044491536</v>
          </cell>
          <cell r="H11">
            <v>5.5576256526859327</v>
          </cell>
          <cell r="I11">
            <v>5.6332384699787283</v>
          </cell>
          <cell r="J11">
            <v>0</v>
          </cell>
          <cell r="K11">
            <v>0.1</v>
          </cell>
          <cell r="L11">
            <v>0.2</v>
          </cell>
          <cell r="M11">
            <v>0.2</v>
          </cell>
          <cell r="N11">
            <v>0.31058463110014722</v>
          </cell>
          <cell r="O11">
            <v>2</v>
          </cell>
          <cell r="P11">
            <v>5.0000000000000001E-3</v>
          </cell>
          <cell r="Q11">
            <v>1</v>
          </cell>
          <cell r="R11">
            <v>1.1638171833886681</v>
          </cell>
          <cell r="S11">
            <v>1.2782467318537916</v>
          </cell>
          <cell r="T11">
            <v>1.2978601165745522</v>
          </cell>
          <cell r="U11">
            <v>1.430641646945364</v>
          </cell>
          <cell r="V11">
            <v>1.201019516486852</v>
          </cell>
          <cell r="W11">
            <v>1.3230080429363207</v>
          </cell>
          <cell r="X11">
            <v>1.3456994467417245</v>
          </cell>
          <cell r="Y11">
            <v>1.4738944205271003</v>
          </cell>
          <cell r="Z11">
            <v>1.237694794244008</v>
          </cell>
          <cell r="AA11">
            <v>1.3613802343432653</v>
          </cell>
          <cell r="AB11">
            <v>1.3960974250304952</v>
          </cell>
          <cell r="AC11">
            <v>1.5225358456243856</v>
          </cell>
          <cell r="AD11">
            <v>1.2776121476877857</v>
          </cell>
          <cell r="AE11">
            <v>1.5225358456243856</v>
          </cell>
          <cell r="AF11">
            <v>1.2776121476877857</v>
          </cell>
          <cell r="AG11">
            <v>1.3782738524696188</v>
          </cell>
          <cell r="AH11">
            <v>1.4169249616911568</v>
          </cell>
          <cell r="AI11">
            <v>1.5431965459225527</v>
          </cell>
          <cell r="AJ11">
            <v>1.294843109895401</v>
          </cell>
          <cell r="AK11">
            <v>1.3953557166329804</v>
          </cell>
          <cell r="AL11">
            <v>1.4379497364048677</v>
          </cell>
          <cell r="AM11">
            <v>1.5640740836976594</v>
          </cell>
          <cell r="AN11">
            <v>1.3122591983153753</v>
          </cell>
        </row>
        <row r="12">
          <cell r="A12" t="str">
            <v>General Partner Interest</v>
          </cell>
          <cell r="B12">
            <v>0</v>
          </cell>
          <cell r="C12">
            <v>-33</v>
          </cell>
          <cell r="D12">
            <v>0.7</v>
          </cell>
          <cell r="E12">
            <v>6.4988676470588302</v>
          </cell>
          <cell r="F12">
            <v>15.383844712885168</v>
          </cell>
          <cell r="G12">
            <v>20.525175962885175</v>
          </cell>
          <cell r="H12">
            <v>20.525175962885175</v>
          </cell>
          <cell r="I12">
            <v>20.525175962885175</v>
          </cell>
          <cell r="J12">
            <v>0</v>
          </cell>
          <cell r="K12">
            <v>0.1</v>
          </cell>
          <cell r="L12">
            <v>0.2</v>
          </cell>
          <cell r="M12">
            <v>0.2</v>
          </cell>
          <cell r="N12">
            <v>0.2</v>
          </cell>
          <cell r="O12">
            <v>0.3</v>
          </cell>
          <cell r="P12">
            <v>0.3</v>
          </cell>
          <cell r="Q12">
            <v>2.808984593837538</v>
          </cell>
          <cell r="R12">
            <v>3.0898830532212918</v>
          </cell>
          <cell r="S12">
            <v>3.3923143032212906</v>
          </cell>
          <cell r="T12">
            <v>3.6947455532212912</v>
          </cell>
          <cell r="U12">
            <v>3.9971768032212927</v>
          </cell>
          <cell r="V12">
            <v>4.2996080532212932</v>
          </cell>
          <cell r="W12">
            <v>4.6322824282212931</v>
          </cell>
          <cell r="X12">
            <v>4.9649568032212921</v>
          </cell>
          <cell r="Y12">
            <v>5.2976311782212937</v>
          </cell>
          <cell r="Z12">
            <v>5.6303055532212953</v>
          </cell>
          <cell r="AA12">
            <v>4.6322824282212931</v>
          </cell>
          <cell r="AB12">
            <v>4.9649568032212921</v>
          </cell>
          <cell r="AC12">
            <v>5.2976311782212937</v>
          </cell>
          <cell r="AD12">
            <v>5.6303055532212953</v>
          </cell>
          <cell r="AE12">
            <v>5.2976311782212937</v>
          </cell>
          <cell r="AF12">
            <v>5.6303055532212953</v>
          </cell>
          <cell r="AG12">
            <v>4.6322824282212931</v>
          </cell>
          <cell r="AH12">
            <v>4.9649568032212921</v>
          </cell>
          <cell r="AI12">
            <v>5.2976311782212937</v>
          </cell>
          <cell r="AJ12">
            <v>5.6303055532212953</v>
          </cell>
          <cell r="AK12">
            <v>4.6322824282212931</v>
          </cell>
          <cell r="AL12">
            <v>4.9649568032212921</v>
          </cell>
          <cell r="AM12">
            <v>5.2976311782212937</v>
          </cell>
          <cell r="AN12">
            <v>5.6303055532212953</v>
          </cell>
        </row>
        <row r="13">
          <cell r="A13" t="str">
            <v>Net Income</v>
          </cell>
          <cell r="B13">
            <v>44.999999999999993</v>
          </cell>
          <cell r="C13">
            <v>4.6000000000000085</v>
          </cell>
          <cell r="D13">
            <v>33.800000000000004</v>
          </cell>
          <cell r="E13">
            <v>30.874317637217885</v>
          </cell>
          <cell r="F13">
            <v>48.101864980599757</v>
          </cell>
          <cell r="G13">
            <v>45.063758464599154</v>
          </cell>
          <cell r="H13">
            <v>47.225501096446735</v>
          </cell>
          <cell r="I13">
            <v>48.147265152914763</v>
          </cell>
          <cell r="J13">
            <v>25.400000000000006</v>
          </cell>
          <cell r="K13">
            <v>5.3000000000000007</v>
          </cell>
          <cell r="L13">
            <v>8.6000000000000032</v>
          </cell>
          <cell r="M13">
            <v>9.5</v>
          </cell>
          <cell r="N13">
            <v>10.399999999999999</v>
          </cell>
          <cell r="O13">
            <v>10.199999999999999</v>
          </cell>
          <cell r="P13">
            <v>0.19500000000000001</v>
          </cell>
          <cell r="Q13">
            <v>9.381594853806412</v>
          </cell>
          <cell r="R13">
            <v>11.097722783411475</v>
          </cell>
          <cell r="S13">
            <v>12.190254035133588</v>
          </cell>
          <cell r="T13">
            <v>12.126921309809225</v>
          </cell>
          <cell r="U13">
            <v>13.443173854974351</v>
          </cell>
          <cell r="V13">
            <v>10.341515780682597</v>
          </cell>
          <cell r="W13">
            <v>11.49595222906586</v>
          </cell>
          <cell r="X13">
            <v>11.43989921493421</v>
          </cell>
          <cell r="Y13">
            <v>12.669995852653463</v>
          </cell>
          <cell r="Z13">
            <v>9.4579111679456158</v>
          </cell>
          <cell r="AA13">
            <v>11.96373147699242</v>
          </cell>
          <cell r="AB13">
            <v>12.054279773264101</v>
          </cell>
          <cell r="AC13">
            <v>13.262963009748539</v>
          </cell>
          <cell r="AD13">
            <v>9.944526836441673</v>
          </cell>
          <cell r="AE13">
            <v>13.262963009748539</v>
          </cell>
          <cell r="AF13">
            <v>9.944526836441673</v>
          </cell>
          <cell r="AG13">
            <v>12.169674470919889</v>
          </cell>
          <cell r="AH13">
            <v>12.308179513624614</v>
          </cell>
          <cell r="AI13">
            <v>13.514828918177306</v>
          </cell>
          <cell r="AJ13">
            <v>10.154582250192954</v>
          </cell>
          <cell r="AK13">
            <v>12.377912293117211</v>
          </cell>
          <cell r="AL13">
            <v>12.564483700140922</v>
          </cell>
          <cell r="AM13">
            <v>13.769338201095932</v>
          </cell>
          <cell r="AN13">
            <v>10.366894459743845</v>
          </cell>
        </row>
        <row r="14">
          <cell r="A14" t="str">
            <v>Net Income per LP Unit</v>
          </cell>
          <cell r="B14">
            <v>-0.1</v>
          </cell>
          <cell r="C14">
            <v>0.26285714285714334</v>
          </cell>
          <cell r="D14">
            <v>1.6984185954687894</v>
          </cell>
          <cell r="E14">
            <v>1.8537508157537408</v>
          </cell>
          <cell r="F14">
            <v>1.8498281268184911</v>
          </cell>
          <cell r="G14">
            <v>1.8812088384798726</v>
          </cell>
          <cell r="H14">
            <v>1.8685730311946667</v>
          </cell>
          <cell r="I14">
            <v>0</v>
          </cell>
          <cell r="J14">
            <v>1.4514285714285717</v>
          </cell>
          <cell r="K14">
            <v>0.30285714285714288</v>
          </cell>
          <cell r="L14">
            <v>0.47142857142857159</v>
          </cell>
          <cell r="M14">
            <v>0.51351351351351349</v>
          </cell>
          <cell r="N14">
            <v>0.38848872285986052</v>
          </cell>
          <cell r="O14">
            <v>0.40409074167805586</v>
          </cell>
          <cell r="P14">
            <v>0.49501661258795826</v>
          </cell>
          <cell r="Q14">
            <v>0.48492136860573309</v>
          </cell>
          <cell r="R14">
            <v>0.46831796279491589</v>
          </cell>
          <cell r="S14">
            <v>0.38272441717552569</v>
          </cell>
          <cell r="T14">
            <v>0.50548348769968909</v>
          </cell>
          <cell r="U14">
            <v>0.4907203309100524</v>
          </cell>
          <cell r="V14">
            <v>0.47021190315994438</v>
          </cell>
          <cell r="W14">
            <v>0.39292361122241692</v>
          </cell>
          <cell r="X14">
            <v>0.51427972219848617</v>
          </cell>
          <cell r="Y14">
            <v>0.4978594819128887</v>
          </cell>
          <cell r="Z14">
            <v>0.47554670322304365</v>
          </cell>
          <cell r="AA14">
            <v>0.39243338832444097</v>
          </cell>
          <cell r="AB14">
            <v>0.51212252439444694</v>
          </cell>
          <cell r="AC14">
            <v>0.49387062325740161</v>
          </cell>
          <cell r="AD14">
            <v>0.46963073911946179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</row>
        <row r="15">
          <cell r="A15" t="str">
            <v>Net Income per LP Unit</v>
          </cell>
          <cell r="C15">
            <v>0.26285714285714334</v>
          </cell>
          <cell r="D15">
            <v>1.8380519480519482</v>
          </cell>
          <cell r="E15">
            <v>1.5672121635813183</v>
          </cell>
          <cell r="F15">
            <v>2.1864484082090798</v>
          </cell>
          <cell r="G15">
            <v>2.0483526574817796</v>
          </cell>
          <cell r="H15">
            <v>2.1466136862021243</v>
          </cell>
          <cell r="I15">
            <v>2.1885120524052164</v>
          </cell>
          <cell r="J15">
            <v>1.4514285714285717</v>
          </cell>
          <cell r="K15">
            <v>0.30285714285714288</v>
          </cell>
          <cell r="L15">
            <v>0.47142857142857159</v>
          </cell>
          <cell r="M15">
            <v>0.51285714285714279</v>
          </cell>
          <cell r="N15">
            <v>0.55090909090909079</v>
          </cell>
          <cell r="O15">
            <v>0.58285714285714285</v>
          </cell>
          <cell r="P15">
            <v>1.0833333333333334E-2</v>
          </cell>
          <cell r="Q15">
            <v>0.4690797426903206</v>
          </cell>
          <cell r="R15">
            <v>0.50444194470052162</v>
          </cell>
          <cell r="S15">
            <v>0.55410245614243581</v>
          </cell>
          <cell r="T15">
            <v>0.55122369590041931</v>
          </cell>
          <cell r="U15">
            <v>0.61105335704428865</v>
          </cell>
          <cell r="V15">
            <v>0.47006889912193622</v>
          </cell>
          <cell r="W15">
            <v>0.52254328313935727</v>
          </cell>
          <cell r="X15">
            <v>0.51999541886064593</v>
          </cell>
          <cell r="Y15">
            <v>0.57590890239333925</v>
          </cell>
          <cell r="Z15">
            <v>0.42990505308843707</v>
          </cell>
          <cell r="AA15">
            <v>0.54380597622692817</v>
          </cell>
          <cell r="AB15">
            <v>0.54792180787564093</v>
          </cell>
          <cell r="AC15">
            <v>0.60286195498856998</v>
          </cell>
          <cell r="AD15">
            <v>0.45202394711098515</v>
          </cell>
          <cell r="AE15">
            <v>0.60286195498856998</v>
          </cell>
          <cell r="AF15">
            <v>0.45202394711098515</v>
          </cell>
          <cell r="AG15">
            <v>0.55316702140544949</v>
          </cell>
          <cell r="AH15">
            <v>0.55946270516475516</v>
          </cell>
          <cell r="AI15">
            <v>0.61431040537169579</v>
          </cell>
          <cell r="AJ15">
            <v>0.46157192046331608</v>
          </cell>
          <cell r="AK15">
            <v>0.56263237695987323</v>
          </cell>
          <cell r="AL15">
            <v>0.57111289546095101</v>
          </cell>
          <cell r="AM15">
            <v>0.62587900914072414</v>
          </cell>
          <cell r="AN15">
            <v>0.47122247544290202</v>
          </cell>
        </row>
        <row r="16">
          <cell r="A16" t="str">
            <v>Available Cash for LP Distribution</v>
          </cell>
          <cell r="B16">
            <v>0</v>
          </cell>
          <cell r="C16">
            <v>2.6171428571428579</v>
          </cell>
          <cell r="D16">
            <v>2.2359538507423027</v>
          </cell>
          <cell r="E16">
            <v>2.5658753444090308</v>
          </cell>
          <cell r="F16">
            <v>2.5371532217329444</v>
          </cell>
          <cell r="G16">
            <v>2.5430721259440916</v>
          </cell>
          <cell r="H16">
            <v>2.5062188484933166</v>
          </cell>
          <cell r="I16">
            <v>-15.2</v>
          </cell>
          <cell r="J16">
            <v>1.7995923217744161</v>
          </cell>
          <cell r="K16">
            <v>0.33142857142857146</v>
          </cell>
          <cell r="L16">
            <v>0.63428571428571434</v>
          </cell>
          <cell r="M16">
            <v>0.67567567567567566</v>
          </cell>
          <cell r="N16">
            <v>0.6285347937769592</v>
          </cell>
          <cell r="O16">
            <v>0.59896334169901733</v>
          </cell>
          <cell r="P16">
            <v>0.71225636318710506</v>
          </cell>
          <cell r="Q16">
            <v>0.71716791098550736</v>
          </cell>
          <cell r="R16">
            <v>0.71556461487312373</v>
          </cell>
          <cell r="S16">
            <v>0.62465000347187094</v>
          </cell>
          <cell r="T16">
            <v>0.76299980153945546</v>
          </cell>
          <cell r="U16">
            <v>0.76383890259514364</v>
          </cell>
          <cell r="V16">
            <v>0.75894400509837434</v>
          </cell>
          <cell r="W16">
            <v>0.67605829579140808</v>
          </cell>
          <cell r="X16">
            <v>0.81481647166094406</v>
          </cell>
          <cell r="Y16">
            <v>0.81580756329695869</v>
          </cell>
          <cell r="Z16">
            <v>0.81091517206698982</v>
          </cell>
          <cell r="AA16">
            <v>0.72187812237185289</v>
          </cell>
          <cell r="AB16">
            <v>0.86094004453152617</v>
          </cell>
          <cell r="AC16">
            <v>0.86206827186333734</v>
          </cell>
          <cell r="AD16">
            <v>0.85721568280050164</v>
          </cell>
          <cell r="AE16">
            <v>-3.8</v>
          </cell>
          <cell r="AF16">
            <v>-3.8</v>
          </cell>
          <cell r="AG16">
            <v>-3.8</v>
          </cell>
          <cell r="AH16">
            <v>-3.8</v>
          </cell>
          <cell r="AI16">
            <v>-3.8</v>
          </cell>
          <cell r="AJ16">
            <v>-3.8</v>
          </cell>
          <cell r="AK16">
            <v>-3.8</v>
          </cell>
          <cell r="AL16">
            <v>-3.8</v>
          </cell>
          <cell r="AM16">
            <v>-3.8</v>
          </cell>
          <cell r="AN16">
            <v>-3.8</v>
          </cell>
        </row>
        <row r="17">
          <cell r="A17" t="str">
            <v>Available Cash for LP Distribution</v>
          </cell>
          <cell r="B17">
            <v>44.999999999999993</v>
          </cell>
          <cell r="C17">
            <v>2.6171428571428579</v>
          </cell>
          <cell r="D17">
            <v>2.37660485021398</v>
          </cell>
          <cell r="E17">
            <v>2.7294694703066136</v>
          </cell>
          <cell r="F17">
            <v>2.8375823199399464</v>
          </cell>
          <cell r="G17">
            <v>2.6129710873964433</v>
          </cell>
          <cell r="H17">
            <v>2.6579856345365731</v>
          </cell>
          <cell r="I17">
            <v>2.639524753155654</v>
          </cell>
          <cell r="J17">
            <v>2.2591756897682842</v>
          </cell>
          <cell r="K17">
            <v>0.33142857142857146</v>
          </cell>
          <cell r="L17">
            <v>0.63428571428571434</v>
          </cell>
          <cell r="M17">
            <v>0.7142857142857143</v>
          </cell>
          <cell r="N17">
            <v>0.73579545454545436</v>
          </cell>
          <cell r="O17">
            <v>0.8302857142857144</v>
          </cell>
          <cell r="P17">
            <v>0.60000000000000009</v>
          </cell>
          <cell r="Q17">
            <v>0.66731849054886416</v>
          </cell>
          <cell r="R17">
            <v>0.63186526547203492</v>
          </cell>
          <cell r="S17">
            <v>0.69518856379736382</v>
          </cell>
          <cell r="T17">
            <v>0.70694819604265469</v>
          </cell>
          <cell r="U17">
            <v>0.78656025629428827</v>
          </cell>
          <cell r="V17">
            <v>0.6488853038056398</v>
          </cell>
          <cell r="W17">
            <v>0.64562761578435501</v>
          </cell>
          <cell r="X17">
            <v>0.65551421032120682</v>
          </cell>
          <cell r="Y17">
            <v>0.72862058417543385</v>
          </cell>
          <cell r="Z17">
            <v>0.58320867711544766</v>
          </cell>
          <cell r="AA17">
            <v>0.65353577187108469</v>
          </cell>
          <cell r="AB17">
            <v>0.67048170173661403</v>
          </cell>
          <cell r="AC17">
            <v>0.74238239869624545</v>
          </cell>
          <cell r="AD17">
            <v>0.59158576223262882</v>
          </cell>
          <cell r="AE17">
            <v>0.74238239869624545</v>
          </cell>
          <cell r="AF17">
            <v>0.59158576223262882</v>
          </cell>
          <cell r="AG17">
            <v>0.64795291238010089</v>
          </cell>
          <cell r="AH17">
            <v>0.66710039087103012</v>
          </cell>
          <cell r="AI17">
            <v>0.73874236830998541</v>
          </cell>
          <cell r="AJ17">
            <v>0.58572908159453752</v>
          </cell>
          <cell r="AK17">
            <v>0.64184495796481944</v>
          </cell>
          <cell r="AL17">
            <v>0.66319299682094701</v>
          </cell>
          <cell r="AM17">
            <v>0.73458156258537466</v>
          </cell>
          <cell r="AN17">
            <v>0.57932610458859879</v>
          </cell>
        </row>
        <row r="18">
          <cell r="A18" t="str">
            <v>LP Cash Distribution per Unit</v>
          </cell>
          <cell r="B18">
            <v>0</v>
          </cell>
          <cell r="C18">
            <v>9.5000000000000001E-2</v>
          </cell>
          <cell r="D18">
            <v>1.5649999999999999</v>
          </cell>
          <cell r="E18">
            <v>2.0947500000000003</v>
          </cell>
          <cell r="F18">
            <v>2.3369687500000005</v>
          </cell>
          <cell r="G18">
            <v>2.5706656250000006</v>
          </cell>
          <cell r="H18">
            <v>2.5706656250000006</v>
          </cell>
          <cell r="I18">
            <v>2.5706656250000006</v>
          </cell>
          <cell r="J18">
            <v>9.5000000000000001E-2</v>
          </cell>
          <cell r="K18">
            <v>0.35</v>
          </cell>
          <cell r="L18">
            <v>0.38</v>
          </cell>
          <cell r="M18">
            <v>0.40500000000000003</v>
          </cell>
          <cell r="N18">
            <v>0.43</v>
          </cell>
          <cell r="O18">
            <v>0.46500000000000002</v>
          </cell>
          <cell r="P18">
            <v>0.53</v>
          </cell>
          <cell r="Q18">
            <v>0.54987500000000011</v>
          </cell>
          <cell r="R18">
            <v>0.54987500000000011</v>
          </cell>
          <cell r="S18">
            <v>0.56362187500000005</v>
          </cell>
          <cell r="T18">
            <v>0.5773687500000001</v>
          </cell>
          <cell r="U18">
            <v>0.59111562500000014</v>
          </cell>
          <cell r="V18">
            <v>0.60486250000000019</v>
          </cell>
          <cell r="W18">
            <v>0.61998406250000015</v>
          </cell>
          <cell r="X18">
            <v>0.63510562500000012</v>
          </cell>
          <cell r="Y18">
            <v>0.65022718750000019</v>
          </cell>
          <cell r="Z18">
            <v>0.66534875000000027</v>
          </cell>
          <cell r="AA18">
            <v>0.61998406250000015</v>
          </cell>
          <cell r="AB18">
            <v>0.63510562500000012</v>
          </cell>
          <cell r="AC18">
            <v>0.65022718750000019</v>
          </cell>
          <cell r="AD18">
            <v>0.66534875000000027</v>
          </cell>
          <cell r="AE18">
            <v>0.65022718750000019</v>
          </cell>
          <cell r="AF18">
            <v>0.66534875000000027</v>
          </cell>
          <cell r="AG18">
            <v>0.61998406250000015</v>
          </cell>
          <cell r="AH18">
            <v>0.63510562500000012</v>
          </cell>
          <cell r="AI18">
            <v>0.65022718750000019</v>
          </cell>
          <cell r="AJ18">
            <v>0.66534875000000027</v>
          </cell>
          <cell r="AK18">
            <v>0.61998406250000015</v>
          </cell>
          <cell r="AL18">
            <v>0.63510562500000012</v>
          </cell>
          <cell r="AM18">
            <v>0.65022718750000019</v>
          </cell>
          <cell r="AN18">
            <v>0.66534875000000027</v>
          </cell>
        </row>
        <row r="19">
          <cell r="A19" t="str">
            <v>Coverage Ratio</v>
          </cell>
          <cell r="B19">
            <v>0</v>
          </cell>
          <cell r="C19" t="str">
            <v>NM</v>
          </cell>
          <cell r="D19">
            <v>1.5185973483795401</v>
          </cell>
          <cell r="E19">
            <v>1.3030048790101985</v>
          </cell>
          <cell r="F19">
            <v>1.2142149183381017</v>
          </cell>
          <cell r="G19">
            <v>1.0164570070821415</v>
          </cell>
          <cell r="H19">
            <v>1.0339678597976243</v>
          </cell>
          <cell r="I19">
            <v>1.0267864974293004</v>
          </cell>
          <cell r="J19" t="str">
            <v>NM</v>
          </cell>
          <cell r="K19">
            <v>0.94693877551020422</v>
          </cell>
          <cell r="L19">
            <v>1.6691729323308271</v>
          </cell>
          <cell r="M19">
            <v>1.7636684303350969</v>
          </cell>
          <cell r="N19">
            <v>1.7111522198731497</v>
          </cell>
          <cell r="O19">
            <v>1.7855606758832567</v>
          </cell>
          <cell r="P19">
            <v>1.1320754716981134</v>
          </cell>
          <cell r="Q19">
            <v>1.2135821605798847</v>
          </cell>
          <cell r="R19">
            <v>1.1491070979259554</v>
          </cell>
          <cell r="S19">
            <v>1.233430770935503</v>
          </cell>
          <cell r="T19">
            <v>1.2244310001929521</v>
          </cell>
          <cell r="U19">
            <v>1.3306368890084543</v>
          </cell>
          <cell r="V19">
            <v>1.0727815062194128</v>
          </cell>
          <cell r="W19">
            <v>1.0413616330409379</v>
          </cell>
          <cell r="X19">
            <v>1.032134159292333</v>
          </cell>
          <cell r="Y19">
            <v>1.1205630865372476</v>
          </cell>
          <cell r="Z19">
            <v>0.87654583722513557</v>
          </cell>
          <cell r="AA19">
            <v>1.0541170513896629</v>
          </cell>
          <cell r="AB19">
            <v>1.0557010918248659</v>
          </cell>
          <cell r="AC19">
            <v>1.1417277114335445</v>
          </cell>
          <cell r="AD19">
            <v>0.88913635478029918</v>
          </cell>
          <cell r="AE19">
            <v>1.1417277114335445</v>
          </cell>
          <cell r="AF19">
            <v>0.88913635478029918</v>
          </cell>
          <cell r="AG19">
            <v>1.0451122078321178</v>
          </cell>
          <cell r="AH19">
            <v>1.0503770784127915</v>
          </cell>
          <cell r="AI19">
            <v>1.1361296213256005</v>
          </cell>
          <cell r="AJ19">
            <v>0.88033393253468539</v>
          </cell>
          <cell r="AK19">
            <v>1.0352604152059461</v>
          </cell>
          <cell r="AL19">
            <v>1.0442247253296597</v>
          </cell>
          <cell r="AM19">
            <v>1.1297306183238831</v>
          </cell>
          <cell r="AN19">
            <v>0.87071044258909114</v>
          </cell>
        </row>
        <row r="20">
          <cell r="A20" t="str">
            <v>Diluted LP Units Outstanding (mm)</v>
          </cell>
          <cell r="B20">
            <v>44.999999999999993</v>
          </cell>
          <cell r="C20">
            <v>17.5</v>
          </cell>
          <cell r="D20">
            <v>17.524999999999999</v>
          </cell>
          <cell r="E20">
            <v>17.944036697247707</v>
          </cell>
          <cell r="F20">
            <v>18.331760594145916</v>
          </cell>
          <cell r="G20">
            <v>18.755630447897804</v>
          </cell>
          <cell r="H20">
            <v>19.15931602289961</v>
          </cell>
          <cell r="I20">
            <v>68.818314177933217</v>
          </cell>
          <cell r="J20">
            <v>17.5</v>
          </cell>
          <cell r="K20">
            <v>17.5</v>
          </cell>
          <cell r="L20">
            <v>17.5</v>
          </cell>
          <cell r="M20">
            <v>17.5</v>
          </cell>
          <cell r="N20">
            <v>17.600000000000001</v>
          </cell>
          <cell r="O20">
            <v>17.600000000000001</v>
          </cell>
          <cell r="P20">
            <v>18.058715596330277</v>
          </cell>
          <cell r="Q20">
            <v>18.058715596330277</v>
          </cell>
          <cell r="R20">
            <v>18.058715596330277</v>
          </cell>
          <cell r="S20">
            <v>18.167933595456532</v>
          </cell>
          <cell r="T20">
            <v>18.277151594582786</v>
          </cell>
          <cell r="U20">
            <v>18.386369593709041</v>
          </cell>
          <cell r="V20">
            <v>18.495587592835296</v>
          </cell>
          <cell r="W20">
            <v>18.5996047348603</v>
          </cell>
          <cell r="X20">
            <v>18.703621876885304</v>
          </cell>
          <cell r="Y20">
            <v>18.807639018910308</v>
          </cell>
          <cell r="Z20">
            <v>18.911656160935312</v>
          </cell>
          <cell r="AA20">
            <v>19.010720105721031</v>
          </cell>
          <cell r="AB20">
            <v>19.10978405050675</v>
          </cell>
          <cell r="AC20">
            <v>19.208847995292469</v>
          </cell>
          <cell r="AD20">
            <v>19.307911940078188</v>
          </cell>
          <cell r="AE20">
            <v>16.926985277414108</v>
          </cell>
          <cell r="AF20">
            <v>17.946850588306717</v>
          </cell>
          <cell r="AG20">
            <v>16.268798105120798</v>
          </cell>
          <cell r="AH20">
            <v>16.494474017896479</v>
          </cell>
          <cell r="AI20">
            <v>17.521539623359207</v>
          </cell>
          <cell r="AJ20">
            <v>18.533502431556734</v>
          </cell>
          <cell r="AK20">
            <v>16.863169931449494</v>
          </cell>
          <cell r="AL20">
            <v>17.092560282537111</v>
          </cell>
          <cell r="AM20">
            <v>18.128374708812171</v>
          </cell>
          <cell r="AN20">
            <v>19.135990527915418</v>
          </cell>
        </row>
        <row r="21">
          <cell r="A21" t="str">
            <v>Diluted LP Units Outstanding (mm)</v>
          </cell>
          <cell r="C21">
            <v>17.5</v>
          </cell>
          <cell r="D21">
            <v>17.524999999999999</v>
          </cell>
          <cell r="E21">
            <v>19.375</v>
          </cell>
          <cell r="F21">
            <v>22</v>
          </cell>
          <cell r="G21">
            <v>22</v>
          </cell>
          <cell r="H21">
            <v>22</v>
          </cell>
          <cell r="I21">
            <v>22</v>
          </cell>
          <cell r="J21">
            <v>17.5</v>
          </cell>
          <cell r="K21">
            <v>17.5</v>
          </cell>
          <cell r="L21">
            <v>17.5</v>
          </cell>
          <cell r="M21">
            <v>17.5</v>
          </cell>
          <cell r="N21">
            <v>17.600000000000001</v>
          </cell>
          <cell r="O21">
            <v>17.5</v>
          </cell>
          <cell r="P21">
            <v>18</v>
          </cell>
          <cell r="Q21">
            <v>20</v>
          </cell>
          <cell r="R21">
            <v>22</v>
          </cell>
          <cell r="S21">
            <v>22</v>
          </cell>
          <cell r="T21">
            <v>22</v>
          </cell>
          <cell r="U21">
            <v>22</v>
          </cell>
          <cell r="V21">
            <v>22</v>
          </cell>
          <cell r="W21">
            <v>22</v>
          </cell>
          <cell r="X21">
            <v>22</v>
          </cell>
          <cell r="Y21">
            <v>22</v>
          </cell>
          <cell r="Z21">
            <v>22</v>
          </cell>
          <cell r="AA21">
            <v>22</v>
          </cell>
          <cell r="AB21">
            <v>22</v>
          </cell>
          <cell r="AC21">
            <v>22</v>
          </cell>
          <cell r="AD21">
            <v>22</v>
          </cell>
          <cell r="AE21">
            <v>22</v>
          </cell>
          <cell r="AF21">
            <v>22</v>
          </cell>
          <cell r="AG21">
            <v>22</v>
          </cell>
          <cell r="AH21">
            <v>22</v>
          </cell>
          <cell r="AI21">
            <v>22</v>
          </cell>
          <cell r="AJ21">
            <v>22</v>
          </cell>
          <cell r="AK21">
            <v>22</v>
          </cell>
          <cell r="AL21">
            <v>22</v>
          </cell>
          <cell r="AM21">
            <v>22</v>
          </cell>
          <cell r="AN21">
            <v>22</v>
          </cell>
        </row>
        <row r="22">
          <cell r="A22" t="str">
            <v>Basic LP Units Outstanding (mm)</v>
          </cell>
          <cell r="C22">
            <v>17.5</v>
          </cell>
          <cell r="D22">
            <v>17.524999999999999</v>
          </cell>
          <cell r="E22">
            <v>19.375</v>
          </cell>
          <cell r="F22">
            <v>22</v>
          </cell>
          <cell r="G22">
            <v>22</v>
          </cell>
          <cell r="H22">
            <v>22</v>
          </cell>
          <cell r="I22">
            <v>22</v>
          </cell>
          <cell r="J22">
            <v>17.5</v>
          </cell>
          <cell r="K22">
            <v>17.5</v>
          </cell>
          <cell r="L22">
            <v>17.5</v>
          </cell>
          <cell r="M22">
            <v>17.5</v>
          </cell>
          <cell r="N22">
            <v>17.600000000000001</v>
          </cell>
          <cell r="O22">
            <v>17.5</v>
          </cell>
          <cell r="P22">
            <v>18</v>
          </cell>
          <cell r="Q22">
            <v>20</v>
          </cell>
          <cell r="R22">
            <v>22</v>
          </cell>
          <cell r="S22">
            <v>22</v>
          </cell>
          <cell r="T22">
            <v>22</v>
          </cell>
          <cell r="U22">
            <v>22</v>
          </cell>
          <cell r="V22">
            <v>22</v>
          </cell>
          <cell r="W22">
            <v>22</v>
          </cell>
          <cell r="X22">
            <v>22</v>
          </cell>
          <cell r="Y22">
            <v>22</v>
          </cell>
          <cell r="Z22">
            <v>22</v>
          </cell>
          <cell r="AA22">
            <v>22</v>
          </cell>
          <cell r="AB22">
            <v>22</v>
          </cell>
          <cell r="AC22">
            <v>22</v>
          </cell>
          <cell r="AD22">
            <v>22</v>
          </cell>
          <cell r="AE22">
            <v>22</v>
          </cell>
          <cell r="AF22">
            <v>22</v>
          </cell>
          <cell r="AG22">
            <v>22</v>
          </cell>
          <cell r="AH22">
            <v>22</v>
          </cell>
          <cell r="AI22">
            <v>22</v>
          </cell>
          <cell r="AJ22">
            <v>22</v>
          </cell>
          <cell r="AK22">
            <v>22</v>
          </cell>
          <cell r="AL22">
            <v>22</v>
          </cell>
          <cell r="AM22">
            <v>22</v>
          </cell>
          <cell r="AN22">
            <v>22</v>
          </cell>
        </row>
        <row r="23">
          <cell r="A23" t="str">
            <v>Period Ending LP Units Outstanding (mm)</v>
          </cell>
          <cell r="C23">
            <v>17.5</v>
          </cell>
          <cell r="D23">
            <v>17.524999999999999</v>
          </cell>
          <cell r="E23">
            <v>19.375</v>
          </cell>
          <cell r="F23">
            <v>22</v>
          </cell>
          <cell r="G23">
            <v>22</v>
          </cell>
          <cell r="H23">
            <v>22</v>
          </cell>
          <cell r="I23">
            <v>22</v>
          </cell>
          <cell r="J23">
            <v>17.5</v>
          </cell>
          <cell r="K23">
            <v>17.5</v>
          </cell>
          <cell r="L23">
            <v>17.5</v>
          </cell>
          <cell r="M23">
            <v>17.5</v>
          </cell>
          <cell r="N23">
            <v>17.600000000000001</v>
          </cell>
          <cell r="O23">
            <v>17.5</v>
          </cell>
          <cell r="P23">
            <v>18</v>
          </cell>
          <cell r="Q23">
            <v>20</v>
          </cell>
          <cell r="R23">
            <v>22</v>
          </cell>
          <cell r="S23">
            <v>22</v>
          </cell>
          <cell r="T23">
            <v>22</v>
          </cell>
          <cell r="U23">
            <v>22</v>
          </cell>
          <cell r="V23">
            <v>22</v>
          </cell>
          <cell r="W23">
            <v>22</v>
          </cell>
          <cell r="X23">
            <v>22</v>
          </cell>
          <cell r="Y23">
            <v>22</v>
          </cell>
          <cell r="Z23">
            <v>22</v>
          </cell>
          <cell r="AA23">
            <v>22</v>
          </cell>
          <cell r="AB23">
            <v>22</v>
          </cell>
          <cell r="AC23">
            <v>22</v>
          </cell>
          <cell r="AD23">
            <v>22</v>
          </cell>
          <cell r="AE23">
            <v>22</v>
          </cell>
          <cell r="AF23">
            <v>22</v>
          </cell>
          <cell r="AG23">
            <v>22</v>
          </cell>
          <cell r="AH23">
            <v>22</v>
          </cell>
          <cell r="AI23">
            <v>22</v>
          </cell>
          <cell r="AJ23">
            <v>22</v>
          </cell>
          <cell r="AK23">
            <v>22</v>
          </cell>
          <cell r="AL23">
            <v>22</v>
          </cell>
          <cell r="AM23">
            <v>22</v>
          </cell>
          <cell r="AN23">
            <v>22</v>
          </cell>
        </row>
        <row r="24">
          <cell r="A24" t="str">
            <v>Distributable Cash Flow</v>
          </cell>
          <cell r="C24">
            <v>1.977142857142858</v>
          </cell>
          <cell r="D24">
            <v>2.342368045649073</v>
          </cell>
          <cell r="E24">
            <v>2.6986524459122778</v>
          </cell>
          <cell r="F24">
            <v>3.5850563828172937</v>
          </cell>
          <cell r="G24">
            <v>3.4734313541382531</v>
          </cell>
          <cell r="H24">
            <v>3.4264195136837019</v>
          </cell>
          <cell r="I24">
            <v>3.395441551083537</v>
          </cell>
          <cell r="J24">
            <v>3.3880228727111246</v>
          </cell>
          <cell r="L24">
            <v>4.5386526523299331</v>
          </cell>
          <cell r="M24">
            <v>0.32428571428571429</v>
          </cell>
          <cell r="N24">
            <v>0.62714285714285722</v>
          </cell>
          <cell r="O24">
            <v>0.62359243697478972</v>
          </cell>
          <cell r="P24">
            <v>0.7193878915202444</v>
          </cell>
          <cell r="Q24">
            <v>0.80156862745098023</v>
          </cell>
          <cell r="R24">
            <v>0.46831465919701198</v>
          </cell>
          <cell r="S24">
            <v>0.6353355236713516</v>
          </cell>
          <cell r="T24">
            <v>0.79343363559293412</v>
          </cell>
          <cell r="U24">
            <v>0.86089363915382811</v>
          </cell>
          <cell r="V24">
            <v>0.84579434218838456</v>
          </cell>
          <cell r="W24">
            <v>0.87350858454595826</v>
          </cell>
          <cell r="X24">
            <v>1.0048598169291227</v>
          </cell>
          <cell r="Y24">
            <v>0.84325331866847719</v>
          </cell>
          <cell r="Z24">
            <v>0.83912927273930016</v>
          </cell>
          <cell r="AA24">
            <v>0.87618842965844057</v>
          </cell>
          <cell r="AB24">
            <v>0.91486033307203529</v>
          </cell>
          <cell r="AC24">
            <v>0.83066570139635709</v>
          </cell>
          <cell r="AD24">
            <v>0.82762123194332882</v>
          </cell>
          <cell r="AE24">
            <v>0.86528486361588919</v>
          </cell>
          <cell r="AF24">
            <v>0.90284771672812725</v>
          </cell>
          <cell r="AG24">
            <v>0.82328504922303691</v>
          </cell>
          <cell r="AH24">
            <v>0.82023192192070715</v>
          </cell>
          <cell r="AI24">
            <v>0.85773689811009646</v>
          </cell>
          <cell r="AJ24">
            <v>0.89418768182969621</v>
          </cell>
          <cell r="AK24">
            <v>0.82200638255516811</v>
          </cell>
          <cell r="AL24">
            <v>0.81855968944718038</v>
          </cell>
          <cell r="AM24">
            <v>0.85591646989644987</v>
          </cell>
          <cell r="AN24">
            <v>0.89154033081232631</v>
          </cell>
        </row>
        <row r="25">
          <cell r="A25" t="str">
            <v>Distributable Cash Flow</v>
          </cell>
          <cell r="B25">
            <v>44.999999999999993</v>
          </cell>
          <cell r="C25">
            <v>37.600000000000009</v>
          </cell>
          <cell r="D25">
            <v>34.5</v>
          </cell>
          <cell r="E25">
            <v>37.374076485850459</v>
          </cell>
          <cell r="F25">
            <v>44.267525839092357</v>
          </cell>
          <cell r="G25">
            <v>48.5027660739906</v>
          </cell>
          <cell r="H25">
            <v>52.696004144401428</v>
          </cell>
          <cell r="I25">
            <v>2.7530225776367123</v>
          </cell>
          <cell r="J25">
            <v>27.286039271441918</v>
          </cell>
          <cell r="K25">
            <v>5.4</v>
          </cell>
          <cell r="L25">
            <v>8.8000000000000025</v>
          </cell>
          <cell r="M25">
            <v>9.6999999999999993</v>
          </cell>
          <cell r="N25">
            <v>10.599999999999998</v>
          </cell>
          <cell r="O25">
            <v>7.2131928921558321</v>
          </cell>
          <cell r="P25">
            <v>8.599116000466573</v>
          </cell>
          <cell r="Q25">
            <v>9.8660808408202634</v>
          </cell>
          <cell r="R25">
            <v>11.695686752407791</v>
          </cell>
          <cell r="S25">
            <v>10.473216204443386</v>
          </cell>
          <cell r="T25">
            <v>10.623633591906877</v>
          </cell>
          <cell r="U25">
            <v>10.721963809048212</v>
          </cell>
          <cell r="V25">
            <v>12.448712233693886</v>
          </cell>
          <cell r="W25">
            <v>11.720925852409486</v>
          </cell>
          <cell r="X25">
            <v>11.614246193678355</v>
          </cell>
          <cell r="Y25">
            <v>11.709306982208773</v>
          </cell>
          <cell r="Z25">
            <v>13.458287045693989</v>
          </cell>
          <cell r="AA25">
            <v>12.739191071230739</v>
          </cell>
          <cell r="AB25">
            <v>12.670773801728767</v>
          </cell>
          <cell r="AC25">
            <v>12.769094482342588</v>
          </cell>
          <cell r="AD25">
            <v>14.51694478909933</v>
          </cell>
          <cell r="AE25">
            <v>0.66184170971580014</v>
          </cell>
          <cell r="AF25">
            <v>0.67507854391011612</v>
          </cell>
          <cell r="AG25">
            <v>0.66794866897500027</v>
          </cell>
          <cell r="AH25">
            <v>0.68130764235450014</v>
          </cell>
          <cell r="AI25">
            <v>0.69493379520159015</v>
          </cell>
          <cell r="AJ25">
            <v>0.70883247110562198</v>
          </cell>
          <cell r="AK25">
            <v>0.69466661573400035</v>
          </cell>
          <cell r="AL25">
            <v>0.70855994804868017</v>
          </cell>
          <cell r="AM25">
            <v>0.7227311470096538</v>
          </cell>
          <cell r="AN25">
            <v>0.73718576994984686</v>
          </cell>
        </row>
        <row r="26">
          <cell r="A26" t="str">
            <v>Net Income (Total)</v>
          </cell>
          <cell r="B26">
            <v>44.999999999999993</v>
          </cell>
          <cell r="C26">
            <v>37.600000000000009</v>
          </cell>
          <cell r="D26">
            <v>34.5</v>
          </cell>
          <cell r="E26">
            <v>41.542002467665384</v>
          </cell>
          <cell r="F26">
            <v>68.693477705345487</v>
          </cell>
          <cell r="G26">
            <v>70.969231131933483</v>
          </cell>
          <cell r="H26">
            <v>73.308302712017834</v>
          </cell>
          <cell r="I26">
            <v>74.305679585778662</v>
          </cell>
          <cell r="J26">
            <v>36.935574570944972</v>
          </cell>
          <cell r="K26">
            <v>5.4</v>
          </cell>
          <cell r="L26">
            <v>8.8000000000000025</v>
          </cell>
          <cell r="M26">
            <v>9.6999999999999993</v>
          </cell>
          <cell r="N26">
            <v>10.599999999999998</v>
          </cell>
          <cell r="O26">
            <v>12.5</v>
          </cell>
          <cell r="P26">
            <v>0.5</v>
          </cell>
          <cell r="Q26">
            <v>13.19057944764395</v>
          </cell>
          <cell r="R26">
            <v>15.351423020021434</v>
          </cell>
          <cell r="S26">
            <v>16.86081507020867</v>
          </cell>
          <cell r="T26">
            <v>17.11952697960507</v>
          </cell>
          <cell r="U26">
            <v>18.870992305141009</v>
          </cell>
          <cell r="V26">
            <v>15.842143350390742</v>
          </cell>
          <cell r="W26">
            <v>17.451242700223474</v>
          </cell>
          <cell r="X26">
            <v>17.750555464897225</v>
          </cell>
          <cell r="Y26">
            <v>19.441521451401858</v>
          </cell>
          <cell r="Z26">
            <v>16.325911515410919</v>
          </cell>
          <cell r="AA26">
            <v>17.957394139556978</v>
          </cell>
          <cell r="AB26">
            <v>18.415334001515888</v>
          </cell>
          <cell r="AC26">
            <v>20.08313003359422</v>
          </cell>
          <cell r="AD26">
            <v>16.852444537350753</v>
          </cell>
          <cell r="AE26">
            <v>20.08313003359422</v>
          </cell>
          <cell r="AF26">
            <v>16.852444537350753</v>
          </cell>
          <cell r="AG26">
            <v>18.1802307516108</v>
          </cell>
          <cell r="AH26">
            <v>18.690061278537062</v>
          </cell>
          <cell r="AI26">
            <v>20.355656642321154</v>
          </cell>
          <cell r="AJ26">
            <v>17.07973091330965</v>
          </cell>
          <cell r="AK26">
            <v>18.405550437971485</v>
          </cell>
          <cell r="AL26">
            <v>18.967390239767081</v>
          </cell>
          <cell r="AM26">
            <v>20.631043463014887</v>
          </cell>
          <cell r="AN26">
            <v>17.309459211280515</v>
          </cell>
        </row>
        <row r="27">
          <cell r="A27" t="str">
            <v>Interest Expense</v>
          </cell>
          <cell r="B27">
            <v>0</v>
          </cell>
          <cell r="C27">
            <v>-0.30000000000000004</v>
          </cell>
          <cell r="D27">
            <v>-5.2</v>
          </cell>
          <cell r="E27">
            <v>-13.1</v>
          </cell>
          <cell r="F27">
            <v>-27.599999999999998</v>
          </cell>
          <cell r="G27">
            <v>-27.599999999999998</v>
          </cell>
          <cell r="H27">
            <v>-27.599999999999998</v>
          </cell>
          <cell r="I27">
            <v>-27.599999999999998</v>
          </cell>
          <cell r="J27">
            <v>-0.30000000000000004</v>
          </cell>
          <cell r="K27">
            <v>-1.1000000000000001</v>
          </cell>
          <cell r="L27">
            <v>-1.1000000000000001</v>
          </cell>
          <cell r="M27">
            <v>-1.2</v>
          </cell>
          <cell r="N27">
            <v>-1.7999999999999998</v>
          </cell>
          <cell r="O27">
            <v>-2.0999999999999996</v>
          </cell>
          <cell r="P27">
            <v>-3.8</v>
          </cell>
          <cell r="Q27">
            <v>-3.6</v>
          </cell>
          <cell r="R27">
            <v>-3.6</v>
          </cell>
          <cell r="S27">
            <v>-6.8999999999999995</v>
          </cell>
          <cell r="T27">
            <v>-6.8999999999999995</v>
          </cell>
          <cell r="U27">
            <v>-6.8999999999999995</v>
          </cell>
          <cell r="V27">
            <v>-6.8999999999999995</v>
          </cell>
          <cell r="W27">
            <v>-6.8999999999999995</v>
          </cell>
          <cell r="X27">
            <v>-6.8999999999999995</v>
          </cell>
          <cell r="Y27">
            <v>-6.8999999999999995</v>
          </cell>
          <cell r="Z27">
            <v>-6.8999999999999995</v>
          </cell>
          <cell r="AA27">
            <v>-6.8999999999999995</v>
          </cell>
          <cell r="AB27">
            <v>-6.8999999999999995</v>
          </cell>
          <cell r="AC27">
            <v>-6.8999999999999995</v>
          </cell>
          <cell r="AD27">
            <v>-6.8999999999999995</v>
          </cell>
          <cell r="AE27">
            <v>-6.8999999999999995</v>
          </cell>
          <cell r="AF27">
            <v>-6.8999999999999995</v>
          </cell>
          <cell r="AG27">
            <v>-6.8999999999999995</v>
          </cell>
          <cell r="AH27">
            <v>-6.8999999999999995</v>
          </cell>
          <cell r="AI27">
            <v>-6.8999999999999995</v>
          </cell>
          <cell r="AJ27">
            <v>-6.8999999999999995</v>
          </cell>
          <cell r="AK27">
            <v>-6.8999999999999995</v>
          </cell>
          <cell r="AL27">
            <v>-6.8999999999999995</v>
          </cell>
          <cell r="AM27">
            <v>-6.8999999999999995</v>
          </cell>
          <cell r="AN27">
            <v>-6.8999999999999995</v>
          </cell>
        </row>
        <row r="28">
          <cell r="A28" t="str">
            <v>D&amp;A</v>
          </cell>
          <cell r="B28">
            <v>-12.799999999999999</v>
          </cell>
          <cell r="C28">
            <v>-11.899999999999999</v>
          </cell>
          <cell r="D28">
            <v>-12.100000000000001</v>
          </cell>
          <cell r="E28">
            <v>-17.366666666666667</v>
          </cell>
          <cell r="F28">
            <v>-19.733333333333334</v>
          </cell>
          <cell r="G28">
            <v>-19.733333333333334</v>
          </cell>
          <cell r="H28">
            <v>-19.733333333333334</v>
          </cell>
          <cell r="I28">
            <v>-19.733333333333334</v>
          </cell>
          <cell r="J28">
            <v>-2.9</v>
          </cell>
          <cell r="K28">
            <v>-3</v>
          </cell>
          <cell r="L28">
            <v>-2.9000000000000004</v>
          </cell>
          <cell r="M28">
            <v>-3</v>
          </cell>
          <cell r="N28">
            <v>-3.2</v>
          </cell>
          <cell r="O28">
            <v>-3.4</v>
          </cell>
          <cell r="P28">
            <v>-4.5</v>
          </cell>
          <cell r="Q28">
            <v>-4.7333333333333334</v>
          </cell>
          <cell r="R28">
            <v>-4.7333333333333334</v>
          </cell>
          <cell r="S28">
            <v>-4.9333333333333336</v>
          </cell>
          <cell r="T28">
            <v>-4.9333333333333336</v>
          </cell>
          <cell r="U28">
            <v>-4.9333333333333336</v>
          </cell>
          <cell r="V28">
            <v>-4.9333333333333336</v>
          </cell>
          <cell r="W28">
            <v>-4.9333333333333336</v>
          </cell>
          <cell r="X28">
            <v>-4.9333333333333336</v>
          </cell>
          <cell r="Y28">
            <v>-4.9333333333333336</v>
          </cell>
          <cell r="Z28">
            <v>-4.9333333333333336</v>
          </cell>
          <cell r="AA28">
            <v>-4.9333333333333336</v>
          </cell>
          <cell r="AB28">
            <v>-4.9333333333333336</v>
          </cell>
          <cell r="AC28">
            <v>-4.9333333333333336</v>
          </cell>
          <cell r="AD28">
            <v>-4.9333333333333336</v>
          </cell>
          <cell r="AE28">
            <v>-4.9333333333333336</v>
          </cell>
          <cell r="AF28">
            <v>-4.9333333333333336</v>
          </cell>
          <cell r="AG28">
            <v>-4.9333333333333336</v>
          </cell>
          <cell r="AH28">
            <v>-4.9333333333333336</v>
          </cell>
          <cell r="AI28">
            <v>-4.9333333333333336</v>
          </cell>
          <cell r="AJ28">
            <v>-4.9333333333333336</v>
          </cell>
          <cell r="AK28">
            <v>-4.9333333333333336</v>
          </cell>
          <cell r="AL28">
            <v>-4.9333333333333336</v>
          </cell>
          <cell r="AM28">
            <v>-4.9333333333333336</v>
          </cell>
          <cell r="AN28">
            <v>-4.9333333333333336</v>
          </cell>
        </row>
        <row r="29">
          <cell r="A29" t="str">
            <v>EBITDA</v>
          </cell>
          <cell r="B29">
            <v>57.79999999999999</v>
          </cell>
          <cell r="C29">
            <v>49.800000000000004</v>
          </cell>
          <cell r="D29">
            <v>51.800000000000004</v>
          </cell>
          <cell r="E29">
            <v>72.008669134332052</v>
          </cell>
          <cell r="F29">
            <v>116.02681103867882</v>
          </cell>
          <cell r="G29">
            <v>118.30256446526681</v>
          </cell>
          <cell r="H29">
            <v>120.64163604535116</v>
          </cell>
          <cell r="I29">
            <v>121.63901291911199</v>
          </cell>
          <cell r="J29">
            <v>40.135574570944968</v>
          </cell>
          <cell r="K29">
            <v>9.5</v>
          </cell>
          <cell r="L29">
            <v>12.800000000000002</v>
          </cell>
          <cell r="M29">
            <v>13.899999999999999</v>
          </cell>
          <cell r="N29">
            <v>15.599999999999998</v>
          </cell>
          <cell r="O29">
            <v>18</v>
          </cell>
          <cell r="P29">
            <v>8.8000000000000007</v>
          </cell>
          <cell r="Q29">
            <v>21.523912780977284</v>
          </cell>
          <cell r="R29">
            <v>23.684756353354768</v>
          </cell>
          <cell r="S29">
            <v>28.694148403542002</v>
          </cell>
          <cell r="T29">
            <v>28.952860312938402</v>
          </cell>
          <cell r="U29">
            <v>30.704325638474341</v>
          </cell>
          <cell r="V29">
            <v>27.675476683724074</v>
          </cell>
          <cell r="W29">
            <v>29.284576033556807</v>
          </cell>
          <cell r="X29">
            <v>29.583888798230557</v>
          </cell>
          <cell r="Y29">
            <v>31.27485478473519</v>
          </cell>
          <cell r="Z29">
            <v>28.159244848744251</v>
          </cell>
          <cell r="AA29">
            <v>29.79072747289031</v>
          </cell>
          <cell r="AB29">
            <v>30.24866733484922</v>
          </cell>
          <cell r="AC29">
            <v>31.916463366927552</v>
          </cell>
          <cell r="AD29">
            <v>28.685777870684085</v>
          </cell>
          <cell r="AE29">
            <v>31.916463366927552</v>
          </cell>
          <cell r="AF29">
            <v>28.685777870684085</v>
          </cell>
          <cell r="AG29">
            <v>30.013564084944132</v>
          </cell>
          <cell r="AH29">
            <v>30.523394611870394</v>
          </cell>
          <cell r="AI29">
            <v>32.188989975654486</v>
          </cell>
          <cell r="AJ29">
            <v>28.913064246642982</v>
          </cell>
          <cell r="AK29">
            <v>30.238883771304817</v>
          </cell>
          <cell r="AL29">
            <v>30.800723573100413</v>
          </cell>
          <cell r="AM29">
            <v>32.464376796348219</v>
          </cell>
          <cell r="AN29">
            <v>29.142792544613847</v>
          </cell>
        </row>
        <row r="30">
          <cell r="A30" t="str">
            <v>GP Interest in Net Income</v>
          </cell>
          <cell r="B30">
            <v>0</v>
          </cell>
          <cell r="C30">
            <v>0</v>
          </cell>
          <cell r="D30">
            <v>-0.7</v>
          </cell>
          <cell r="E30">
            <v>-6.4988676470588302</v>
          </cell>
          <cell r="F30">
            <v>-15.383844712885168</v>
          </cell>
          <cell r="G30">
            <v>-20.525175962885175</v>
          </cell>
          <cell r="H30">
            <v>-20.525175962885175</v>
          </cell>
          <cell r="I30">
            <v>-20.525175962885175</v>
          </cell>
          <cell r="J30">
            <v>-0.30000000000000004</v>
          </cell>
          <cell r="K30">
            <v>-1.1000000000000001</v>
          </cell>
          <cell r="L30">
            <v>-1.1000000000000001</v>
          </cell>
          <cell r="M30">
            <v>-1.2</v>
          </cell>
          <cell r="N30">
            <v>-1.2</v>
          </cell>
          <cell r="O30">
            <v>-1.2</v>
          </cell>
          <cell r="P30">
            <v>-1.403125</v>
          </cell>
          <cell r="Q30">
            <v>-1.403125</v>
          </cell>
          <cell r="R30">
            <v>-1.403125</v>
          </cell>
          <cell r="S30">
            <v>-1.403125</v>
          </cell>
          <cell r="T30">
            <v>-1.403125</v>
          </cell>
          <cell r="U30">
            <v>-1.403125</v>
          </cell>
          <cell r="V30">
            <v>-1.403125</v>
          </cell>
          <cell r="W30">
            <v>-1.60625</v>
          </cell>
          <cell r="X30">
            <v>-1.60625</v>
          </cell>
          <cell r="Y30">
            <v>-1.60625</v>
          </cell>
          <cell r="Z30">
            <v>-1.60625</v>
          </cell>
          <cell r="AA30">
            <v>-1.809375</v>
          </cell>
          <cell r="AB30">
            <v>-1.809375</v>
          </cell>
          <cell r="AC30">
            <v>-1.809375</v>
          </cell>
          <cell r="AD30">
            <v>-1.809375</v>
          </cell>
          <cell r="AE30">
            <v>22.3</v>
          </cell>
          <cell r="AF30">
            <v>22.3</v>
          </cell>
          <cell r="AG30">
            <v>22.3</v>
          </cell>
          <cell r="AH30">
            <v>22.3</v>
          </cell>
          <cell r="AI30">
            <v>22.3</v>
          </cell>
          <cell r="AJ30">
            <v>22.3</v>
          </cell>
          <cell r="AK30">
            <v>22.3</v>
          </cell>
          <cell r="AL30">
            <v>22.3</v>
          </cell>
          <cell r="AM30">
            <v>22.3</v>
          </cell>
          <cell r="AN30">
            <v>22.3</v>
          </cell>
        </row>
        <row r="31">
          <cell r="A31" t="str">
            <v>Interest Expense</v>
          </cell>
          <cell r="B31">
            <v>0</v>
          </cell>
          <cell r="C31">
            <v>-0.30000000000000004</v>
          </cell>
          <cell r="D31">
            <v>-5.2</v>
          </cell>
          <cell r="E31">
            <v>-13.1</v>
          </cell>
          <cell r="F31">
            <v>-27.599999999999998</v>
          </cell>
          <cell r="G31">
            <v>-27.599999999999998</v>
          </cell>
          <cell r="H31">
            <v>-27.599999999999998</v>
          </cell>
          <cell r="I31">
            <v>-27.599999999999998</v>
          </cell>
          <cell r="J31">
            <v>-0.30000000000000004</v>
          </cell>
          <cell r="K31">
            <v>-1.1000000000000001</v>
          </cell>
          <cell r="L31">
            <v>-1.1000000000000001</v>
          </cell>
          <cell r="M31">
            <v>-1.2</v>
          </cell>
          <cell r="N31">
            <v>-1.7999999999999998</v>
          </cell>
          <cell r="O31">
            <v>-2.0999999999999996</v>
          </cell>
          <cell r="P31">
            <v>-3.8</v>
          </cell>
          <cell r="Q31">
            <v>-3.6</v>
          </cell>
          <cell r="R31">
            <v>-3.6</v>
          </cell>
          <cell r="S31">
            <v>-6.8999999999999995</v>
          </cell>
          <cell r="T31">
            <v>-6.8999999999999995</v>
          </cell>
          <cell r="U31">
            <v>-6.8999999999999995</v>
          </cell>
          <cell r="V31">
            <v>-6.8999999999999995</v>
          </cell>
          <cell r="W31">
            <v>-6.8999999999999995</v>
          </cell>
          <cell r="X31">
            <v>-6.8999999999999995</v>
          </cell>
          <cell r="Y31">
            <v>-6.8999999999999995</v>
          </cell>
          <cell r="Z31">
            <v>-6.8999999999999995</v>
          </cell>
          <cell r="AA31">
            <v>-6.8999999999999995</v>
          </cell>
          <cell r="AB31">
            <v>-6.8999999999999995</v>
          </cell>
          <cell r="AC31">
            <v>-6.8999999999999995</v>
          </cell>
          <cell r="AD31">
            <v>-6.8999999999999995</v>
          </cell>
          <cell r="AE31">
            <v>-6.8999999999999995</v>
          </cell>
          <cell r="AF31">
            <v>-6.8999999999999995</v>
          </cell>
          <cell r="AG31">
            <v>-6.8999999999999995</v>
          </cell>
          <cell r="AH31">
            <v>-6.8999999999999995</v>
          </cell>
          <cell r="AI31">
            <v>-6.8999999999999995</v>
          </cell>
          <cell r="AJ31">
            <v>-6.8999999999999995</v>
          </cell>
          <cell r="AK31">
            <v>-6.8999999999999995</v>
          </cell>
          <cell r="AL31">
            <v>-6.8999999999999995</v>
          </cell>
          <cell r="AM31">
            <v>-6.8999999999999995</v>
          </cell>
          <cell r="AN31">
            <v>-6.8999999999999995</v>
          </cell>
        </row>
        <row r="32">
          <cell r="A32" t="str">
            <v>Equity Earnings</v>
          </cell>
          <cell r="B32">
            <v>-0.6</v>
          </cell>
          <cell r="C32">
            <v>-0.4</v>
          </cell>
          <cell r="D32">
            <v>-1.25</v>
          </cell>
          <cell r="E32">
            <v>6.1000000000000005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-1.2</v>
          </cell>
          <cell r="L32">
            <v>0.2</v>
          </cell>
          <cell r="M32">
            <v>0</v>
          </cell>
          <cell r="N32">
            <v>-0.25</v>
          </cell>
          <cell r="O32">
            <v>0</v>
          </cell>
          <cell r="P32">
            <v>6.1000000000000005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</row>
        <row r="33">
          <cell r="A33" t="str">
            <v>Maintenance Cap. Ex.</v>
          </cell>
          <cell r="B33">
            <v>-1.9</v>
          </cell>
          <cell r="C33">
            <v>-3.3</v>
          </cell>
          <cell r="D33">
            <v>-3.0000000000000004</v>
          </cell>
          <cell r="E33">
            <v>-12.43126348297</v>
          </cell>
          <cell r="F33">
            <v>-26</v>
          </cell>
          <cell r="G33">
            <v>-33.217200542545058</v>
          </cell>
          <cell r="H33">
            <v>-34.56595208554657</v>
          </cell>
          <cell r="I33">
            <v>-35.969468349687617</v>
          </cell>
          <cell r="J33">
            <v>-0.3</v>
          </cell>
          <cell r="K33">
            <v>-1.4</v>
          </cell>
          <cell r="L33">
            <v>-0.8</v>
          </cell>
          <cell r="M33">
            <v>-0.2</v>
          </cell>
          <cell r="N33">
            <v>-0.6</v>
          </cell>
          <cell r="O33">
            <v>-1.37</v>
          </cell>
          <cell r="P33">
            <v>-0.3</v>
          </cell>
          <cell r="Q33">
            <v>-4.5775429699999997</v>
          </cell>
          <cell r="R33">
            <v>-6.183720512969999</v>
          </cell>
          <cell r="S33">
            <v>-6.5</v>
          </cell>
          <cell r="T33">
            <v>-6.5</v>
          </cell>
          <cell r="U33">
            <v>-6.5</v>
          </cell>
          <cell r="V33">
            <v>-6.5</v>
          </cell>
          <cell r="W33">
            <v>-8.1807684863009982</v>
          </cell>
          <cell r="X33">
            <v>-8.2625761711640084</v>
          </cell>
          <cell r="Y33">
            <v>-8.3452019328756482</v>
          </cell>
          <cell r="Z33">
            <v>-8.4286539522044048</v>
          </cell>
          <cell r="AA33">
            <v>-8.5129404917264484</v>
          </cell>
          <cell r="AB33">
            <v>-8.5980698966437128</v>
          </cell>
          <cell r="AC33">
            <v>-8.6840505956101506</v>
          </cell>
          <cell r="AD33">
            <v>-8.770891101566253</v>
          </cell>
          <cell r="AE33">
            <v>-8.6840505956101506</v>
          </cell>
          <cell r="AF33">
            <v>-8.770891101566253</v>
          </cell>
          <cell r="AG33">
            <v>-8.8586000125819151</v>
          </cell>
          <cell r="AH33">
            <v>-8.9471860127077338</v>
          </cell>
          <cell r="AI33">
            <v>-9.0366578728348106</v>
          </cell>
          <cell r="AJ33">
            <v>-9.1270244515631589</v>
          </cell>
          <cell r="AK33">
            <v>-9.2182946960787913</v>
          </cell>
          <cell r="AL33">
            <v>-9.3104776430395795</v>
          </cell>
          <cell r="AM33">
            <v>-9.4035824194699753</v>
          </cell>
          <cell r="AN33">
            <v>-9.4976182436646752</v>
          </cell>
        </row>
        <row r="34">
          <cell r="A34" t="str">
            <v>Distributable Cash Flow</v>
          </cell>
          <cell r="B34">
            <v>55.29999999999999</v>
          </cell>
          <cell r="C34">
            <v>45.800000000000011</v>
          </cell>
          <cell r="D34">
            <v>41.65</v>
          </cell>
          <cell r="E34">
            <v>46.078538004303226</v>
          </cell>
          <cell r="F34">
            <v>47.042966325793657</v>
          </cell>
          <cell r="G34">
            <v>36.960187959836588</v>
          </cell>
          <cell r="H34">
            <v>37.950507996919427</v>
          </cell>
          <cell r="I34">
            <v>37.544368606539209</v>
          </cell>
          <cell r="J34">
            <v>39.535574570944974</v>
          </cell>
          <cell r="K34">
            <v>5.8000000000000007</v>
          </cell>
          <cell r="L34">
            <v>11.100000000000001</v>
          </cell>
          <cell r="M34">
            <v>12.5</v>
          </cell>
          <cell r="N34">
            <v>12.949999999999998</v>
          </cell>
          <cell r="O34">
            <v>14.530000000000001</v>
          </cell>
          <cell r="P34">
            <v>10.8</v>
          </cell>
          <cell r="Q34">
            <v>13.346369810977283</v>
          </cell>
          <cell r="R34">
            <v>13.901035840384768</v>
          </cell>
          <cell r="S34">
            <v>15.294148403542003</v>
          </cell>
          <cell r="T34">
            <v>15.552860312938403</v>
          </cell>
          <cell r="U34">
            <v>17.304325638474342</v>
          </cell>
          <cell r="V34">
            <v>14.275476683724076</v>
          </cell>
          <cell r="W34">
            <v>14.20380754725581</v>
          </cell>
          <cell r="X34">
            <v>14.42131262706655</v>
          </cell>
          <cell r="Y34">
            <v>16.029652851859545</v>
          </cell>
          <cell r="Z34">
            <v>12.830590896539848</v>
          </cell>
          <cell r="AA34">
            <v>14.377786981163863</v>
          </cell>
          <cell r="AB34">
            <v>14.750597438205508</v>
          </cell>
          <cell r="AC34">
            <v>16.332412771317401</v>
          </cell>
          <cell r="AD34">
            <v>13.014886769117833</v>
          </cell>
          <cell r="AE34">
            <v>16.332412771317401</v>
          </cell>
          <cell r="AF34">
            <v>13.014886769117833</v>
          </cell>
          <cell r="AG34">
            <v>14.254964072362219</v>
          </cell>
          <cell r="AH34">
            <v>14.676208599162662</v>
          </cell>
          <cell r="AI34">
            <v>16.252332102819679</v>
          </cell>
          <cell r="AJ34">
            <v>12.886039795079824</v>
          </cell>
          <cell r="AK34">
            <v>14.120589075226027</v>
          </cell>
          <cell r="AL34">
            <v>14.590245930060835</v>
          </cell>
          <cell r="AM34">
            <v>16.160794376878243</v>
          </cell>
          <cell r="AN34">
            <v>12.745174300949174</v>
          </cell>
        </row>
        <row r="35">
          <cell r="A35" t="str">
            <v>DPM Cash Flow Model</v>
          </cell>
          <cell r="B35">
            <v>2004</v>
          </cell>
          <cell r="C35">
            <v>2005</v>
          </cell>
          <cell r="D35" t="str">
            <v>2006E</v>
          </cell>
          <cell r="E35" t="str">
            <v>2007E</v>
          </cell>
          <cell r="F35" t="str">
            <v>2008E</v>
          </cell>
          <cell r="G35" t="str">
            <v>2009E</v>
          </cell>
          <cell r="H35" t="str">
            <v>2010E</v>
          </cell>
          <cell r="I35">
            <v>-33.200000000000003</v>
          </cell>
          <cell r="J35">
            <v>-33.200000000000003</v>
          </cell>
          <cell r="L35">
            <v>-2.9</v>
          </cell>
          <cell r="M35">
            <v>-3</v>
          </cell>
          <cell r="N35">
            <v>-2.9000000000000004</v>
          </cell>
          <cell r="O35">
            <v>-3</v>
          </cell>
          <cell r="P35">
            <v>-3.2</v>
          </cell>
          <cell r="Q35">
            <v>-3.4</v>
          </cell>
          <cell r="R35">
            <v>-4.5</v>
          </cell>
          <cell r="S35">
            <v>-7.9</v>
          </cell>
          <cell r="T35">
            <v>-7.8000000000000007</v>
          </cell>
          <cell r="U35">
            <v>-5.3000000000000007</v>
          </cell>
          <cell r="V35">
            <v>-8.3000000000000007</v>
          </cell>
          <cell r="W35">
            <v>-8.3000000000000007</v>
          </cell>
          <cell r="X35">
            <v>-8.3000000000000007</v>
          </cell>
          <cell r="Y35">
            <v>-8.3000000000000007</v>
          </cell>
          <cell r="Z35">
            <v>-8.3000000000000007</v>
          </cell>
          <cell r="AA35">
            <v>-8.3000000000000007</v>
          </cell>
          <cell r="AB35">
            <v>-8.3000000000000007</v>
          </cell>
          <cell r="AC35">
            <v>-8.3000000000000007</v>
          </cell>
          <cell r="AD35">
            <v>-8.3000000000000007</v>
          </cell>
          <cell r="AE35">
            <v>-8.3000000000000007</v>
          </cell>
          <cell r="AF35">
            <v>-8.3000000000000007</v>
          </cell>
          <cell r="AG35">
            <v>-8.3000000000000007</v>
          </cell>
          <cell r="AH35">
            <v>-8.3000000000000007</v>
          </cell>
          <cell r="AI35">
            <v>-8.3000000000000007</v>
          </cell>
          <cell r="AJ35">
            <v>-8.3000000000000007</v>
          </cell>
          <cell r="AK35">
            <v>-8.3000000000000007</v>
          </cell>
          <cell r="AL35">
            <v>-8.3000000000000007</v>
          </cell>
          <cell r="AM35">
            <v>-8.3000000000000007</v>
          </cell>
          <cell r="AN35">
            <v>-8.3000000000000007</v>
          </cell>
        </row>
        <row r="36">
          <cell r="A36" t="str">
            <v>DPM Cash Flow Model</v>
          </cell>
          <cell r="B36">
            <v>2004</v>
          </cell>
          <cell r="C36">
            <v>2005</v>
          </cell>
          <cell r="D36">
            <v>2006</v>
          </cell>
          <cell r="E36" t="str">
            <v>2007E</v>
          </cell>
          <cell r="F36" t="str">
            <v>2008E</v>
          </cell>
          <cell r="G36" t="str">
            <v>2009E</v>
          </cell>
          <cell r="H36" t="str">
            <v>2010E</v>
          </cell>
          <cell r="I36" t="str">
            <v>2011E</v>
          </cell>
          <cell r="J36" t="str">
            <v>2012E</v>
          </cell>
          <cell r="L36">
            <v>80.5603499872024</v>
          </cell>
          <cell r="M36">
            <v>11</v>
          </cell>
          <cell r="N36">
            <v>14.300000000000002</v>
          </cell>
          <cell r="O36">
            <v>15.599999999999998</v>
          </cell>
          <cell r="P36">
            <v>17.2</v>
          </cell>
          <cell r="Q36">
            <v>19.7</v>
          </cell>
          <cell r="R36">
            <v>9.6</v>
          </cell>
          <cell r="S36">
            <v>22.299999999999997</v>
          </cell>
          <cell r="T36">
            <v>31.265425395851285</v>
          </cell>
          <cell r="U36">
            <v>28.738426100259222</v>
          </cell>
          <cell r="V36">
            <v>28.675493271679834</v>
          </cell>
          <cell r="W36">
            <v>29.572541676291227</v>
          </cell>
          <cell r="X36">
            <v>32.786036687650665</v>
          </cell>
          <cell r="Y36">
            <v>29.316525779036759</v>
          </cell>
          <cell r="Z36">
            <v>29.516811056547116</v>
          </cell>
          <cell r="AA36">
            <v>30.641080868336768</v>
          </cell>
          <cell r="AB36">
            <v>31.807023560737068</v>
          </cell>
          <cell r="AC36">
            <v>29.938653723342217</v>
          </cell>
          <cell r="AD36">
            <v>30.180071661598927</v>
          </cell>
          <cell r="AE36">
            <v>31.335210542516034</v>
          </cell>
          <cell r="AF36">
            <v>32.494148395803094</v>
          </cell>
          <cell r="AG36">
            <v>30.587270574000911</v>
          </cell>
          <cell r="AH36">
            <v>30.843720474882364</v>
          </cell>
          <cell r="AI36">
            <v>32.010840481090014</v>
          </cell>
          <cell r="AJ36">
            <v>33.160798217678106</v>
          </cell>
          <cell r="AK36">
            <v>31.262693103919883</v>
          </cell>
          <cell r="AL36">
            <v>31.52336395742854</v>
          </cell>
          <cell r="AM36">
            <v>32.700425805468385</v>
          </cell>
          <cell r="AN36">
            <v>33.845443781722068</v>
          </cell>
        </row>
        <row r="37">
          <cell r="A37" t="str">
            <v>Net Income</v>
          </cell>
          <cell r="B37">
            <v>45.999999999999993</v>
          </cell>
          <cell r="C37">
            <v>44.5</v>
          </cell>
          <cell r="D37">
            <v>33</v>
          </cell>
          <cell r="E37">
            <v>30.874317637217885</v>
          </cell>
          <cell r="F37">
            <v>48.101864980599757</v>
          </cell>
          <cell r="G37">
            <v>45.063758464599154</v>
          </cell>
          <cell r="H37">
            <v>47.225501096446735</v>
          </cell>
          <cell r="I37">
            <v>48.147265152914763</v>
          </cell>
          <cell r="J37">
            <v>49.078628654097912</v>
          </cell>
          <cell r="L37">
            <v>-0.8</v>
          </cell>
          <cell r="M37">
            <v>-2.6</v>
          </cell>
          <cell r="N37">
            <v>-2.6</v>
          </cell>
          <cell r="O37">
            <v>-2.9</v>
          </cell>
          <cell r="P37">
            <v>-3.4</v>
          </cell>
          <cell r="Q37">
            <v>-3.8</v>
          </cell>
          <cell r="R37">
            <v>-4.5999999999999996</v>
          </cell>
          <cell r="S37">
            <v>-6.8999999999999995</v>
          </cell>
          <cell r="T37">
            <v>-8.1</v>
          </cell>
          <cell r="U37">
            <v>-3.8</v>
          </cell>
          <cell r="V37">
            <v>-3.8</v>
          </cell>
          <cell r="W37">
            <v>-3.8</v>
          </cell>
          <cell r="X37">
            <v>-3.8</v>
          </cell>
          <cell r="Y37">
            <v>-3.8</v>
          </cell>
          <cell r="Z37">
            <v>-3.8</v>
          </cell>
          <cell r="AA37">
            <v>-3.8</v>
          </cell>
          <cell r="AB37">
            <v>-3.8</v>
          </cell>
          <cell r="AC37">
            <v>-3.8</v>
          </cell>
          <cell r="AD37">
            <v>-3.8</v>
          </cell>
          <cell r="AE37">
            <v>-3.8</v>
          </cell>
          <cell r="AF37">
            <v>-3.8</v>
          </cell>
          <cell r="AG37">
            <v>-3.8</v>
          </cell>
          <cell r="AH37">
            <v>-3.8</v>
          </cell>
          <cell r="AI37">
            <v>-3.8</v>
          </cell>
          <cell r="AJ37">
            <v>-3.8</v>
          </cell>
          <cell r="AK37">
            <v>-3.8</v>
          </cell>
          <cell r="AL37">
            <v>-3.8</v>
          </cell>
          <cell r="AM37">
            <v>-3.8</v>
          </cell>
          <cell r="AN37">
            <v>-3.8</v>
          </cell>
        </row>
        <row r="38">
          <cell r="A38" t="str">
            <v>DD&amp;A</v>
          </cell>
          <cell r="B38">
            <v>17</v>
          </cell>
          <cell r="C38">
            <v>12.7</v>
          </cell>
          <cell r="D38">
            <v>12.8</v>
          </cell>
          <cell r="E38">
            <v>17.366666666666667</v>
          </cell>
          <cell r="F38">
            <v>19.733333333333334</v>
          </cell>
          <cell r="G38">
            <v>19.733333333333334</v>
          </cell>
          <cell r="H38">
            <v>19.733333333333334</v>
          </cell>
          <cell r="I38">
            <v>19.733333333333334</v>
          </cell>
          <cell r="J38">
            <v>19.733333333333334</v>
          </cell>
          <cell r="L38">
            <v>0</v>
          </cell>
          <cell r="M38">
            <v>0</v>
          </cell>
          <cell r="N38">
            <v>0</v>
          </cell>
          <cell r="O38">
            <v>-1.3</v>
          </cell>
          <cell r="P38">
            <v>0</v>
          </cell>
          <cell r="Q38">
            <v>0.5</v>
          </cell>
          <cell r="R38">
            <v>6.2</v>
          </cell>
          <cell r="S38">
            <v>4.9000000000000004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Other</v>
          </cell>
          <cell r="B39">
            <v>-0.6</v>
          </cell>
          <cell r="C39">
            <v>-0.4</v>
          </cell>
          <cell r="D39">
            <v>-0.3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-1.2</v>
          </cell>
          <cell r="N39">
            <v>0.2</v>
          </cell>
          <cell r="O39">
            <v>0</v>
          </cell>
          <cell r="P39">
            <v>-0.25</v>
          </cell>
          <cell r="Q39">
            <v>0</v>
          </cell>
          <cell r="R39">
            <v>-0.30000000000000004</v>
          </cell>
          <cell r="S39">
            <v>-2.2000000000000002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Accounts receivable</v>
          </cell>
          <cell r="B40">
            <v>-15.7</v>
          </cell>
          <cell r="C40">
            <v>-30.7</v>
          </cell>
          <cell r="D40">
            <v>43.1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-0.3</v>
          </cell>
          <cell r="M40">
            <v>-1.4</v>
          </cell>
          <cell r="N40">
            <v>-0.8</v>
          </cell>
          <cell r="O40">
            <v>-0.2</v>
          </cell>
          <cell r="P40">
            <v>-0.6</v>
          </cell>
          <cell r="Q40">
            <v>-1.4</v>
          </cell>
          <cell r="R40">
            <v>-0.3</v>
          </cell>
          <cell r="S40">
            <v>-0.8</v>
          </cell>
          <cell r="T40">
            <v>-2.3398375000000002</v>
          </cell>
          <cell r="U40">
            <v>-2.3632358750000004</v>
          </cell>
          <cell r="V40">
            <v>-2.3868682337500005</v>
          </cell>
          <cell r="W40">
            <v>-2.4107369160875005</v>
          </cell>
          <cell r="X40">
            <v>-2.4348442852483756</v>
          </cell>
          <cell r="Y40">
            <v>-2.4591927281008594</v>
          </cell>
          <cell r="Z40">
            <v>-2.4837846553818679</v>
          </cell>
          <cell r="AA40">
            <v>-2.5086225019356867</v>
          </cell>
          <cell r="AB40">
            <v>-2.5337087269550436</v>
          </cell>
          <cell r="AC40">
            <v>-2.5590458142245942</v>
          </cell>
          <cell r="AD40">
            <v>-2.5846362723668403</v>
          </cell>
          <cell r="AE40">
            <v>-2.6104826350905088</v>
          </cell>
          <cell r="AF40">
            <v>-2.636587461441414</v>
          </cell>
          <cell r="AG40">
            <v>-2.662953336055828</v>
          </cell>
          <cell r="AH40">
            <v>-2.6895828694163861</v>
          </cell>
          <cell r="AI40">
            <v>-2.7164786981105502</v>
          </cell>
          <cell r="AJ40">
            <v>-2.7436434850916558</v>
          </cell>
          <cell r="AK40">
            <v>-2.7710799199425722</v>
          </cell>
          <cell r="AL40">
            <v>-2.7987907191419978</v>
          </cell>
          <cell r="AM40">
            <v>-2.826778626333418</v>
          </cell>
          <cell r="AN40">
            <v>-2.8550464125967521</v>
          </cell>
        </row>
        <row r="41">
          <cell r="A41" t="str">
            <v>Trading activity (net)</v>
          </cell>
          <cell r="B41">
            <v>0.6</v>
          </cell>
          <cell r="C41">
            <v>-0.3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79.460349987202406</v>
          </cell>
          <cell r="M41">
            <v>5.8000000000000007</v>
          </cell>
          <cell r="N41">
            <v>11.100000000000001</v>
          </cell>
          <cell r="O41">
            <v>11.199999999999998</v>
          </cell>
          <cell r="P41">
            <v>12.95</v>
          </cell>
          <cell r="Q41">
            <v>14.999999999999998</v>
          </cell>
          <cell r="R41">
            <v>10.599999999999998</v>
          </cell>
          <cell r="S41">
            <v>17.299999999999997</v>
          </cell>
          <cell r="T41">
            <v>20.825587895851285</v>
          </cell>
          <cell r="U41">
            <v>22.57519022525922</v>
          </cell>
          <cell r="V41">
            <v>22.488625037929832</v>
          </cell>
          <cell r="W41">
            <v>23.361804760203725</v>
          </cell>
          <cell r="X41">
            <v>26.55119240240229</v>
          </cell>
          <cell r="Y41">
            <v>23.057333050935899</v>
          </cell>
          <cell r="Z41">
            <v>23.233026401165247</v>
          </cell>
          <cell r="AA41">
            <v>24.332458366401081</v>
          </cell>
          <cell r="AB41">
            <v>25.473314833782023</v>
          </cell>
          <cell r="AC41">
            <v>23.579607909117623</v>
          </cell>
          <cell r="AD41">
            <v>23.795435389232086</v>
          </cell>
          <cell r="AE41">
            <v>24.924727907425524</v>
          </cell>
          <cell r="AF41">
            <v>26.057560934361678</v>
          </cell>
          <cell r="AG41">
            <v>24.124317237945082</v>
          </cell>
          <cell r="AH41">
            <v>24.354137605465976</v>
          </cell>
          <cell r="AI41">
            <v>25.494361782979464</v>
          </cell>
          <cell r="AJ41">
            <v>26.617154732586449</v>
          </cell>
          <cell r="AK41">
            <v>24.69161318397731</v>
          </cell>
          <cell r="AL41">
            <v>24.924573238286541</v>
          </cell>
          <cell r="AM41">
            <v>26.073647179134966</v>
          </cell>
          <cell r="AN41">
            <v>27.190397369125314</v>
          </cell>
        </row>
        <row r="42">
          <cell r="A42" t="str">
            <v>Inventories</v>
          </cell>
          <cell r="B42">
            <v>0</v>
          </cell>
          <cell r="C42">
            <v>-0.1</v>
          </cell>
          <cell r="D42">
            <v>11.6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-3.392857142857135E-2</v>
          </cell>
          <cell r="M42">
            <v>-0.12500000000000053</v>
          </cell>
          <cell r="N42">
            <v>-0.12500000000000053</v>
          </cell>
          <cell r="O42">
            <v>-0.28713235294117723</v>
          </cell>
          <cell r="P42">
            <v>-0.28877310924369826</v>
          </cell>
          <cell r="Q42">
            <v>-0.97254901960784412</v>
          </cell>
          <cell r="R42">
            <v>-2.1703361344537826</v>
          </cell>
          <cell r="S42">
            <v>-3.132017822128855</v>
          </cell>
          <cell r="T42">
            <v>-3.132017822128855</v>
          </cell>
          <cell r="U42">
            <v>-3.3772620721288549</v>
          </cell>
          <cell r="V42">
            <v>-3.627411207128854</v>
          </cell>
          <cell r="W42">
            <v>-3.8825633248288534</v>
          </cell>
          <cell r="X42">
            <v>-4.1428184848828531</v>
          </cell>
          <cell r="Y42">
            <v>-4.2527840446288572</v>
          </cell>
          <cell r="Z42">
            <v>-4.5204436190788542</v>
          </cell>
          <cell r="AA42">
            <v>-4.7934563850178549</v>
          </cell>
          <cell r="AB42">
            <v>-5.0719294062756353</v>
          </cell>
          <cell r="AC42">
            <v>-5.055762767978857</v>
          </cell>
          <cell r="AD42">
            <v>-5.3394819168958545</v>
          </cell>
          <cell r="AE42">
            <v>-5.6288754487911961</v>
          </cell>
          <cell r="AF42">
            <v>-5.9240568513244423</v>
          </cell>
          <cell r="AG42">
            <v>-5.7650606402713587</v>
          </cell>
          <cell r="AH42">
            <v>-6.0629657466342053</v>
          </cell>
          <cell r="AI42">
            <v>-6.3668289551243129</v>
          </cell>
          <cell r="AJ42">
            <v>-6.6767694277842224</v>
          </cell>
          <cell r="AK42">
            <v>-6.3608708529970599</v>
          </cell>
          <cell r="AL42">
            <v>-6.6706921636144205</v>
          </cell>
          <cell r="AM42">
            <v>-6.986709900444132</v>
          </cell>
          <cell r="AN42">
            <v>-7.3090479920104379</v>
          </cell>
        </row>
        <row r="43">
          <cell r="A43" t="str">
            <v>Accounts payable</v>
          </cell>
          <cell r="B43">
            <v>3.8</v>
          </cell>
          <cell r="C43">
            <v>47.2</v>
          </cell>
          <cell r="D43">
            <v>-31.5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79.426421415773831</v>
          </cell>
          <cell r="M43">
            <v>5.6749999999999998</v>
          </cell>
          <cell r="N43">
            <v>10.975000000000001</v>
          </cell>
          <cell r="O43">
            <v>10.912867647058821</v>
          </cell>
          <cell r="P43">
            <v>12.661226890756302</v>
          </cell>
          <cell r="Q43">
            <v>14.027450980392153</v>
          </cell>
          <cell r="R43">
            <v>8.4296638655462157</v>
          </cell>
          <cell r="S43">
            <v>14.167982177871142</v>
          </cell>
          <cell r="T43">
            <v>17.69357007372243</v>
          </cell>
          <cell r="U43">
            <v>19.197928153130366</v>
          </cell>
          <cell r="V43">
            <v>18.861213830800978</v>
          </cell>
          <cell r="W43">
            <v>19.47924143537487</v>
          </cell>
          <cell r="X43">
            <v>22.408373917519437</v>
          </cell>
          <cell r="Y43">
            <v>18.804549006307042</v>
          </cell>
          <cell r="Z43">
            <v>18.712582782086393</v>
          </cell>
          <cell r="AA43">
            <v>19.539001981383226</v>
          </cell>
          <cell r="AB43">
            <v>20.401385427506387</v>
          </cell>
          <cell r="AC43">
            <v>18.523845141138764</v>
          </cell>
          <cell r="AD43">
            <v>18.455953472336233</v>
          </cell>
          <cell r="AE43">
            <v>19.295852458634329</v>
          </cell>
          <cell r="AF43">
            <v>20.133504083037238</v>
          </cell>
          <cell r="AG43">
            <v>18.359256597673724</v>
          </cell>
          <cell r="AH43">
            <v>18.29117185883177</v>
          </cell>
          <cell r="AI43">
            <v>19.127532827855152</v>
          </cell>
          <cell r="AJ43">
            <v>19.940385304802227</v>
          </cell>
          <cell r="AK43">
            <v>18.33074233098025</v>
          </cell>
          <cell r="AL43">
            <v>18.253881074672123</v>
          </cell>
          <cell r="AM43">
            <v>19.086937278690833</v>
          </cell>
          <cell r="AN43">
            <v>19.881349377114876</v>
          </cell>
        </row>
        <row r="44">
          <cell r="A44" t="str">
            <v>Accrued interest</v>
          </cell>
          <cell r="B44">
            <v>0</v>
          </cell>
          <cell r="C44">
            <v>0.8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Other current assets and liabilities</v>
          </cell>
          <cell r="B45">
            <v>0.1</v>
          </cell>
          <cell r="C45">
            <v>-0.7</v>
          </cell>
          <cell r="D45">
            <v>0.20000000000001705</v>
          </cell>
          <cell r="E45">
            <v>0</v>
          </cell>
          <cell r="F45">
            <v>0</v>
          </cell>
          <cell r="G45">
            <v>0</v>
          </cell>
          <cell r="H45">
            <v>6</v>
          </cell>
          <cell r="I45">
            <v>6</v>
          </cell>
          <cell r="J45">
            <v>6</v>
          </cell>
        </row>
        <row r="46">
          <cell r="A46" t="str">
            <v>Net Income</v>
          </cell>
          <cell r="B46">
            <v>51.199999999999989</v>
          </cell>
          <cell r="C46">
            <v>73</v>
          </cell>
          <cell r="D46">
            <v>68.900000000000006</v>
          </cell>
          <cell r="E46">
            <v>48.240984303884552</v>
          </cell>
          <cell r="F46">
            <v>67.835198313933091</v>
          </cell>
          <cell r="G46">
            <v>64.797091797932495</v>
          </cell>
          <cell r="H46">
            <v>72.958834429780069</v>
          </cell>
          <cell r="I46">
            <v>73.88059848624809</v>
          </cell>
          <cell r="J46">
            <v>74.811961987431246</v>
          </cell>
        </row>
        <row r="47">
          <cell r="A47" t="str">
            <v>Investing Activities</v>
          </cell>
          <cell r="B47">
            <v>17</v>
          </cell>
          <cell r="C47">
            <v>12.7</v>
          </cell>
          <cell r="D47">
            <v>12.8</v>
          </cell>
          <cell r="E47">
            <v>23.6</v>
          </cell>
          <cell r="F47">
            <v>30.200000000000003</v>
          </cell>
          <cell r="G47">
            <v>33.200000000000003</v>
          </cell>
          <cell r="H47">
            <v>33.200000000000003</v>
          </cell>
          <cell r="I47">
            <v>33.200000000000003</v>
          </cell>
          <cell r="J47">
            <v>33.200000000000003</v>
          </cell>
        </row>
        <row r="48">
          <cell r="A48" t="str">
            <v>Investing Activities</v>
          </cell>
          <cell r="B48">
            <v>-3.1</v>
          </cell>
          <cell r="C48">
            <v>-7.9</v>
          </cell>
          <cell r="D48">
            <v>-79</v>
          </cell>
          <cell r="E48">
            <v>-5.2082763626999995</v>
          </cell>
          <cell r="F48">
            <v>-5.4197532682138334</v>
          </cell>
          <cell r="G48">
            <v>-5.6398169841139199</v>
          </cell>
          <cell r="H48">
            <v>-5.8688161693350516</v>
          </cell>
          <cell r="I48">
            <v>0</v>
          </cell>
          <cell r="J48">
            <v>0</v>
          </cell>
        </row>
        <row r="49">
          <cell r="A49" t="str">
            <v>Capital Expenditures</v>
          </cell>
          <cell r="B49">
            <v>-3.1</v>
          </cell>
          <cell r="C49">
            <v>-7.9</v>
          </cell>
          <cell r="D49">
            <v>-27.2</v>
          </cell>
          <cell r="E49">
            <v>-655.10423348297002</v>
          </cell>
          <cell r="F49">
            <v>-31.921076820129741</v>
          </cell>
          <cell r="G49">
            <v>-33.217200542545058</v>
          </cell>
          <cell r="H49">
            <v>-34.56595208554657</v>
          </cell>
          <cell r="I49">
            <v>-35.969468349687617</v>
          </cell>
          <cell r="J49">
            <v>-37.429973002253021</v>
          </cell>
        </row>
        <row r="50">
          <cell r="A50" t="str">
            <v>Proceeds from sales of assets</v>
          </cell>
          <cell r="B50">
            <v>0.6</v>
          </cell>
          <cell r="C50">
            <v>1.2</v>
          </cell>
          <cell r="D50">
            <v>0.3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Purchases of available for sales securities</v>
          </cell>
          <cell r="B51">
            <v>0</v>
          </cell>
          <cell r="C51">
            <v>-731</v>
          </cell>
          <cell r="D51">
            <v>-7372.4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Proceeds from sales of available-for-sale</v>
          </cell>
          <cell r="B52">
            <v>0</v>
          </cell>
          <cell r="C52">
            <v>630.79999999999995</v>
          </cell>
          <cell r="D52">
            <v>7373.3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A53" t="str">
            <v>Other investing activities</v>
          </cell>
          <cell r="B53">
            <v>0</v>
          </cell>
          <cell r="C53">
            <v>-0.1</v>
          </cell>
          <cell r="D53">
            <v>-56.7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Other current assets and liabilities</v>
          </cell>
          <cell r="B54">
            <v>-2.5</v>
          </cell>
          <cell r="C54">
            <v>-107.00000000000009</v>
          </cell>
          <cell r="D54">
            <v>-82.699999999999093</v>
          </cell>
          <cell r="E54">
            <v>-655.10423348297002</v>
          </cell>
          <cell r="F54">
            <v>-31.921076820129741</v>
          </cell>
          <cell r="G54">
            <v>-33.217200542545058</v>
          </cell>
          <cell r="H54">
            <v>-34.56595208554657</v>
          </cell>
          <cell r="I54">
            <v>-35.969468349687617</v>
          </cell>
          <cell r="J54">
            <v>-37.429973002253021</v>
          </cell>
        </row>
        <row r="55">
          <cell r="A55" t="str">
            <v>Financing Activities</v>
          </cell>
          <cell r="B55">
            <v>51.199999999999989</v>
          </cell>
          <cell r="C55">
            <v>73</v>
          </cell>
          <cell r="D55">
            <v>68.900000000000006</v>
          </cell>
          <cell r="E55">
            <v>54.126574348349131</v>
          </cell>
          <cell r="F55">
            <v>95.647798007575233</v>
          </cell>
          <cell r="G55">
            <v>97.33566831289879</v>
          </cell>
          <cell r="H55">
            <v>105.68231420446902</v>
          </cell>
          <cell r="I55">
            <v>108.01831417793322</v>
          </cell>
          <cell r="J55">
            <v>110.4200954507142</v>
          </cell>
        </row>
        <row r="56">
          <cell r="A56" t="str">
            <v>Financing Activities</v>
          </cell>
          <cell r="B56">
            <v>0</v>
          </cell>
          <cell r="C56">
            <v>206.4</v>
          </cell>
          <cell r="D56">
            <v>6</v>
          </cell>
          <cell r="E56">
            <v>12.5</v>
          </cell>
          <cell r="F56">
            <v>12.5</v>
          </cell>
          <cell r="G56">
            <v>12.5</v>
          </cell>
          <cell r="H56">
            <v>12.5</v>
          </cell>
        </row>
        <row r="57">
          <cell r="A57" t="str">
            <v>Proceeds from Issuance of Common Units</v>
          </cell>
          <cell r="B57">
            <v>0</v>
          </cell>
          <cell r="C57">
            <v>206.4</v>
          </cell>
          <cell r="D57">
            <v>0</v>
          </cell>
          <cell r="E57">
            <v>320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Borrowings under credit facility</v>
          </cell>
          <cell r="B58">
            <v>0</v>
          </cell>
          <cell r="C58">
            <v>110</v>
          </cell>
          <cell r="D58">
            <v>57.9</v>
          </cell>
          <cell r="E58">
            <v>320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</row>
        <row r="59">
          <cell r="A59" t="str">
            <v>Borrowings under term loan facility</v>
          </cell>
          <cell r="B59">
            <v>0</v>
          </cell>
          <cell r="C59">
            <v>100.1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</row>
        <row r="60">
          <cell r="A60" t="str">
            <v>Distributions to Partners</v>
          </cell>
          <cell r="B60">
            <v>0</v>
          </cell>
          <cell r="C60">
            <v>0</v>
          </cell>
          <cell r="D60">
            <v>-22.1</v>
          </cell>
          <cell r="E60">
            <v>-49.814002801120466</v>
          </cell>
          <cell r="F60">
            <v>-66.797157212885182</v>
          </cell>
          <cell r="G60">
            <v>-77.079819712885197</v>
          </cell>
          <cell r="H60">
            <v>-77.079819712885197</v>
          </cell>
          <cell r="I60">
            <v>-77.079819712885197</v>
          </cell>
          <cell r="J60">
            <v>-77.079819712885197</v>
          </cell>
        </row>
        <row r="61">
          <cell r="A61" t="str">
            <v>Distributions to DEFS</v>
          </cell>
          <cell r="B61">
            <v>0</v>
          </cell>
          <cell r="C61">
            <v>-218.7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</row>
        <row r="62">
          <cell r="A62" t="str">
            <v>Net change in advances from DEFS</v>
          </cell>
          <cell r="B62">
            <v>-23.1</v>
          </cell>
          <cell r="C62">
            <v>-123.6</v>
          </cell>
          <cell r="D62">
            <v>-10.6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A63" t="str">
            <v>Other</v>
          </cell>
          <cell r="B63">
            <v>0</v>
          </cell>
          <cell r="C63">
            <v>-0.5</v>
          </cell>
          <cell r="D63">
            <v>-7.3999999999999995</v>
          </cell>
          <cell r="E63">
            <v>8</v>
          </cell>
          <cell r="F63">
            <v>11</v>
          </cell>
          <cell r="G63">
            <v>13</v>
          </cell>
          <cell r="H63">
            <v>12</v>
          </cell>
          <cell r="I63">
            <v>35</v>
          </cell>
          <cell r="J63">
            <v>35</v>
          </cell>
        </row>
        <row r="64">
          <cell r="B64">
            <v>-23.1</v>
          </cell>
          <cell r="C64">
            <v>73.700000000000017</v>
          </cell>
          <cell r="D64">
            <v>17.799999999999997</v>
          </cell>
          <cell r="E64">
            <v>598.18599719887948</v>
          </cell>
          <cell r="F64">
            <v>-55.797157212885182</v>
          </cell>
          <cell r="G64">
            <v>-64.079819712885197</v>
          </cell>
          <cell r="H64">
            <v>-65.079819712885197</v>
          </cell>
          <cell r="I64">
            <v>-42.079819712885197</v>
          </cell>
          <cell r="J64">
            <v>-42.079819712885197</v>
          </cell>
        </row>
        <row r="65">
          <cell r="A65" t="str">
            <v>Cash Beginning of Period</v>
          </cell>
          <cell r="D65">
            <v>42.2</v>
          </cell>
          <cell r="E65">
            <v>45.407734308071852</v>
          </cell>
          <cell r="F65">
            <v>81.794318160558504</v>
          </cell>
          <cell r="G65">
            <v>109.75623571868319</v>
          </cell>
          <cell r="H65">
            <v>129.8197060859012</v>
          </cell>
        </row>
        <row r="66">
          <cell r="A66" t="str">
            <v>Cash Beginning of Period</v>
          </cell>
          <cell r="B66">
            <v>0</v>
          </cell>
          <cell r="C66">
            <v>0</v>
          </cell>
          <cell r="D66">
            <v>42.2</v>
          </cell>
          <cell r="E66">
            <v>46.200000000000912</v>
          </cell>
          <cell r="F66">
            <v>37.522748019794975</v>
          </cell>
          <cell r="G66">
            <v>17.639712300713143</v>
          </cell>
          <cell r="H66">
            <v>-14.860216156784617</v>
          </cell>
          <cell r="I66">
            <v>29.452846474563685</v>
          </cell>
          <cell r="J66">
            <v>25.284156898238962</v>
          </cell>
        </row>
        <row r="67">
          <cell r="A67" t="str">
            <v>Cash End of Period</v>
          </cell>
          <cell r="B67">
            <v>0</v>
          </cell>
          <cell r="C67">
            <v>42.2</v>
          </cell>
          <cell r="D67">
            <v>46.200000000000912</v>
          </cell>
          <cell r="E67">
            <v>37.522748019794975</v>
          </cell>
          <cell r="F67">
            <v>17.639712300713143</v>
          </cell>
          <cell r="G67">
            <v>-14.860216156784617</v>
          </cell>
          <cell r="H67">
            <v>-41.547153525436315</v>
          </cell>
          <cell r="I67">
            <v>25.284156898238962</v>
          </cell>
          <cell r="J67">
            <v>20.58632617053199</v>
          </cell>
        </row>
        <row r="68">
          <cell r="A68" t="str">
            <v>Change in Cash</v>
          </cell>
          <cell r="B68">
            <v>0</v>
          </cell>
          <cell r="C68">
            <v>39.699999999999932</v>
          </cell>
          <cell r="D68">
            <v>4.0000000000009095</v>
          </cell>
          <cell r="E68">
            <v>-8.6772519802059378</v>
          </cell>
          <cell r="F68">
            <v>-19.883035719081832</v>
          </cell>
          <cell r="G68">
            <v>-32.499928457497759</v>
          </cell>
          <cell r="H68">
            <v>-26.686937368651698</v>
          </cell>
          <cell r="I68">
            <v>-4.1686895763247236</v>
          </cell>
          <cell r="J68">
            <v>-4.6978307277069717</v>
          </cell>
        </row>
        <row r="69">
          <cell r="A69" t="str">
            <v>Distributions to Partners</v>
          </cell>
          <cell r="B69">
            <v>0</v>
          </cell>
          <cell r="C69">
            <v>0</v>
          </cell>
          <cell r="D69">
            <v>-22.1</v>
          </cell>
          <cell r="E69">
            <v>-51.608845798319351</v>
          </cell>
          <cell r="F69">
            <v>-66.580888889423434</v>
          </cell>
          <cell r="G69">
            <v>-73.798005621486993</v>
          </cell>
          <cell r="H69">
            <v>-80.41713268146529</v>
          </cell>
          <cell r="I69">
            <v>-86.264028251112791</v>
          </cell>
          <cell r="J69">
            <v>-91.175420529616702</v>
          </cell>
        </row>
        <row r="70">
          <cell r="A70" t="str">
            <v>Distributions to DEFS</v>
          </cell>
          <cell r="B70">
            <v>0</v>
          </cell>
          <cell r="C70">
            <v>-218.7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Net change in advances from DEFS</v>
          </cell>
          <cell r="B71">
            <v>-23.1</v>
          </cell>
          <cell r="C71">
            <v>-123.6</v>
          </cell>
          <cell r="D71">
            <v>-10.6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Other</v>
          </cell>
          <cell r="B72">
            <v>0</v>
          </cell>
          <cell r="C72">
            <v>-0.5</v>
          </cell>
          <cell r="D72">
            <v>-7.3999999999999995</v>
          </cell>
          <cell r="E72">
            <v>15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B73">
            <v>-23.1</v>
          </cell>
          <cell r="C73">
            <v>73.700000000000017</v>
          </cell>
          <cell r="D73">
            <v>17.799999999999997</v>
          </cell>
          <cell r="E73">
            <v>578.39115420168059</v>
          </cell>
          <cell r="F73">
            <v>-66.580888889423434</v>
          </cell>
          <cell r="G73">
            <v>-73.798005621486993</v>
          </cell>
          <cell r="H73">
            <v>-80.41713268146529</v>
          </cell>
          <cell r="I73">
            <v>-86.264028251112791</v>
          </cell>
          <cell r="J73">
            <v>-91.175420529616702</v>
          </cell>
        </row>
        <row r="75">
          <cell r="A75" t="str">
            <v>Cash Beginning of Period</v>
          </cell>
          <cell r="C75">
            <v>0</v>
          </cell>
          <cell r="D75">
            <v>42.2</v>
          </cell>
          <cell r="E75">
            <v>46.200000000000912</v>
          </cell>
          <cell r="F75">
            <v>58.877891050030556</v>
          </cell>
          <cell r="G75">
            <v>78.34911485809647</v>
          </cell>
          <cell r="H75">
            <v>91.901468937134808</v>
          </cell>
          <cell r="I75">
            <v>106.77589827701519</v>
          </cell>
          <cell r="J75">
            <v>117.7175258151612</v>
          </cell>
        </row>
        <row r="76">
          <cell r="A76" t="str">
            <v>Cash End of Period</v>
          </cell>
          <cell r="C76">
            <v>42.2</v>
          </cell>
          <cell r="D76">
            <v>46.200000000000912</v>
          </cell>
          <cell r="E76">
            <v>58.877891050030556</v>
          </cell>
          <cell r="F76">
            <v>78.34911485809647</v>
          </cell>
          <cell r="G76">
            <v>91.901468937134808</v>
          </cell>
          <cell r="H76">
            <v>106.77589827701519</v>
          </cell>
          <cell r="I76">
            <v>117.7175258151612</v>
          </cell>
          <cell r="J76">
            <v>125.71050505824395</v>
          </cell>
        </row>
        <row r="77">
          <cell r="A77" t="str">
            <v>Change in Cash</v>
          </cell>
          <cell r="C77">
            <v>39.699999999999932</v>
          </cell>
          <cell r="D77">
            <v>4.0000000000009095</v>
          </cell>
          <cell r="E77">
            <v>12.677891050029643</v>
          </cell>
          <cell r="F77">
            <v>19.471223808065915</v>
          </cell>
          <cell r="G77">
            <v>13.552354079038338</v>
          </cell>
          <cell r="H77">
            <v>14.874429339880379</v>
          </cell>
          <cell r="I77">
            <v>10.941627538146008</v>
          </cell>
          <cell r="J77">
            <v>7.9929792430827575</v>
          </cell>
        </row>
      </sheetData>
      <sheetData sheetId="6"/>
      <sheetData sheetId="7" refreshError="1">
        <row r="1">
          <cell r="A1" t="str">
            <v>($000)</v>
          </cell>
          <cell r="B1">
            <v>2004</v>
          </cell>
          <cell r="C1">
            <v>2005</v>
          </cell>
          <cell r="D1">
            <v>2006</v>
          </cell>
          <cell r="E1" t="str">
            <v>2007E</v>
          </cell>
          <cell r="F1" t="str">
            <v>2008E</v>
          </cell>
          <cell r="G1" t="str">
            <v>2009E</v>
          </cell>
          <cell r="H1" t="str">
            <v>2010E</v>
          </cell>
          <cell r="I1" t="str">
            <v>2011E</v>
          </cell>
          <cell r="J1" t="str">
            <v>2012E</v>
          </cell>
        </row>
        <row r="2">
          <cell r="A2" t="str">
            <v>Assets</v>
          </cell>
        </row>
        <row r="3">
          <cell r="A3" t="str">
            <v>Cash and Equivalents</v>
          </cell>
          <cell r="B3">
            <v>1.4</v>
          </cell>
          <cell r="C3">
            <v>42.2</v>
          </cell>
          <cell r="D3">
            <v>46.2</v>
          </cell>
          <cell r="E3">
            <v>37.522748019794065</v>
          </cell>
          <cell r="F3">
            <v>17.639712300712233</v>
          </cell>
          <cell r="G3">
            <v>-14.860216156785526</v>
          </cell>
          <cell r="H3">
            <v>-41.547153525437224</v>
          </cell>
          <cell r="I3">
            <v>25.284156898238052</v>
          </cell>
          <cell r="J3">
            <v>20.58632617053108</v>
          </cell>
        </row>
        <row r="4">
          <cell r="A4" t="str">
            <v>Net Receivables</v>
          </cell>
          <cell r="B4">
            <v>60.9</v>
          </cell>
          <cell r="C4">
            <v>122.2</v>
          </cell>
          <cell r="D4">
            <v>78.199999999999989</v>
          </cell>
          <cell r="E4">
            <v>78.199999999999989</v>
          </cell>
          <cell r="F4">
            <v>78.199999999999989</v>
          </cell>
          <cell r="G4">
            <v>78.199999999999989</v>
          </cell>
          <cell r="H4">
            <v>78.199999999999989</v>
          </cell>
          <cell r="I4">
            <v>78.199999999999989</v>
          </cell>
          <cell r="J4">
            <v>78.199999999999989</v>
          </cell>
        </row>
        <row r="5">
          <cell r="A5" t="str">
            <v>Other Current Assets</v>
          </cell>
          <cell r="B5">
            <v>0.20000000000000284</v>
          </cell>
          <cell r="C5">
            <v>42.000000000000007</v>
          </cell>
          <cell r="D5">
            <v>35.200000000000003</v>
          </cell>
          <cell r="E5">
            <v>35.200000000000003</v>
          </cell>
          <cell r="F5">
            <v>35.200000000000003</v>
          </cell>
          <cell r="G5">
            <v>35.200000000000003</v>
          </cell>
          <cell r="H5">
            <v>35.200000000000003</v>
          </cell>
          <cell r="I5">
            <v>35.200000000000003</v>
          </cell>
          <cell r="J5">
            <v>35.200000000000003</v>
          </cell>
        </row>
        <row r="6">
          <cell r="A6" t="str">
            <v>Total Current Assets</v>
          </cell>
          <cell r="B6">
            <v>62.5</v>
          </cell>
          <cell r="C6">
            <v>206.4</v>
          </cell>
          <cell r="D6">
            <v>159.6</v>
          </cell>
          <cell r="E6">
            <v>150.92274801979406</v>
          </cell>
          <cell r="F6">
            <v>131.03971230071221</v>
          </cell>
          <cell r="G6">
            <v>98.539783843214465</v>
          </cell>
          <cell r="H6">
            <v>71.852846474562767</v>
          </cell>
          <cell r="I6">
            <v>138.68415689823803</v>
          </cell>
          <cell r="J6">
            <v>133.98632617053107</v>
          </cell>
        </row>
        <row r="8">
          <cell r="A8" t="str">
            <v>Gross Property, Plant &amp; Equipment</v>
          </cell>
        </row>
        <row r="9">
          <cell r="A9" t="str">
            <v xml:space="preserve">  Accum Depr</v>
          </cell>
        </row>
        <row r="10">
          <cell r="A10" t="str">
            <v>Net PPE</v>
          </cell>
          <cell r="B10">
            <v>172</v>
          </cell>
          <cell r="C10">
            <v>178.7</v>
          </cell>
          <cell r="D10">
            <v>194.7</v>
          </cell>
          <cell r="E10">
            <v>832.43756681630339</v>
          </cell>
          <cell r="F10">
            <v>844.62531030309981</v>
          </cell>
          <cell r="G10">
            <v>858.10917751231159</v>
          </cell>
          <cell r="H10">
            <v>872.94179626452478</v>
          </cell>
          <cell r="I10">
            <v>889.17793128087908</v>
          </cell>
          <cell r="J10">
            <v>906.87457094979879</v>
          </cell>
        </row>
        <row r="11">
          <cell r="A11" t="str">
            <v>Goodwill</v>
          </cell>
          <cell r="B11">
            <v>-1</v>
          </cell>
          <cell r="C11">
            <v>29.3</v>
          </cell>
          <cell r="D11">
            <v>29.3</v>
          </cell>
          <cell r="E11">
            <v>29.3</v>
          </cell>
          <cell r="F11">
            <v>29.3</v>
          </cell>
          <cell r="G11">
            <v>29.3</v>
          </cell>
          <cell r="H11">
            <v>29.3</v>
          </cell>
          <cell r="I11">
            <v>29.3</v>
          </cell>
          <cell r="J11">
            <v>29.3</v>
          </cell>
        </row>
        <row r="12">
          <cell r="A12" t="str">
            <v>Equity Investment</v>
          </cell>
          <cell r="B12">
            <v>5.8</v>
          </cell>
          <cell r="C12">
            <v>5.5</v>
          </cell>
          <cell r="D12">
            <v>5.9</v>
          </cell>
          <cell r="E12">
            <v>12</v>
          </cell>
          <cell r="F12">
            <v>12</v>
          </cell>
          <cell r="G12">
            <v>12</v>
          </cell>
          <cell r="H12">
            <v>12</v>
          </cell>
          <cell r="I12">
            <v>5.9</v>
          </cell>
          <cell r="J12">
            <v>5.9</v>
          </cell>
        </row>
        <row r="13">
          <cell r="A13" t="str">
            <v>Investments and Advances</v>
          </cell>
          <cell r="B13">
            <v>0</v>
          </cell>
          <cell r="C13">
            <v>100.4</v>
          </cell>
          <cell r="D13">
            <v>102</v>
          </cell>
          <cell r="E13">
            <v>102</v>
          </cell>
          <cell r="F13">
            <v>102</v>
          </cell>
          <cell r="G13">
            <v>102</v>
          </cell>
          <cell r="H13">
            <v>102</v>
          </cell>
          <cell r="I13">
            <v>102</v>
          </cell>
          <cell r="J13">
            <v>102</v>
          </cell>
        </row>
        <row r="14">
          <cell r="A14" t="str">
            <v>Unrealized Gains on Non-Trading Deriv</v>
          </cell>
          <cell r="B14">
            <v>0</v>
          </cell>
          <cell r="C14">
            <v>5.4</v>
          </cell>
          <cell r="D14">
            <v>6.5</v>
          </cell>
          <cell r="E14">
            <v>6.5</v>
          </cell>
          <cell r="F14">
            <v>6.5</v>
          </cell>
          <cell r="G14">
            <v>6.5</v>
          </cell>
          <cell r="H14">
            <v>6.5</v>
          </cell>
          <cell r="I14">
            <v>6.5</v>
          </cell>
          <cell r="J14">
            <v>6.5</v>
          </cell>
        </row>
        <row r="15">
          <cell r="A15" t="str">
            <v>Intangible Assets/Other</v>
          </cell>
          <cell r="B15">
            <v>2.2000000000000002</v>
          </cell>
          <cell r="C15">
            <v>4.2</v>
          </cell>
          <cell r="D15">
            <v>3.5999999999999996</v>
          </cell>
          <cell r="E15">
            <v>3.5999999999999996</v>
          </cell>
          <cell r="F15">
            <v>3.5999999999999996</v>
          </cell>
          <cell r="G15">
            <v>3.5999999999999996</v>
          </cell>
          <cell r="H15">
            <v>-2.4000000000000004</v>
          </cell>
          <cell r="I15">
            <v>-8.4</v>
          </cell>
          <cell r="J15">
            <v>-14.4</v>
          </cell>
        </row>
        <row r="16">
          <cell r="A16" t="str">
            <v>Total Assets</v>
          </cell>
          <cell r="B16">
            <v>241.5</v>
          </cell>
          <cell r="C16">
            <v>529.9</v>
          </cell>
          <cell r="D16">
            <v>501.6</v>
          </cell>
          <cell r="E16">
            <v>1136.7603148360975</v>
          </cell>
          <cell r="F16">
            <v>1129.0650226038119</v>
          </cell>
          <cell r="G16">
            <v>1110.048961355526</v>
          </cell>
          <cell r="H16">
            <v>1092.1946427390876</v>
          </cell>
          <cell r="I16">
            <v>1163.1620881791168</v>
          </cell>
          <cell r="J16">
            <v>1170.1608971203298</v>
          </cell>
        </row>
        <row r="18">
          <cell r="A18" t="str">
            <v>Liabilities &amp; Shareholder Equity:</v>
          </cell>
        </row>
        <row r="19">
          <cell r="A19" t="str">
            <v>Liabilities &amp; Shareholder Equity:</v>
          </cell>
        </row>
        <row r="20">
          <cell r="A20" t="str">
            <v>Current Portion of Long Term Debt</v>
          </cell>
          <cell r="B20">
            <v>39.800000000000004</v>
          </cell>
          <cell r="C20">
            <v>87</v>
          </cell>
          <cell r="D20">
            <v>87</v>
          </cell>
          <cell r="E20">
            <v>87</v>
          </cell>
          <cell r="F20">
            <v>87</v>
          </cell>
          <cell r="G20">
            <v>87</v>
          </cell>
          <cell r="H20">
            <v>87</v>
          </cell>
        </row>
        <row r="21">
          <cell r="A21" t="str">
            <v>Accounts Payable and Accrued Liabilities</v>
          </cell>
          <cell r="B21">
            <v>39.800000000000004</v>
          </cell>
          <cell r="C21">
            <v>139.10000000000002</v>
          </cell>
          <cell r="D21">
            <v>118.4</v>
          </cell>
          <cell r="E21">
            <v>118.4</v>
          </cell>
          <cell r="F21">
            <v>118.4</v>
          </cell>
          <cell r="G21">
            <v>118.4</v>
          </cell>
          <cell r="H21">
            <v>118.4</v>
          </cell>
          <cell r="I21">
            <v>118.4</v>
          </cell>
          <cell r="J21">
            <v>118.4</v>
          </cell>
        </row>
        <row r="22">
          <cell r="A22" t="str">
            <v>Taxes other than income taxes</v>
          </cell>
          <cell r="B22">
            <v>2.8000000000000003</v>
          </cell>
          <cell r="C22">
            <v>7.2</v>
          </cell>
          <cell r="D22">
            <v>8.1</v>
          </cell>
          <cell r="E22">
            <v>8.1</v>
          </cell>
          <cell r="F22">
            <v>8.1</v>
          </cell>
          <cell r="G22">
            <v>8.1</v>
          </cell>
          <cell r="H22">
            <v>8.1</v>
          </cell>
          <cell r="I22">
            <v>8.1</v>
          </cell>
          <cell r="J22">
            <v>8.1</v>
          </cell>
        </row>
        <row r="23">
          <cell r="A23" t="str">
            <v>Total Current Liabilities</v>
          </cell>
          <cell r="B23">
            <v>42.6</v>
          </cell>
          <cell r="C23">
            <v>146.30000000000001</v>
          </cell>
          <cell r="D23">
            <v>126.5</v>
          </cell>
          <cell r="E23">
            <v>126.5</v>
          </cell>
          <cell r="F23">
            <v>126.5</v>
          </cell>
          <cell r="G23">
            <v>126.5</v>
          </cell>
          <cell r="H23">
            <v>126.5</v>
          </cell>
          <cell r="I23">
            <v>126.5</v>
          </cell>
          <cell r="J23">
            <v>126.5</v>
          </cell>
        </row>
        <row r="24">
          <cell r="A24" t="str">
            <v>Long Term Debt</v>
          </cell>
          <cell r="B24">
            <v>0</v>
          </cell>
          <cell r="C24">
            <v>210.1</v>
          </cell>
          <cell r="D24">
            <v>250.1</v>
          </cell>
          <cell r="E24">
            <v>262.60000000000002</v>
          </cell>
          <cell r="F24">
            <v>275.10000000000002</v>
          </cell>
          <cell r="G24">
            <v>287.60000000000002</v>
          </cell>
          <cell r="H24">
            <v>300.10000000000002</v>
          </cell>
        </row>
        <row r="25">
          <cell r="A25" t="str">
            <v>Long Term Debt</v>
          </cell>
          <cell r="B25">
            <v>0</v>
          </cell>
          <cell r="C25">
            <v>210.1</v>
          </cell>
          <cell r="D25">
            <v>268</v>
          </cell>
          <cell r="E25">
            <v>588</v>
          </cell>
          <cell r="F25">
            <v>588</v>
          </cell>
          <cell r="G25">
            <v>588</v>
          </cell>
          <cell r="H25">
            <v>588</v>
          </cell>
          <cell r="I25">
            <v>738</v>
          </cell>
          <cell r="J25">
            <v>773</v>
          </cell>
        </row>
        <row r="26">
          <cell r="A26" t="str">
            <v>Debt due to Parent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Other Liabilities and Deferred Credits</v>
          </cell>
          <cell r="B27">
            <v>0.1</v>
          </cell>
          <cell r="C27">
            <v>3</v>
          </cell>
          <cell r="D27">
            <v>3.7</v>
          </cell>
          <cell r="E27">
            <v>3.7</v>
          </cell>
          <cell r="F27">
            <v>3.7</v>
          </cell>
          <cell r="G27">
            <v>3.7</v>
          </cell>
          <cell r="H27">
            <v>3.7</v>
          </cell>
          <cell r="I27">
            <v>3.7</v>
          </cell>
          <cell r="J27">
            <v>3.7</v>
          </cell>
        </row>
        <row r="28">
          <cell r="A28" t="str">
            <v>Total Liabilities</v>
          </cell>
          <cell r="B28">
            <v>42.7</v>
          </cell>
          <cell r="C28">
            <v>359.4</v>
          </cell>
          <cell r="D28">
            <v>271.7</v>
          </cell>
          <cell r="E28">
            <v>591.70000000000005</v>
          </cell>
          <cell r="F28">
            <v>591.70000000000005</v>
          </cell>
          <cell r="G28">
            <v>591.70000000000005</v>
          </cell>
          <cell r="H28">
            <v>591.70000000000005</v>
          </cell>
          <cell r="I28">
            <v>741.7</v>
          </cell>
          <cell r="J28">
            <v>776.7</v>
          </cell>
        </row>
        <row r="29">
          <cell r="A29" t="str">
            <v>Common Units</v>
          </cell>
          <cell r="B29">
            <v>0</v>
          </cell>
          <cell r="C29">
            <v>215.8</v>
          </cell>
          <cell r="D29">
            <v>225.18498560583868</v>
          </cell>
          <cell r="E29">
            <v>238.81857816304472</v>
          </cell>
          <cell r="F29">
            <v>248.12805472716764</v>
          </cell>
          <cell r="G29">
            <v>253.95843687224806</v>
          </cell>
          <cell r="H29">
            <v>254.86189669821039</v>
          </cell>
        </row>
        <row r="30">
          <cell r="A30" t="str">
            <v>Common Units</v>
          </cell>
          <cell r="B30">
            <v>0</v>
          </cell>
          <cell r="C30">
            <v>285.39999999999998</v>
          </cell>
          <cell r="D30">
            <v>202.70000000000002</v>
          </cell>
          <cell r="E30">
            <v>514.42799966654502</v>
          </cell>
          <cell r="F30">
            <v>516.32432015900531</v>
          </cell>
          <cell r="G30">
            <v>510.21373157805363</v>
          </cell>
          <cell r="H30">
            <v>506.44221457718629</v>
          </cell>
          <cell r="I30">
            <v>394.26208817911714</v>
          </cell>
          <cell r="J30">
            <v>366.2608971203299</v>
          </cell>
        </row>
        <row r="31">
          <cell r="A31" t="str">
            <v>Subordinated Units</v>
          </cell>
          <cell r="B31">
            <v>0</v>
          </cell>
          <cell r="C31">
            <v>-109.7</v>
          </cell>
          <cell r="D31">
            <v>-101.6</v>
          </cell>
          <cell r="E31">
            <v>-101.6</v>
          </cell>
          <cell r="F31">
            <v>-101.6</v>
          </cell>
          <cell r="G31">
            <v>-101.6</v>
          </cell>
          <cell r="H31">
            <v>-101.6</v>
          </cell>
          <cell r="I31">
            <v>-101.6</v>
          </cell>
          <cell r="J31">
            <v>-101.6</v>
          </cell>
        </row>
        <row r="32">
          <cell r="A32" t="str">
            <v>General Partner's Equity</v>
          </cell>
          <cell r="B32">
            <v>0</v>
          </cell>
          <cell r="C32">
            <v>-5.6</v>
          </cell>
          <cell r="D32">
            <v>-5</v>
          </cell>
          <cell r="E32">
            <v>-11.49886764705883</v>
          </cell>
          <cell r="F32">
            <v>-26.882712359943998</v>
          </cell>
          <cell r="G32">
            <v>-47.407888322829173</v>
          </cell>
          <cell r="H32">
            <v>-67.933064285714352</v>
          </cell>
          <cell r="I32">
            <v>-5</v>
          </cell>
          <cell r="J32">
            <v>-5</v>
          </cell>
        </row>
        <row r="33">
          <cell r="A33" t="str">
            <v>Accumulated OCI/Other</v>
          </cell>
          <cell r="B33">
            <v>198.4</v>
          </cell>
          <cell r="C33">
            <v>0.4</v>
          </cell>
          <cell r="D33">
            <v>7.3</v>
          </cell>
          <cell r="E33">
            <v>7.3</v>
          </cell>
          <cell r="F33">
            <v>7.3</v>
          </cell>
          <cell r="G33">
            <v>7.3</v>
          </cell>
          <cell r="H33">
            <v>7.3</v>
          </cell>
          <cell r="I33">
            <v>7.3</v>
          </cell>
          <cell r="J33">
            <v>7.3</v>
          </cell>
        </row>
        <row r="34">
          <cell r="A34" t="str">
            <v>Total Equity</v>
          </cell>
          <cell r="B34">
            <v>198.4</v>
          </cell>
          <cell r="C34">
            <v>170.5</v>
          </cell>
          <cell r="D34">
            <v>103.40000000000002</v>
          </cell>
          <cell r="E34">
            <v>408.62913201948618</v>
          </cell>
          <cell r="F34">
            <v>395.14160779906132</v>
          </cell>
          <cell r="G34">
            <v>368.50584325522442</v>
          </cell>
          <cell r="H34">
            <v>344.20915029147193</v>
          </cell>
          <cell r="I34">
            <v>294.96208817911719</v>
          </cell>
          <cell r="J34">
            <v>266.96089712032989</v>
          </cell>
        </row>
        <row r="35">
          <cell r="A35" t="str">
            <v>Total Liabilities and Equity</v>
          </cell>
          <cell r="B35">
            <v>241.10000000000002</v>
          </cell>
          <cell r="C35">
            <v>529.9</v>
          </cell>
          <cell r="D35">
            <v>501.6</v>
          </cell>
          <cell r="E35">
            <v>1126.8291320194862</v>
          </cell>
          <cell r="F35">
            <v>1112.3416077990614</v>
          </cell>
          <cell r="G35">
            <v>1087.7058432552244</v>
          </cell>
          <cell r="H35">
            <v>1061.4091502914721</v>
          </cell>
          <cell r="I35">
            <v>1163.1620881791173</v>
          </cell>
          <cell r="J35">
            <v>1170.16089712033</v>
          </cell>
        </row>
        <row r="36">
          <cell r="A36" t="str">
            <v>Check</v>
          </cell>
          <cell r="B36">
            <v>-0.39999999999997726</v>
          </cell>
          <cell r="C36">
            <v>0</v>
          </cell>
          <cell r="D36">
            <v>0</v>
          </cell>
          <cell r="E36">
            <v>-9.9311828166112264</v>
          </cell>
          <cell r="F36">
            <v>-16.723414804750519</v>
          </cell>
          <cell r="G36">
            <v>-22.343118100301581</v>
          </cell>
          <cell r="H36">
            <v>-30.785492447615525</v>
          </cell>
          <cell r="I36">
            <v>0</v>
          </cell>
          <cell r="J36">
            <v>0</v>
          </cell>
        </row>
        <row r="38">
          <cell r="A38" t="str">
            <v>Inventories</v>
          </cell>
          <cell r="B38" t="str">
            <v>ND</v>
          </cell>
          <cell r="C38" t="str">
            <v>ND</v>
          </cell>
          <cell r="D38" t="str">
            <v>ND</v>
          </cell>
          <cell r="E38" t="str">
            <v>ND</v>
          </cell>
          <cell r="F38" t="str">
            <v>ND</v>
          </cell>
          <cell r="G38" t="str">
            <v>ND</v>
          </cell>
          <cell r="H38" t="str">
            <v>ND</v>
          </cell>
        </row>
        <row r="39">
          <cell r="A39" t="str">
            <v>Retained earnings</v>
          </cell>
          <cell r="B39" t="str">
            <v>ND</v>
          </cell>
          <cell r="C39" t="str">
            <v>ND</v>
          </cell>
          <cell r="D39" t="str">
            <v>ND</v>
          </cell>
          <cell r="E39" t="str">
            <v>ND</v>
          </cell>
          <cell r="F39" t="str">
            <v>ND</v>
          </cell>
          <cell r="G39" t="str">
            <v>ND</v>
          </cell>
          <cell r="H39" t="str">
            <v>ND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ital Costs"/>
      <sheetName val="__FDSCACHE__"/>
      <sheetName val="DDM"/>
      <sheetName val="DCF"/>
      <sheetName val="ROCE"/>
      <sheetName val="EEP"/>
      <sheetName val="Segments"/>
      <sheetName val="Modelware"/>
      <sheetName val="QtrlyVariance"/>
      <sheetName val="Qtrly Sum"/>
      <sheetName val="BS"/>
      <sheetName val="Debt"/>
      <sheetName val="Valuation"/>
      <sheetName val="RIM"/>
      <sheetName val="Scenarios"/>
      <sheetName val="CapEx"/>
      <sheetName val="mwareTaxoPres"/>
      <sheetName val="mwareValPrintout"/>
      <sheetName val="Distribution"/>
      <sheetName val="mwarePreview"/>
      <sheetName val="Model_Template"/>
      <sheetName val="mwareDates"/>
      <sheetName val="mwareSettings"/>
      <sheetName val="NY UPLOAD shadow"/>
      <sheetName val="MainCode"/>
      <sheetName val="ReportOutput"/>
      <sheetName val="Variance"/>
      <sheetName val="mwareDates_38785_3592712"/>
      <sheetName val="OrganicPrograms"/>
      <sheetName val="Summary"/>
      <sheetName val="MWare_Cached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 t="str">
            <v>EEP Annual Earnings Model</v>
          </cell>
          <cell r="K1">
            <v>2003</v>
          </cell>
          <cell r="N1">
            <v>2003</v>
          </cell>
          <cell r="O1">
            <v>2004</v>
          </cell>
          <cell r="R1">
            <v>2004</v>
          </cell>
          <cell r="S1">
            <v>2005</v>
          </cell>
          <cell r="V1">
            <v>2005</v>
          </cell>
          <cell r="W1">
            <v>2006</v>
          </cell>
          <cell r="Z1">
            <v>2006</v>
          </cell>
          <cell r="AA1" t="str">
            <v>2007E</v>
          </cell>
          <cell r="AD1" t="str">
            <v>2007E</v>
          </cell>
          <cell r="AE1" t="str">
            <v>2008E</v>
          </cell>
          <cell r="AH1" t="str">
            <v>2008E</v>
          </cell>
          <cell r="AI1" t="str">
            <v>2009E</v>
          </cell>
          <cell r="AL1" t="str">
            <v>2009E</v>
          </cell>
          <cell r="AM1" t="str">
            <v>2010E</v>
          </cell>
          <cell r="AP1" t="str">
            <v>2010E</v>
          </cell>
          <cell r="AT1" t="str">
            <v>2011E</v>
          </cell>
          <cell r="AX1" t="str">
            <v>2012E</v>
          </cell>
        </row>
        <row r="2">
          <cell r="B2">
            <v>2003</v>
          </cell>
          <cell r="C2">
            <v>2004</v>
          </cell>
          <cell r="D2">
            <v>2005</v>
          </cell>
          <cell r="E2">
            <v>2006</v>
          </cell>
          <cell r="F2" t="str">
            <v>2007E</v>
          </cell>
          <cell r="G2" t="str">
            <v>2008E</v>
          </cell>
          <cell r="H2" t="str">
            <v>2009E</v>
          </cell>
          <cell r="I2" t="str">
            <v>2010E</v>
          </cell>
          <cell r="J2" t="str">
            <v>2011E</v>
          </cell>
          <cell r="K2" t="str">
            <v>Q1</v>
          </cell>
          <cell r="L2" t="str">
            <v>Q2</v>
          </cell>
          <cell r="M2" t="str">
            <v>Q3</v>
          </cell>
          <cell r="N2" t="str">
            <v>Q1</v>
          </cell>
          <cell r="O2" t="str">
            <v>Q2</v>
          </cell>
          <cell r="P2" t="str">
            <v>Q3</v>
          </cell>
          <cell r="Q2" t="str">
            <v>Q4</v>
          </cell>
          <cell r="R2" t="str">
            <v>Q1</v>
          </cell>
          <cell r="S2" t="str">
            <v>Q2</v>
          </cell>
          <cell r="T2" t="str">
            <v>Q3</v>
          </cell>
          <cell r="U2" t="str">
            <v>Q4</v>
          </cell>
          <cell r="V2" t="str">
            <v>Q1</v>
          </cell>
          <cell r="W2" t="str">
            <v>Q2</v>
          </cell>
          <cell r="X2" t="str">
            <v>Q3</v>
          </cell>
          <cell r="Y2" t="str">
            <v>Q4</v>
          </cell>
          <cell r="Z2" t="str">
            <v>Q1</v>
          </cell>
          <cell r="AA2" t="str">
            <v>Q2</v>
          </cell>
          <cell r="AB2" t="str">
            <v>Q3</v>
          </cell>
          <cell r="AC2" t="str">
            <v>Q4</v>
          </cell>
          <cell r="AD2" t="str">
            <v>Q1</v>
          </cell>
          <cell r="AE2" t="str">
            <v>Q2</v>
          </cell>
          <cell r="AF2" t="str">
            <v>Q3</v>
          </cell>
          <cell r="AG2" t="str">
            <v>Q4</v>
          </cell>
          <cell r="AH2" t="str">
            <v>Q1</v>
          </cell>
          <cell r="AI2" t="str">
            <v>Q2</v>
          </cell>
          <cell r="AJ2" t="str">
            <v>Q3</v>
          </cell>
          <cell r="AK2" t="str">
            <v>Q4</v>
          </cell>
          <cell r="AL2" t="str">
            <v>Q1</v>
          </cell>
          <cell r="AM2" t="str">
            <v>Q2</v>
          </cell>
          <cell r="AN2" t="str">
            <v>Q3</v>
          </cell>
          <cell r="AO2" t="str">
            <v>Q4</v>
          </cell>
          <cell r="AP2" t="str">
            <v>Q1</v>
          </cell>
          <cell r="AQ2" t="str">
            <v>Q2</v>
          </cell>
          <cell r="AR2" t="str">
            <v>Q3</v>
          </cell>
          <cell r="AS2" t="str">
            <v>Q4</v>
          </cell>
          <cell r="AT2" t="str">
            <v>Q1</v>
          </cell>
          <cell r="AU2" t="str">
            <v>Q2</v>
          </cell>
          <cell r="AV2" t="str">
            <v>Q3</v>
          </cell>
          <cell r="AW2" t="str">
            <v>Q4</v>
          </cell>
          <cell r="AX2" t="str">
            <v>Q1</v>
          </cell>
          <cell r="AY2" t="str">
            <v>Q2</v>
          </cell>
          <cell r="AZ2" t="str">
            <v>Q3</v>
          </cell>
          <cell r="BA2" t="str">
            <v>Q4</v>
          </cell>
        </row>
        <row r="3">
          <cell r="A3" t="str">
            <v>Liquids</v>
          </cell>
          <cell r="B3">
            <v>184</v>
          </cell>
          <cell r="C3">
            <v>207.60000000000002</v>
          </cell>
          <cell r="D3">
            <v>199</v>
          </cell>
          <cell r="E3">
            <v>263.89999999999998</v>
          </cell>
          <cell r="F3">
            <v>265.60971659919028</v>
          </cell>
          <cell r="G3">
            <v>354.85209129037071</v>
          </cell>
          <cell r="H3">
            <v>415.71736174584328</v>
          </cell>
          <cell r="I3">
            <v>467.59597039417594</v>
          </cell>
          <cell r="J3">
            <v>480.8996617944423</v>
          </cell>
          <cell r="K3">
            <v>46.300000000000011</v>
          </cell>
          <cell r="L3">
            <v>41.9</v>
          </cell>
          <cell r="M3">
            <v>43.099999999999994</v>
          </cell>
          <cell r="N3">
            <v>46.300000000000011</v>
          </cell>
          <cell r="O3">
            <v>41.9</v>
          </cell>
          <cell r="P3">
            <v>43.099999999999994</v>
          </cell>
          <cell r="Q3">
            <v>52.7</v>
          </cell>
          <cell r="R3">
            <v>46.7</v>
          </cell>
          <cell r="S3">
            <v>52.2</v>
          </cell>
          <cell r="T3">
            <v>55.399999999999991</v>
          </cell>
          <cell r="U3">
            <v>53.3</v>
          </cell>
          <cell r="V3">
            <v>47.6</v>
          </cell>
          <cell r="W3">
            <v>47.8</v>
          </cell>
          <cell r="X3">
            <v>48.999999999999993</v>
          </cell>
          <cell r="Y3">
            <v>54.6</v>
          </cell>
          <cell r="Z3">
            <v>67.699999999999989</v>
          </cell>
          <cell r="AA3">
            <v>65.600000000000009</v>
          </cell>
          <cell r="AB3">
            <v>63.400000000000006</v>
          </cell>
          <cell r="AC3">
            <v>67.199999999999989</v>
          </cell>
          <cell r="AD3">
            <v>69</v>
          </cell>
          <cell r="AE3">
            <v>61.5</v>
          </cell>
          <cell r="AF3">
            <v>66.504858299595142</v>
          </cell>
          <cell r="AG3">
            <v>68.604858299595151</v>
          </cell>
          <cell r="AH3">
            <v>83.98101764705882</v>
          </cell>
          <cell r="AI3">
            <v>87.888745987266816</v>
          </cell>
          <cell r="AJ3">
            <v>88.85233712788758</v>
          </cell>
          <cell r="AK3">
            <v>88.85233712788758</v>
          </cell>
          <cell r="AL3">
            <v>98.98991198411764</v>
          </cell>
          <cell r="AM3">
            <v>101.29581801690499</v>
          </cell>
          <cell r="AN3">
            <v>102.27877733945225</v>
          </cell>
          <cell r="AO3">
            <v>102.27877733945225</v>
          </cell>
          <cell r="AP3">
            <v>107.82447153951917</v>
          </cell>
          <cell r="AQ3">
            <v>98.669178089259361</v>
          </cell>
          <cell r="AR3">
            <v>98.669178089259361</v>
          </cell>
          <cell r="AS3">
            <v>98.669178089259361</v>
          </cell>
          <cell r="AT3">
            <v>121.06301293295382</v>
          </cell>
          <cell r="AU3">
            <v>119.94554962049617</v>
          </cell>
          <cell r="AV3">
            <v>119.94554962049617</v>
          </cell>
          <cell r="AW3">
            <v>119.94554962049617</v>
          </cell>
          <cell r="AX3">
            <v>123.3206782764702</v>
          </cell>
          <cell r="AY3">
            <v>122.16946757197633</v>
          </cell>
          <cell r="AZ3">
            <v>122.16946757197633</v>
          </cell>
          <cell r="BA3">
            <v>122.16946757197633</v>
          </cell>
        </row>
        <row r="4">
          <cell r="A4" t="str">
            <v>Natural Gas/Marketing</v>
          </cell>
          <cell r="B4">
            <v>99.100000000000065</v>
          </cell>
          <cell r="C4">
            <v>154.90000000000003</v>
          </cell>
          <cell r="D4">
            <v>173.89999999999998</v>
          </cell>
          <cell r="E4">
            <v>234.60000000000002</v>
          </cell>
          <cell r="F4">
            <v>245.0823529411764</v>
          </cell>
          <cell r="G4">
            <v>298.80976213235294</v>
          </cell>
          <cell r="H4">
            <v>305.87132212727477</v>
          </cell>
          <cell r="I4">
            <v>313.12839906455594</v>
          </cell>
          <cell r="J4">
            <v>320.58640631953813</v>
          </cell>
          <cell r="K4">
            <v>20.500000000000011</v>
          </cell>
          <cell r="L4">
            <v>25.200000000000014</v>
          </cell>
          <cell r="M4">
            <v>26.000000000000014</v>
          </cell>
          <cell r="N4">
            <v>20.500000000000011</v>
          </cell>
          <cell r="O4">
            <v>25.200000000000014</v>
          </cell>
          <cell r="P4">
            <v>26.000000000000014</v>
          </cell>
          <cell r="Q4">
            <v>27.400000000000023</v>
          </cell>
          <cell r="R4">
            <v>35.800000000000004</v>
          </cell>
          <cell r="S4">
            <v>35.400000000000006</v>
          </cell>
          <cell r="T4">
            <v>38.800000000000004</v>
          </cell>
          <cell r="U4">
            <v>44.900000000000006</v>
          </cell>
          <cell r="V4">
            <v>39.399999999999991</v>
          </cell>
          <cell r="W4">
            <v>37.800000000000011</v>
          </cell>
          <cell r="X4">
            <v>52.5</v>
          </cell>
          <cell r="Y4">
            <v>44.199999999999996</v>
          </cell>
          <cell r="Z4">
            <v>73.400000000000006</v>
          </cell>
          <cell r="AA4">
            <v>60.9</v>
          </cell>
          <cell r="AB4">
            <v>59.9</v>
          </cell>
          <cell r="AC4">
            <v>40.400000000000006</v>
          </cell>
          <cell r="AD4">
            <v>32.599999999999959</v>
          </cell>
          <cell r="AE4">
            <v>64.199999999999989</v>
          </cell>
          <cell r="AF4">
            <v>74.141176470588221</v>
          </cell>
          <cell r="AG4">
            <v>74.141176470588221</v>
          </cell>
          <cell r="AH4">
            <v>69.516176470588249</v>
          </cell>
          <cell r="AI4">
            <v>76.431195220588222</v>
          </cell>
          <cell r="AJ4">
            <v>76.431195220588222</v>
          </cell>
          <cell r="AK4">
            <v>76.431195220588222</v>
          </cell>
          <cell r="AL4">
            <v>71.137971783088233</v>
          </cell>
          <cell r="AM4">
            <v>78.244450114728835</v>
          </cell>
          <cell r="AN4">
            <v>78.244450114728835</v>
          </cell>
          <cell r="AO4">
            <v>78.244450114728835</v>
          </cell>
          <cell r="AP4">
            <v>72.804670553303055</v>
          </cell>
          <cell r="AQ4">
            <v>80.10790950375096</v>
          </cell>
          <cell r="AR4">
            <v>80.10790950375096</v>
          </cell>
          <cell r="AS4">
            <v>80.10790950375096</v>
          </cell>
          <cell r="AT4">
            <v>74.517516045718224</v>
          </cell>
          <cell r="AU4">
            <v>82.022963424606644</v>
          </cell>
          <cell r="AV4">
            <v>82.022963424606644</v>
          </cell>
          <cell r="AW4">
            <v>82.022963424606644</v>
          </cell>
          <cell r="AX4">
            <v>76.277785947704615</v>
          </cell>
          <cell r="AY4">
            <v>83.991040400896026</v>
          </cell>
          <cell r="AZ4">
            <v>83.991040400896026</v>
          </cell>
          <cell r="BA4">
            <v>83.991040400896026</v>
          </cell>
        </row>
        <row r="5">
          <cell r="A5" t="str">
            <v>Corporate G&amp;A</v>
          </cell>
          <cell r="B5">
            <v>-1.6000000000000003</v>
          </cell>
          <cell r="C5">
            <v>-3.5999999999999996</v>
          </cell>
          <cell r="D5">
            <v>-3.5</v>
          </cell>
          <cell r="E5">
            <v>-2.9</v>
          </cell>
          <cell r="F5">
            <v>-6.2</v>
          </cell>
          <cell r="G5">
            <v>-6.8</v>
          </cell>
          <cell r="H5">
            <v>-6.8</v>
          </cell>
          <cell r="I5">
            <v>-6.8</v>
          </cell>
          <cell r="J5">
            <v>-6.8</v>
          </cell>
          <cell r="K5">
            <v>-1.1000000000000001</v>
          </cell>
          <cell r="L5">
            <v>-0.6</v>
          </cell>
          <cell r="M5">
            <v>-0.7</v>
          </cell>
          <cell r="N5">
            <v>-1.1000000000000001</v>
          </cell>
          <cell r="O5">
            <v>-0.6</v>
          </cell>
          <cell r="P5">
            <v>-0.7</v>
          </cell>
          <cell r="Q5">
            <v>0.8</v>
          </cell>
          <cell r="R5">
            <v>-1.3</v>
          </cell>
          <cell r="S5">
            <v>-0.7</v>
          </cell>
          <cell r="T5">
            <v>-1.3</v>
          </cell>
          <cell r="U5">
            <v>-0.3</v>
          </cell>
          <cell r="V5">
            <v>-0.6</v>
          </cell>
          <cell r="W5">
            <v>-1.1000000000000001</v>
          </cell>
          <cell r="X5">
            <v>-0.6</v>
          </cell>
          <cell r="Y5">
            <v>-1.2</v>
          </cell>
          <cell r="Z5">
            <v>-0.6</v>
          </cell>
          <cell r="AA5">
            <v>-0.8</v>
          </cell>
          <cell r="AB5">
            <v>-1.1000000000000001</v>
          </cell>
          <cell r="AC5">
            <v>-0.4</v>
          </cell>
          <cell r="AD5">
            <v>-1.1000000000000001</v>
          </cell>
          <cell r="AE5">
            <v>-1.7</v>
          </cell>
          <cell r="AF5">
            <v>-1.7</v>
          </cell>
          <cell r="AG5">
            <v>-1.7</v>
          </cell>
          <cell r="AH5">
            <v>-1.7</v>
          </cell>
          <cell r="AI5">
            <v>-1.7</v>
          </cell>
          <cell r="AJ5">
            <v>-1.7</v>
          </cell>
          <cell r="AK5">
            <v>-1.7</v>
          </cell>
          <cell r="AL5">
            <v>-1.7</v>
          </cell>
          <cell r="AM5">
            <v>-1.7</v>
          </cell>
          <cell r="AN5">
            <v>-1.7</v>
          </cell>
          <cell r="AO5">
            <v>-1.7</v>
          </cell>
          <cell r="AP5">
            <v>-1.7</v>
          </cell>
          <cell r="AQ5">
            <v>-1.7</v>
          </cell>
          <cell r="AR5">
            <v>-1.7</v>
          </cell>
          <cell r="AS5">
            <v>-1.7</v>
          </cell>
          <cell r="AT5">
            <v>-1.7</v>
          </cell>
          <cell r="AU5">
            <v>-1.7</v>
          </cell>
          <cell r="AV5">
            <v>-1.7</v>
          </cell>
          <cell r="AW5">
            <v>-1.7</v>
          </cell>
          <cell r="AX5">
            <v>-1.7</v>
          </cell>
          <cell r="AY5">
            <v>-1.7</v>
          </cell>
          <cell r="AZ5">
            <v>-1.7</v>
          </cell>
          <cell r="BA5">
            <v>-1.7</v>
          </cell>
        </row>
        <row r="6">
          <cell r="A6" t="str">
            <v>Operating Income</v>
          </cell>
          <cell r="B6">
            <v>341.90000000000003</v>
          </cell>
          <cell r="C6">
            <v>358.9</v>
          </cell>
          <cell r="D6">
            <v>369.40000000000009</v>
          </cell>
          <cell r="E6">
            <v>495.6</v>
          </cell>
          <cell r="F6">
            <v>504.49206954036669</v>
          </cell>
          <cell r="G6">
            <v>646.8618534227237</v>
          </cell>
          <cell r="H6">
            <v>714.78868387311809</v>
          </cell>
          <cell r="I6">
            <v>773.92436945873192</v>
          </cell>
          <cell r="J6">
            <v>794.68606811398047</v>
          </cell>
          <cell r="K6">
            <v>65.700000000000031</v>
          </cell>
          <cell r="L6">
            <v>66.500000000000014</v>
          </cell>
          <cell r="M6">
            <v>68.400000000000006</v>
          </cell>
          <cell r="N6">
            <v>65.700000000000031</v>
          </cell>
          <cell r="O6">
            <v>66.500000000000014</v>
          </cell>
          <cell r="P6">
            <v>68.400000000000006</v>
          </cell>
          <cell r="Q6">
            <v>80.90000000000002</v>
          </cell>
          <cell r="R6">
            <v>81.2</v>
          </cell>
          <cell r="S6">
            <v>86.9</v>
          </cell>
          <cell r="T6">
            <v>92.899999999999991</v>
          </cell>
          <cell r="U6">
            <v>97.9</v>
          </cell>
          <cell r="V6">
            <v>86.4</v>
          </cell>
          <cell r="W6">
            <v>84.500000000000014</v>
          </cell>
          <cell r="X6">
            <v>100.9</v>
          </cell>
          <cell r="Y6">
            <v>97.6</v>
          </cell>
          <cell r="Z6">
            <v>140.5</v>
          </cell>
          <cell r="AA6">
            <v>125.7</v>
          </cell>
          <cell r="AB6">
            <v>122.20000000000002</v>
          </cell>
          <cell r="AC6">
            <v>107.19999999999999</v>
          </cell>
          <cell r="AD6">
            <v>100.49999999999997</v>
          </cell>
          <cell r="AE6">
            <v>123.99999999999999</v>
          </cell>
          <cell r="AF6">
            <v>138.94603477018336</v>
          </cell>
          <cell r="AG6">
            <v>141.04603477018338</v>
          </cell>
          <cell r="AH6">
            <v>151.79719411764708</v>
          </cell>
          <cell r="AI6">
            <v>162.61994120785505</v>
          </cell>
          <cell r="AJ6">
            <v>163.58353234847581</v>
          </cell>
          <cell r="AK6">
            <v>163.58353234847581</v>
          </cell>
          <cell r="AL6">
            <v>168.42788376720588</v>
          </cell>
          <cell r="AM6">
            <v>177.84026813163382</v>
          </cell>
          <cell r="AN6">
            <v>178.82322745418111</v>
          </cell>
          <cell r="AO6">
            <v>178.82322745418111</v>
          </cell>
          <cell r="AP6">
            <v>178.92914209282225</v>
          </cell>
          <cell r="AQ6">
            <v>177.07708759301033</v>
          </cell>
          <cell r="AR6">
            <v>177.07708759301033</v>
          </cell>
          <cell r="AS6">
            <v>177.07708759301033</v>
          </cell>
          <cell r="AT6">
            <v>193.88052897867206</v>
          </cell>
          <cell r="AU6">
            <v>200.26851304510282</v>
          </cell>
          <cell r="AV6">
            <v>200.26851304510282</v>
          </cell>
          <cell r="AW6">
            <v>200.26851304510282</v>
          </cell>
          <cell r="AX6">
            <v>197.89846422417483</v>
          </cell>
          <cell r="AY6">
            <v>204.46050797287236</v>
          </cell>
          <cell r="AZ6">
            <v>204.46050797287236</v>
          </cell>
          <cell r="BA6">
            <v>204.46050797287236</v>
          </cell>
        </row>
        <row r="7">
          <cell r="A7" t="str">
            <v>DD&amp;A</v>
          </cell>
          <cell r="B7">
            <v>-93.8</v>
          </cell>
          <cell r="C7">
            <v>-120.19999999999999</v>
          </cell>
          <cell r="D7">
            <v>-137.69999999999999</v>
          </cell>
          <cell r="E7">
            <v>-134.4</v>
          </cell>
          <cell r="F7">
            <v>-155.40000000000003</v>
          </cell>
          <cell r="G7">
            <v>-165.8</v>
          </cell>
          <cell r="H7">
            <v>-173.8</v>
          </cell>
          <cell r="I7">
            <v>-181.8</v>
          </cell>
          <cell r="J7">
            <v>-189.8</v>
          </cell>
          <cell r="K7">
            <v>-20</v>
          </cell>
          <cell r="L7">
            <v>-23.4</v>
          </cell>
          <cell r="M7">
            <v>-23.4</v>
          </cell>
          <cell r="N7">
            <v>-20</v>
          </cell>
          <cell r="O7">
            <v>-23.4</v>
          </cell>
          <cell r="P7">
            <v>-23.4</v>
          </cell>
          <cell r="Q7">
            <v>-27</v>
          </cell>
          <cell r="R7">
            <v>-28.6</v>
          </cell>
          <cell r="S7">
            <v>-28.9</v>
          </cell>
          <cell r="T7">
            <v>-31.6</v>
          </cell>
          <cell r="U7">
            <v>-31.1</v>
          </cell>
          <cell r="V7">
            <v>-33.200000000000003</v>
          </cell>
          <cell r="W7">
            <v>-33.9</v>
          </cell>
          <cell r="X7">
            <v>-36.400000000000006</v>
          </cell>
          <cell r="Y7">
            <v>-34.200000000000003</v>
          </cell>
          <cell r="Z7">
            <v>-32.5</v>
          </cell>
          <cell r="AA7">
            <v>-33.799999999999997</v>
          </cell>
          <cell r="AB7">
            <v>-34.700000000000003</v>
          </cell>
          <cell r="AC7">
            <v>-33.400000000000006</v>
          </cell>
          <cell r="AD7">
            <v>-36.4</v>
          </cell>
          <cell r="AE7">
            <v>-39.099999999999994</v>
          </cell>
          <cell r="AF7">
            <v>-39.70000000000001</v>
          </cell>
          <cell r="AG7">
            <v>-40.200000000000003</v>
          </cell>
          <cell r="AH7">
            <v>-40.700000000000003</v>
          </cell>
          <cell r="AI7">
            <v>-41.2</v>
          </cell>
          <cell r="AJ7">
            <v>-41.7</v>
          </cell>
          <cell r="AK7">
            <v>-42.2</v>
          </cell>
          <cell r="AL7">
            <v>-42.7</v>
          </cell>
          <cell r="AM7">
            <v>-43.2</v>
          </cell>
          <cell r="AN7">
            <v>-43.7</v>
          </cell>
          <cell r="AO7">
            <v>-44.2</v>
          </cell>
          <cell r="AP7">
            <v>-44.7</v>
          </cell>
          <cell r="AQ7">
            <v>-45.2</v>
          </cell>
          <cell r="AR7">
            <v>-45.7</v>
          </cell>
          <cell r="AS7">
            <v>-46.2</v>
          </cell>
          <cell r="AT7">
            <v>-46.7</v>
          </cell>
          <cell r="AU7">
            <v>-47.2</v>
          </cell>
          <cell r="AV7">
            <v>-47.7</v>
          </cell>
          <cell r="AW7">
            <v>-48.2</v>
          </cell>
          <cell r="AX7">
            <v>-48.7</v>
          </cell>
          <cell r="AY7">
            <v>-49.2</v>
          </cell>
          <cell r="AZ7">
            <v>-49.70000000000001</v>
          </cell>
          <cell r="BA7">
            <v>-50.2</v>
          </cell>
        </row>
        <row r="8">
          <cell r="A8" t="str">
            <v>Interest Expense</v>
          </cell>
          <cell r="B8">
            <v>-85.000000000000014</v>
          </cell>
          <cell r="C8">
            <v>-88.4</v>
          </cell>
          <cell r="D8">
            <v>-107.69999999999999</v>
          </cell>
          <cell r="E8">
            <v>-103.1</v>
          </cell>
          <cell r="F8">
            <v>-103.35</v>
          </cell>
          <cell r="G8">
            <v>-140.6</v>
          </cell>
          <cell r="H8">
            <v>-174.35</v>
          </cell>
          <cell r="I8">
            <v>-188.1</v>
          </cell>
          <cell r="J8">
            <v>-154.35</v>
          </cell>
          <cell r="K8">
            <v>-21.3</v>
          </cell>
          <cell r="L8">
            <v>-21.6</v>
          </cell>
          <cell r="M8">
            <v>-21.4</v>
          </cell>
          <cell r="N8">
            <v>-21.3</v>
          </cell>
          <cell r="O8">
            <v>-21.6</v>
          </cell>
          <cell r="P8">
            <v>-21.4</v>
          </cell>
          <cell r="Q8">
            <v>-20.7</v>
          </cell>
          <cell r="R8">
            <v>-21.6</v>
          </cell>
          <cell r="S8">
            <v>-22</v>
          </cell>
          <cell r="T8">
            <v>-22.2</v>
          </cell>
          <cell r="U8">
            <v>-22.6</v>
          </cell>
          <cell r="V8">
            <v>-25.6</v>
          </cell>
          <cell r="W8">
            <v>-25.6</v>
          </cell>
          <cell r="X8">
            <v>-28.4</v>
          </cell>
          <cell r="Y8">
            <v>-28.1</v>
          </cell>
          <cell r="Z8">
            <v>-26.9</v>
          </cell>
          <cell r="AA8">
            <v>-23.200000000000003</v>
          </cell>
          <cell r="AB8">
            <v>-26.5</v>
          </cell>
          <cell r="AC8">
            <v>-26.5</v>
          </cell>
          <cell r="AD8">
            <v>-25.3</v>
          </cell>
          <cell r="AE8">
            <v>-21.5</v>
          </cell>
          <cell r="AF8">
            <v>-28.274999999999999</v>
          </cell>
          <cell r="AG8">
            <v>-28.274999999999999</v>
          </cell>
          <cell r="AH8">
            <v>-35.15</v>
          </cell>
          <cell r="AI8">
            <v>-35.15</v>
          </cell>
          <cell r="AJ8">
            <v>-35.15</v>
          </cell>
          <cell r="AK8">
            <v>-35.15</v>
          </cell>
          <cell r="AL8">
            <v>-43.587499999999999</v>
          </cell>
          <cell r="AM8">
            <v>-43.587499999999999</v>
          </cell>
          <cell r="AN8">
            <v>-43.587499999999999</v>
          </cell>
          <cell r="AO8">
            <v>-43.587499999999999</v>
          </cell>
          <cell r="AP8">
            <v>-43.587499999999999</v>
          </cell>
          <cell r="AQ8">
            <v>-43.587499999999999</v>
          </cell>
          <cell r="AR8">
            <v>-43.587499999999999</v>
          </cell>
          <cell r="AS8">
            <v>-43.587499999999999</v>
          </cell>
          <cell r="AT8">
            <v>-38.587499999999999</v>
          </cell>
          <cell r="AU8">
            <v>-38.587499999999999</v>
          </cell>
          <cell r="AV8">
            <v>-38.587499999999999</v>
          </cell>
          <cell r="AW8">
            <v>-38.587499999999999</v>
          </cell>
          <cell r="AX8">
            <v>-38.587499999999999</v>
          </cell>
          <cell r="AY8">
            <v>-38.587499999999999</v>
          </cell>
          <cell r="AZ8">
            <v>-38.587499999999999</v>
          </cell>
          <cell r="BA8">
            <v>-38.587499999999999</v>
          </cell>
        </row>
        <row r="9">
          <cell r="A9" t="str">
            <v>Other Income/Expense</v>
          </cell>
          <cell r="B9">
            <v>0.69999999999999984</v>
          </cell>
          <cell r="C9">
            <v>-10.55</v>
          </cell>
          <cell r="D9">
            <v>19.100000000000001</v>
          </cell>
          <cell r="E9">
            <v>-25.7</v>
          </cell>
          <cell r="F9">
            <v>17.099999999999998</v>
          </cell>
          <cell r="G9">
            <v>-12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1.65</v>
          </cell>
          <cell r="M9">
            <v>-0.1</v>
          </cell>
          <cell r="N9">
            <v>0</v>
          </cell>
          <cell r="O9">
            <v>1.65</v>
          </cell>
          <cell r="P9">
            <v>-0.1</v>
          </cell>
          <cell r="Q9">
            <v>-0.85</v>
          </cell>
          <cell r="R9">
            <v>2.1</v>
          </cell>
          <cell r="S9">
            <v>-0.05</v>
          </cell>
          <cell r="T9">
            <v>-11.8</v>
          </cell>
          <cell r="U9">
            <v>-0.8</v>
          </cell>
          <cell r="V9">
            <v>7.6</v>
          </cell>
          <cell r="W9">
            <v>7.8</v>
          </cell>
          <cell r="X9">
            <v>2.1</v>
          </cell>
          <cell r="Y9">
            <v>1.6</v>
          </cell>
          <cell r="Z9">
            <v>-27.7</v>
          </cell>
          <cell r="AA9">
            <v>0</v>
          </cell>
          <cell r="AB9">
            <v>0</v>
          </cell>
          <cell r="AC9">
            <v>2</v>
          </cell>
          <cell r="AD9">
            <v>16.599999999999998</v>
          </cell>
          <cell r="AE9">
            <v>0.5</v>
          </cell>
          <cell r="AF9">
            <v>0</v>
          </cell>
          <cell r="AG9">
            <v>0</v>
          </cell>
          <cell r="AH9">
            <v>-3</v>
          </cell>
          <cell r="AI9">
            <v>-3</v>
          </cell>
          <cell r="AJ9">
            <v>-3</v>
          </cell>
          <cell r="AK9">
            <v>-3</v>
          </cell>
          <cell r="AL9">
            <v>-2</v>
          </cell>
          <cell r="AM9">
            <v>-2</v>
          </cell>
          <cell r="AN9">
            <v>-1</v>
          </cell>
          <cell r="AO9">
            <v>-1</v>
          </cell>
          <cell r="AP9">
            <v>2</v>
          </cell>
          <cell r="AQ9">
            <v>2</v>
          </cell>
          <cell r="AR9">
            <v>2</v>
          </cell>
          <cell r="AS9">
            <v>2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</row>
        <row r="10">
          <cell r="A10" t="str">
            <v>Net Income</v>
          </cell>
          <cell r="B10">
            <v>163.80000000000001</v>
          </cell>
          <cell r="C10">
            <v>139.74999999999997</v>
          </cell>
          <cell r="D10">
            <v>143.10000000000011</v>
          </cell>
          <cell r="E10">
            <v>232.40000000000003</v>
          </cell>
          <cell r="F10">
            <v>262.84206954036665</v>
          </cell>
          <cell r="G10">
            <v>328.46185342272372</v>
          </cell>
          <cell r="H10">
            <v>366.63868387311811</v>
          </cell>
          <cell r="I10">
            <v>404.02436945873194</v>
          </cell>
          <cell r="J10">
            <v>450.53606811398038</v>
          </cell>
          <cell r="K10">
            <v>24.400000000000031</v>
          </cell>
          <cell r="L10">
            <v>23.150000000000013</v>
          </cell>
          <cell r="M10">
            <v>23.500000000000007</v>
          </cell>
          <cell r="N10">
            <v>24.400000000000031</v>
          </cell>
          <cell r="O10">
            <v>23.150000000000013</v>
          </cell>
          <cell r="P10">
            <v>23.500000000000007</v>
          </cell>
          <cell r="Q10">
            <v>32.350000000000016</v>
          </cell>
          <cell r="R10">
            <v>33.1</v>
          </cell>
          <cell r="S10">
            <v>35.95000000000001</v>
          </cell>
          <cell r="T10">
            <v>27.299999999999994</v>
          </cell>
          <cell r="U10">
            <v>43.400000000000013</v>
          </cell>
          <cell r="V10">
            <v>35.200000000000003</v>
          </cell>
          <cell r="W10">
            <v>32.800000000000011</v>
          </cell>
          <cell r="X10">
            <v>38.200000000000003</v>
          </cell>
          <cell r="Y10">
            <v>36.899999999999991</v>
          </cell>
          <cell r="Z10">
            <v>53.399999999999991</v>
          </cell>
          <cell r="AA10">
            <v>68.7</v>
          </cell>
          <cell r="AB10">
            <v>61.000000000000014</v>
          </cell>
          <cell r="AC10">
            <v>49.299999999999983</v>
          </cell>
          <cell r="AD10">
            <v>55.399999999999963</v>
          </cell>
          <cell r="AE10">
            <v>63.899999999999991</v>
          </cell>
          <cell r="AF10">
            <v>70.971034770183337</v>
          </cell>
          <cell r="AG10">
            <v>72.571034770183388</v>
          </cell>
          <cell r="AH10">
            <v>72.947194117647086</v>
          </cell>
          <cell r="AI10">
            <v>83.269941207855055</v>
          </cell>
          <cell r="AJ10">
            <v>83.733532348475819</v>
          </cell>
          <cell r="AK10">
            <v>83.233532348475819</v>
          </cell>
          <cell r="AL10">
            <v>80.14038376720589</v>
          </cell>
          <cell r="AM10">
            <v>89.052768131633826</v>
          </cell>
          <cell r="AN10">
            <v>90.535727454181114</v>
          </cell>
          <cell r="AO10">
            <v>90.035727454181114</v>
          </cell>
          <cell r="AP10">
            <v>92.641642092822252</v>
          </cell>
          <cell r="AQ10">
            <v>90.289587593010339</v>
          </cell>
          <cell r="AR10">
            <v>89.789587593010339</v>
          </cell>
          <cell r="AS10">
            <v>89.289587593010339</v>
          </cell>
          <cell r="AT10">
            <v>108.59302897867204</v>
          </cell>
          <cell r="AU10">
            <v>114.4810130451028</v>
          </cell>
          <cell r="AV10">
            <v>113.9810130451028</v>
          </cell>
          <cell r="AW10">
            <v>113.4810130451028</v>
          </cell>
          <cell r="AX10">
            <v>110.61096422417481</v>
          </cell>
          <cell r="AY10">
            <v>116.67300797287234</v>
          </cell>
          <cell r="AZ10">
            <v>116.17300797287234</v>
          </cell>
          <cell r="BA10">
            <v>115.67300797287234</v>
          </cell>
        </row>
        <row r="11">
          <cell r="A11" t="str">
            <v>General Partner Interest</v>
          </cell>
          <cell r="B11">
            <v>-19.600000000000001</v>
          </cell>
          <cell r="C11">
            <v>-22.604125699999912</v>
          </cell>
          <cell r="D11">
            <v>-24.099999999999998</v>
          </cell>
          <cell r="E11">
            <v>-29.900000000000002</v>
          </cell>
          <cell r="F11">
            <v>-33.740378508446618</v>
          </cell>
          <cell r="G11">
            <v>-36.501708640786042</v>
          </cell>
          <cell r="H11">
            <v>-41.966427904901245</v>
          </cell>
          <cell r="I11">
            <v>-50.304714700199348</v>
          </cell>
          <cell r="J11">
            <v>-46.981667913917242</v>
          </cell>
          <cell r="K11">
            <v>-4.9000000000000004</v>
          </cell>
          <cell r="L11">
            <v>-4.7</v>
          </cell>
          <cell r="M11">
            <v>-4.7</v>
          </cell>
          <cell r="N11">
            <v>-4.9000000000000004</v>
          </cell>
          <cell r="O11">
            <v>-4.7</v>
          </cell>
          <cell r="P11">
            <v>-4.7</v>
          </cell>
          <cell r="Q11">
            <v>-5.3</v>
          </cell>
          <cell r="R11">
            <v>-5.5</v>
          </cell>
          <cell r="S11">
            <v>-5.5</v>
          </cell>
          <cell r="T11">
            <v>-5.6041256999999112</v>
          </cell>
          <cell r="U11">
            <v>-6</v>
          </cell>
          <cell r="V11">
            <v>-6</v>
          </cell>
          <cell r="W11">
            <v>-5.8000000000000007</v>
          </cell>
          <cell r="X11">
            <v>-6.1</v>
          </cell>
          <cell r="Y11">
            <v>-6.2</v>
          </cell>
          <cell r="Z11">
            <v>-6.7</v>
          </cell>
          <cell r="AA11">
            <v>-7.2</v>
          </cell>
          <cell r="AB11">
            <v>-8.1999999999999993</v>
          </cell>
          <cell r="AC11">
            <v>-7.8</v>
          </cell>
          <cell r="AD11">
            <v>-7.7</v>
          </cell>
          <cell r="AE11">
            <v>-9.2999999999999972</v>
          </cell>
          <cell r="AF11">
            <v>-8.2443162698944423</v>
          </cell>
          <cell r="AG11">
            <v>-8.4960622385521773</v>
          </cell>
          <cell r="AH11">
            <v>-8.7981574009414576</v>
          </cell>
          <cell r="AI11">
            <v>-9.1002525633307378</v>
          </cell>
          <cell r="AJ11">
            <v>-9.4023477257200181</v>
          </cell>
          <cell r="AK11">
            <v>-9.7044428881092983</v>
          </cell>
          <cell r="AL11">
            <v>-9.8554904693039376</v>
          </cell>
          <cell r="AM11">
            <v>-10.006538050498579</v>
          </cell>
          <cell r="AN11">
            <v>-10.157585631693218</v>
          </cell>
          <cell r="AO11">
            <v>-11.745416978479311</v>
          </cell>
          <cell r="AP11">
            <v>-11.745416978479311</v>
          </cell>
          <cell r="AQ11">
            <v>-11.745416978479311</v>
          </cell>
          <cell r="AR11">
            <v>-11.745416978479311</v>
          </cell>
          <cell r="AS11">
            <v>-11.745416978479311</v>
          </cell>
          <cell r="AT11">
            <v>-11.745416978479311</v>
          </cell>
          <cell r="AU11">
            <v>-11.745416978479311</v>
          </cell>
          <cell r="AV11">
            <v>-11.745416978479311</v>
          </cell>
          <cell r="AW11">
            <v>-11.745416978479311</v>
          </cell>
          <cell r="AX11">
            <v>-11.745416978479311</v>
          </cell>
          <cell r="AY11">
            <v>-11.745416978479311</v>
          </cell>
          <cell r="AZ11">
            <v>-11.745416978479311</v>
          </cell>
          <cell r="BA11">
            <v>-11.745416978479311</v>
          </cell>
        </row>
        <row r="12">
          <cell r="A12" t="str">
            <v>Net Income to Limited Partners</v>
          </cell>
          <cell r="B12">
            <v>144.20000000000002</v>
          </cell>
          <cell r="C12">
            <v>117.14587430000006</v>
          </cell>
          <cell r="D12">
            <v>119.00000000000011</v>
          </cell>
          <cell r="E12">
            <v>202.50000000000003</v>
          </cell>
          <cell r="F12">
            <v>229.10169103192004</v>
          </cell>
          <cell r="G12">
            <v>291.96014478193769</v>
          </cell>
          <cell r="H12">
            <v>324.67225596821686</v>
          </cell>
          <cell r="I12">
            <v>353.71965475853261</v>
          </cell>
          <cell r="J12">
            <v>403.55440020006313</v>
          </cell>
          <cell r="K12">
            <v>19.500000000000028</v>
          </cell>
          <cell r="L12">
            <v>18.450000000000014</v>
          </cell>
          <cell r="M12">
            <v>18.800000000000008</v>
          </cell>
          <cell r="N12">
            <v>19.500000000000028</v>
          </cell>
          <cell r="O12">
            <v>18.450000000000014</v>
          </cell>
          <cell r="P12">
            <v>18.800000000000008</v>
          </cell>
          <cell r="Q12">
            <v>27.150000000000016</v>
          </cell>
          <cell r="R12">
            <v>27.6</v>
          </cell>
          <cell r="S12">
            <v>30.45000000000001</v>
          </cell>
          <cell r="T12">
            <v>21.695874300000082</v>
          </cell>
          <cell r="U12">
            <v>37.400000000000013</v>
          </cell>
          <cell r="V12">
            <v>29.200000000000003</v>
          </cell>
          <cell r="W12">
            <v>27.000000000000011</v>
          </cell>
          <cell r="X12">
            <v>32.1</v>
          </cell>
          <cell r="Y12">
            <v>30.699999999999992</v>
          </cell>
          <cell r="Z12">
            <v>47.699999999999989</v>
          </cell>
          <cell r="AA12">
            <v>61.5</v>
          </cell>
          <cell r="AB12">
            <v>52.800000000000011</v>
          </cell>
          <cell r="AC12">
            <v>41.499999999999986</v>
          </cell>
          <cell r="AD12">
            <v>47.69999999999996</v>
          </cell>
          <cell r="AE12">
            <v>54.599999999999994</v>
          </cell>
          <cell r="AF12">
            <v>62.726718500288897</v>
          </cell>
          <cell r="AG12">
            <v>64.074972531631204</v>
          </cell>
          <cell r="AH12">
            <v>64.149036716705623</v>
          </cell>
          <cell r="AI12">
            <v>74.169688644524314</v>
          </cell>
          <cell r="AJ12">
            <v>74.331184622755799</v>
          </cell>
          <cell r="AK12">
            <v>73.529089460366521</v>
          </cell>
          <cell r="AL12">
            <v>70.284893297901959</v>
          </cell>
          <cell r="AM12">
            <v>79.046230081135249</v>
          </cell>
          <cell r="AN12">
            <v>80.378141822487891</v>
          </cell>
          <cell r="AO12">
            <v>78.290310475701801</v>
          </cell>
          <cell r="AP12">
            <v>80.89622511434294</v>
          </cell>
          <cell r="AQ12">
            <v>78.544170614531026</v>
          </cell>
          <cell r="AR12">
            <v>78.044170614531026</v>
          </cell>
          <cell r="AS12">
            <v>77.544170614531026</v>
          </cell>
          <cell r="AT12">
            <v>96.847612000192726</v>
          </cell>
          <cell r="AU12">
            <v>102.73559606662349</v>
          </cell>
          <cell r="AV12">
            <v>102.23559606662349</v>
          </cell>
          <cell r="AW12">
            <v>101.73559606662349</v>
          </cell>
          <cell r="AX12">
            <v>98.865547245695495</v>
          </cell>
          <cell r="AY12">
            <v>104.92759099439303</v>
          </cell>
          <cell r="AZ12">
            <v>104.42759099439303</v>
          </cell>
          <cell r="BA12">
            <v>103.92759099439303</v>
          </cell>
        </row>
        <row r="13">
          <cell r="A13" t="str">
            <v>GAAP Net Income per Unit</v>
          </cell>
          <cell r="B13">
            <v>3.026232948583421</v>
          </cell>
          <cell r="C13">
            <v>2.0900013758239142</v>
          </cell>
          <cell r="D13">
            <v>1.9178082191780841</v>
          </cell>
          <cell r="E13">
            <v>2.7226661960823857</v>
          </cell>
          <cell r="F13">
            <v>2.6558687175686004</v>
          </cell>
          <cell r="G13">
            <v>2.9749305161333197</v>
          </cell>
          <cell r="H13">
            <v>2.9925320407731841</v>
          </cell>
          <cell r="I13">
            <v>2.9941026748962463</v>
          </cell>
          <cell r="J13">
            <v>3.657546391668935</v>
          </cell>
          <cell r="K13">
            <v>0.43721973094170463</v>
          </cell>
          <cell r="L13">
            <v>0.39423076923076955</v>
          </cell>
          <cell r="M13">
            <v>0.3844580777096116</v>
          </cell>
          <cell r="N13">
            <v>0.43721973094170463</v>
          </cell>
          <cell r="O13">
            <v>0.39423076923076955</v>
          </cell>
          <cell r="P13">
            <v>0.3844580777096116</v>
          </cell>
          <cell r="Q13">
            <v>0.53976143141153121</v>
          </cell>
          <cell r="R13">
            <v>0.50491669354127822</v>
          </cell>
          <cell r="S13">
            <v>0.55515041020966294</v>
          </cell>
          <cell r="T13">
            <v>0.38951300359066571</v>
          </cell>
          <cell r="U13">
            <v>0.63400576368876105</v>
          </cell>
          <cell r="V13">
            <v>0.48184818481848191</v>
          </cell>
          <cell r="W13">
            <v>0.43618739903069487</v>
          </cell>
          <cell r="X13">
            <v>0.51690821256038644</v>
          </cell>
          <cell r="Y13">
            <v>0.48270440251572316</v>
          </cell>
          <cell r="Z13">
            <v>0.72602739726027377</v>
          </cell>
          <cell r="AA13">
            <v>0.92323216995447643</v>
          </cell>
          <cell r="AB13">
            <v>0.73640167364016751</v>
          </cell>
          <cell r="AC13">
            <v>0.53617571059431501</v>
          </cell>
          <cell r="AD13">
            <v>0.61304122304615649</v>
          </cell>
          <cell r="AE13">
            <v>0.64121387283236986</v>
          </cell>
          <cell r="AF13">
            <v>0.70416977452006624</v>
          </cell>
          <cell r="AG13">
            <v>0.69903562866700775</v>
          </cell>
          <cell r="AH13">
            <v>0.67723480044717255</v>
          </cell>
          <cell r="AI13">
            <v>0.75848816926497109</v>
          </cell>
          <cell r="AJ13">
            <v>0.73701277858377445</v>
          </cell>
          <cell r="AK13">
            <v>0.70750397167048995</v>
          </cell>
          <cell r="AL13">
            <v>0.66566661165605467</v>
          </cell>
          <cell r="AM13">
            <v>0.73703820387268482</v>
          </cell>
          <cell r="AN13">
            <v>0.73798413371209715</v>
          </cell>
          <cell r="AO13">
            <v>0.70957085944567766</v>
          </cell>
          <cell r="AP13">
            <v>0.7331891217638038</v>
          </cell>
          <cell r="AQ13">
            <v>0.71187167746253754</v>
          </cell>
          <cell r="AR13">
            <v>0.70734001284699166</v>
          </cell>
          <cell r="AS13">
            <v>0.70280834823144578</v>
          </cell>
          <cell r="AT13">
            <v>0.87776179280277988</v>
          </cell>
          <cell r="AU13">
            <v>0.93112653090426434</v>
          </cell>
          <cell r="AV13">
            <v>0.92659486628871846</v>
          </cell>
          <cell r="AW13">
            <v>0.92206320167317257</v>
          </cell>
          <cell r="AX13">
            <v>0.89605100429979556</v>
          </cell>
          <cell r="AY13">
            <v>0.95099330260752291</v>
          </cell>
          <cell r="AZ13">
            <v>0.94646163799197702</v>
          </cell>
          <cell r="BA13">
            <v>0.94192997337643114</v>
          </cell>
        </row>
        <row r="15">
          <cell r="A15" t="str">
            <v>Distributble Cash Flow per Unit</v>
          </cell>
          <cell r="B15">
            <v>4.4281217208814274</v>
          </cell>
          <cell r="C15">
            <v>3.6707153617367636</v>
          </cell>
          <cell r="D15">
            <v>3.6051571313456914</v>
          </cell>
          <cell r="E15">
            <v>4.2092100152521335</v>
          </cell>
          <cell r="F15">
            <v>4.2564277613731862</v>
          </cell>
          <cell r="G15">
            <v>4.4720840088452345</v>
          </cell>
          <cell r="H15">
            <v>3.8984924740889149</v>
          </cell>
          <cell r="I15">
            <v>3.3436915055130494</v>
          </cell>
          <cell r="J15">
            <v>4.1179635166083957</v>
          </cell>
          <cell r="K15">
            <v>0.43721973094170463</v>
          </cell>
          <cell r="L15">
            <v>0.39423076923076955</v>
          </cell>
          <cell r="M15">
            <v>0.3844580777096116</v>
          </cell>
          <cell r="N15">
            <v>0.75000000000000089</v>
          </cell>
          <cell r="O15">
            <v>0.70299145299145349</v>
          </cell>
          <cell r="P15">
            <v>0.69018404907975495</v>
          </cell>
          <cell r="Q15">
            <v>0.84493041749503017</v>
          </cell>
          <cell r="R15">
            <v>0.41984920712943258</v>
          </cell>
          <cell r="S15">
            <v>0.47584320875113961</v>
          </cell>
          <cell r="T15">
            <v>0.87604801256732623</v>
          </cell>
          <cell r="U15">
            <v>1.164604170198339</v>
          </cell>
          <cell r="V15">
            <v>0.88283828382838292</v>
          </cell>
          <cell r="W15">
            <v>0.84006462035541218</v>
          </cell>
          <cell r="X15">
            <v>0.93880837359098213</v>
          </cell>
          <cell r="Y15">
            <v>0.87578616352201233</v>
          </cell>
          <cell r="Z15">
            <v>1.0852359208523588</v>
          </cell>
          <cell r="AA15">
            <v>1.1760242792109252</v>
          </cell>
          <cell r="AB15">
            <v>1.1760242792109257</v>
          </cell>
          <cell r="AC15">
            <v>0.91268496554840151</v>
          </cell>
          <cell r="AD15">
            <v>1.1246246246246241</v>
          </cell>
          <cell r="AE15">
            <v>1.0415412718292403</v>
          </cell>
          <cell r="AF15">
            <v>1.0643134789029931</v>
          </cell>
          <cell r="AG15">
            <v>1.0559348661217738</v>
          </cell>
          <cell r="AH15">
            <v>1.1330988086921205</v>
          </cell>
          <cell r="AI15">
            <v>1.124970049133029</v>
          </cell>
          <cell r="AJ15">
            <v>1.0646130724612359</v>
          </cell>
          <cell r="AK15">
            <v>1.028158298824086</v>
          </cell>
          <cell r="AL15">
            <v>0.94225442930235825</v>
          </cell>
          <cell r="AM15">
            <v>1.0066092900228136</v>
          </cell>
          <cell r="AN15">
            <v>0.99118901590545994</v>
          </cell>
          <cell r="AO15">
            <v>0.82580805683442937</v>
          </cell>
          <cell r="AP15">
            <v>0.8369642414598043</v>
          </cell>
          <cell r="AQ15">
            <v>0.82017846177408404</v>
          </cell>
          <cell r="AR15">
            <v>0.82017846177408404</v>
          </cell>
          <cell r="AS15">
            <v>0.82017846177408404</v>
          </cell>
          <cell r="AT15">
            <v>0.99966357096096403</v>
          </cell>
          <cell r="AU15">
            <v>1.0575599736779944</v>
          </cell>
          <cell r="AV15">
            <v>1.0575599736779944</v>
          </cell>
          <cell r="AW15">
            <v>1.0575599736779944</v>
          </cell>
          <cell r="AX15">
            <v>1.036079440920163</v>
          </cell>
          <cell r="AY15">
            <v>1.0955534038434365</v>
          </cell>
          <cell r="AZ15">
            <v>1.0955534038434367</v>
          </cell>
          <cell r="BA15">
            <v>1.0955534038434365</v>
          </cell>
        </row>
        <row r="16">
          <cell r="A16" t="str">
            <v>LP Cash Distribution per Unit</v>
          </cell>
          <cell r="B16">
            <v>3.7</v>
          </cell>
          <cell r="C16">
            <v>3.7</v>
          </cell>
          <cell r="D16">
            <v>3.7</v>
          </cell>
          <cell r="E16">
            <v>3.7</v>
          </cell>
          <cell r="F16">
            <v>3.7</v>
          </cell>
          <cell r="G16">
            <v>3.7</v>
          </cell>
          <cell r="H16">
            <v>3.7</v>
          </cell>
          <cell r="I16">
            <v>3.7</v>
          </cell>
          <cell r="J16">
            <v>3.7</v>
          </cell>
          <cell r="K16">
            <v>0.92500000000000004</v>
          </cell>
          <cell r="L16">
            <v>0.92500000000000004</v>
          </cell>
          <cell r="M16">
            <v>0.92500000000000004</v>
          </cell>
          <cell r="N16">
            <v>0.92500000000000004</v>
          </cell>
          <cell r="O16">
            <v>0.92500000000000004</v>
          </cell>
          <cell r="P16">
            <v>0.92500000000000004</v>
          </cell>
          <cell r="Q16">
            <v>0.92500000000000004</v>
          </cell>
          <cell r="R16">
            <v>0.92500000000000004</v>
          </cell>
          <cell r="S16">
            <v>0.92500000000000004</v>
          </cell>
          <cell r="T16">
            <v>0.92500000000000004</v>
          </cell>
          <cell r="U16">
            <v>0.92500000000000004</v>
          </cell>
          <cell r="V16">
            <v>0.92500000000000004</v>
          </cell>
          <cell r="W16">
            <v>0.92500000000000004</v>
          </cell>
          <cell r="X16">
            <v>0.92500000000000004</v>
          </cell>
          <cell r="Y16">
            <v>0.92500000000000004</v>
          </cell>
          <cell r="Z16">
            <v>0.92500000000000004</v>
          </cell>
          <cell r="AA16">
            <v>0.92500000000000004</v>
          </cell>
          <cell r="AB16">
            <v>0.92500000000000004</v>
          </cell>
          <cell r="AC16">
            <v>0.92500000000000004</v>
          </cell>
          <cell r="AD16">
            <v>0.92500000000000004</v>
          </cell>
          <cell r="AE16">
            <v>0.92500000000000004</v>
          </cell>
          <cell r="AF16">
            <v>0.92500000000000004</v>
          </cell>
          <cell r="AG16">
            <v>0.92500000000000004</v>
          </cell>
          <cell r="AH16">
            <v>0.92500000000000004</v>
          </cell>
          <cell r="AI16">
            <v>0.92500000000000004</v>
          </cell>
          <cell r="AJ16">
            <v>0.92500000000000004</v>
          </cell>
          <cell r="AK16">
            <v>0.92500000000000004</v>
          </cell>
          <cell r="AL16">
            <v>0.92500000000000004</v>
          </cell>
          <cell r="AM16">
            <v>0.92500000000000004</v>
          </cell>
          <cell r="AN16">
            <v>0.92500000000000004</v>
          </cell>
          <cell r="AO16">
            <v>0.92500000000000004</v>
          </cell>
          <cell r="AP16">
            <v>0.92500000000000004</v>
          </cell>
          <cell r="AQ16">
            <v>0.92500000000000004</v>
          </cell>
          <cell r="AR16">
            <v>0.92500000000000004</v>
          </cell>
          <cell r="AS16">
            <v>0.92500000000000004</v>
          </cell>
          <cell r="AT16">
            <v>0.92500000000000004</v>
          </cell>
          <cell r="AU16">
            <v>0.92500000000000004</v>
          </cell>
          <cell r="AV16">
            <v>0.92500000000000004</v>
          </cell>
          <cell r="AW16">
            <v>0.92500000000000004</v>
          </cell>
          <cell r="AX16">
            <v>0.92500000000000004</v>
          </cell>
          <cell r="AY16">
            <v>0.92500000000000004</v>
          </cell>
          <cell r="AZ16">
            <v>0.92500000000000004</v>
          </cell>
          <cell r="BA16">
            <v>0.92500000000000004</v>
          </cell>
        </row>
        <row r="17">
          <cell r="A17" t="str">
            <v>Growth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</row>
        <row r="18">
          <cell r="A18" t="str">
            <v>Coverage Ratio</v>
          </cell>
          <cell r="B18">
            <v>1.1967896542922776</v>
          </cell>
          <cell r="C18">
            <v>0.99208523290182793</v>
          </cell>
          <cell r="D18">
            <v>0.9743667922555922</v>
          </cell>
          <cell r="E18">
            <v>1.1376243284465224</v>
          </cell>
          <cell r="F18">
            <v>1.1503858814522125</v>
          </cell>
          <cell r="G18">
            <v>1.2086713537419551</v>
          </cell>
          <cell r="H18">
            <v>1.0536466146186256</v>
          </cell>
          <cell r="I18">
            <v>0.90370040689541875</v>
          </cell>
          <cell r="J18">
            <v>1.1129631125968635</v>
          </cell>
          <cell r="K18">
            <v>0.4726699793964374</v>
          </cell>
          <cell r="L18">
            <v>0.4261954261954265</v>
          </cell>
          <cell r="M18">
            <v>0.4156303542806612</v>
          </cell>
          <cell r="N18">
            <v>0.81081081081081174</v>
          </cell>
          <cell r="O18">
            <v>0.75999075999076049</v>
          </cell>
          <cell r="P18">
            <v>0.74614491792405935</v>
          </cell>
          <cell r="Q18">
            <v>0.91343828918381631</v>
          </cell>
          <cell r="R18">
            <v>0.45389103473452169</v>
          </cell>
          <cell r="S18">
            <v>0.51442509054177255</v>
          </cell>
          <cell r="T18">
            <v>0.94707893250521746</v>
          </cell>
          <cell r="U18">
            <v>1.2590315353495556</v>
          </cell>
          <cell r="V18">
            <v>0.95441976630095449</v>
          </cell>
          <cell r="W18">
            <v>0.90817796795179695</v>
          </cell>
          <cell r="X18">
            <v>1.0149279714497104</v>
          </cell>
          <cell r="Y18">
            <v>0.94679585245622955</v>
          </cell>
          <cell r="Z18">
            <v>1.1732280225430904</v>
          </cell>
          <cell r="AA18">
            <v>1.271377599146946</v>
          </cell>
          <cell r="AB18">
            <v>1.2713775991469467</v>
          </cell>
          <cell r="AC18">
            <v>0.98668644924151505</v>
          </cell>
          <cell r="AD18">
            <v>1.2158104049995935</v>
          </cell>
          <cell r="AE18">
            <v>1.1259905641397192</v>
          </cell>
          <cell r="AF18">
            <v>1.150609166381614</v>
          </cell>
          <cell r="AG18">
            <v>1.1415512066181337</v>
          </cell>
          <cell r="AH18">
            <v>1.2249716850725627</v>
          </cell>
          <cell r="AI18">
            <v>1.2161838369005717</v>
          </cell>
          <cell r="AJ18">
            <v>1.1509330513094442</v>
          </cell>
          <cell r="AK18">
            <v>1.1115224852152281</v>
          </cell>
          <cell r="AL18">
            <v>1.0186534370836304</v>
          </cell>
          <cell r="AM18">
            <v>1.0882262594841228</v>
          </cell>
          <cell r="AN18">
            <v>1.0715556928707675</v>
          </cell>
          <cell r="AO18">
            <v>0.89276546684803171</v>
          </cell>
          <cell r="AP18">
            <v>0.90482620698357219</v>
          </cell>
          <cell r="AQ18">
            <v>0.88667941813414486</v>
          </cell>
          <cell r="AR18">
            <v>0.88667941813414486</v>
          </cell>
          <cell r="AS18">
            <v>0.88667941813414486</v>
          </cell>
          <cell r="AT18">
            <v>1.080717374011853</v>
          </cell>
          <cell r="AU18">
            <v>1.1433080796518857</v>
          </cell>
          <cell r="AV18">
            <v>1.1433080796518857</v>
          </cell>
          <cell r="AW18">
            <v>1.1433080796518857</v>
          </cell>
          <cell r="AX18">
            <v>1.1200858820758519</v>
          </cell>
          <cell r="AY18">
            <v>1.1843820582091205</v>
          </cell>
          <cell r="AZ18">
            <v>1.1843820582091207</v>
          </cell>
          <cell r="BA18">
            <v>1.1843820582091205</v>
          </cell>
        </row>
        <row r="20">
          <cell r="A20" t="str">
            <v>Diluted LP Units Outstanding (mm)</v>
          </cell>
          <cell r="B20">
            <v>47.650000000000006</v>
          </cell>
          <cell r="C20">
            <v>56.050620662304183</v>
          </cell>
          <cell r="D20">
            <v>62.05</v>
          </cell>
          <cell r="E20">
            <v>65.974375000000009</v>
          </cell>
          <cell r="F20">
            <v>74.734427286343958</v>
          </cell>
          <cell r="G20">
            <v>85.722930075485664</v>
          </cell>
          <cell r="H20">
            <v>98.556623751854303</v>
          </cell>
          <cell r="I20">
            <v>118.13878586204127</v>
          </cell>
          <cell r="J20">
            <v>110.33473180798717</v>
          </cell>
          <cell r="K20">
            <v>44.6</v>
          </cell>
          <cell r="L20">
            <v>46.8</v>
          </cell>
          <cell r="M20">
            <v>48.9</v>
          </cell>
          <cell r="N20">
            <v>44.6</v>
          </cell>
          <cell r="O20">
            <v>46.8</v>
          </cell>
          <cell r="P20">
            <v>48.9</v>
          </cell>
          <cell r="Q20">
            <v>50.3</v>
          </cell>
          <cell r="R20">
            <v>54.662482649216734</v>
          </cell>
          <cell r="S20">
            <v>54.85</v>
          </cell>
          <cell r="T20">
            <v>55.7</v>
          </cell>
          <cell r="U20">
            <v>58.99</v>
          </cell>
          <cell r="V20">
            <v>60.6</v>
          </cell>
          <cell r="W20">
            <v>61.9</v>
          </cell>
          <cell r="X20">
            <v>62.1</v>
          </cell>
          <cell r="Y20">
            <v>63.6</v>
          </cell>
          <cell r="Z20">
            <v>65.7</v>
          </cell>
          <cell r="AA20">
            <v>65.900000000000006</v>
          </cell>
          <cell r="AB20">
            <v>65.900000000000006</v>
          </cell>
          <cell r="AC20">
            <v>66.397500000000008</v>
          </cell>
          <cell r="AD20">
            <v>66.599999999999994</v>
          </cell>
          <cell r="AE20">
            <v>75.081038183593748</v>
          </cell>
          <cell r="AF20">
            <v>77.445903048458618</v>
          </cell>
          <cell r="AG20">
            <v>79.810767913323488</v>
          </cell>
          <cell r="AH20">
            <v>82.648605751161327</v>
          </cell>
          <cell r="AI20">
            <v>85.486443588999165</v>
          </cell>
          <cell r="AJ20">
            <v>88.324281426837004</v>
          </cell>
          <cell r="AK20">
            <v>91.162119264674843</v>
          </cell>
          <cell r="AL20">
            <v>92.581038183593762</v>
          </cell>
          <cell r="AM20">
            <v>93.999957102512681</v>
          </cell>
          <cell r="AN20">
            <v>95.418876021431601</v>
          </cell>
          <cell r="AO20">
            <v>110.33473180798717</v>
          </cell>
          <cell r="AP20">
            <v>110.33473180798717</v>
          </cell>
          <cell r="AQ20">
            <v>110.33473180798717</v>
          </cell>
          <cell r="AR20">
            <v>110.33473180798717</v>
          </cell>
          <cell r="AS20">
            <v>110.33473180798717</v>
          </cell>
          <cell r="AT20">
            <v>110.33473180798717</v>
          </cell>
          <cell r="AU20">
            <v>110.33473180798717</v>
          </cell>
          <cell r="AV20">
            <v>110.33473180798717</v>
          </cell>
          <cell r="AW20">
            <v>110.33473180798717</v>
          </cell>
          <cell r="AX20">
            <v>110.33473180798717</v>
          </cell>
          <cell r="AY20">
            <v>110.33473180798717</v>
          </cell>
          <cell r="AZ20">
            <v>110.33473180798717</v>
          </cell>
          <cell r="BA20">
            <v>110.33473180798717</v>
          </cell>
        </row>
        <row r="21">
          <cell r="A21" t="str">
            <v>Class C - Units</v>
          </cell>
          <cell r="C21">
            <v>0</v>
          </cell>
          <cell r="D21">
            <v>0</v>
          </cell>
          <cell r="E21">
            <v>8.401250000000001</v>
          </cell>
          <cell r="F21">
            <v>11.528003351288795</v>
          </cell>
          <cell r="G21">
            <v>12.417225870547755</v>
          </cell>
          <cell r="H21">
            <v>9.9375382302278972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11.002500000000001</v>
          </cell>
          <cell r="AA21">
            <v>11.208796875000001</v>
          </cell>
          <cell r="AB21">
            <v>5.8</v>
          </cell>
          <cell r="AC21">
            <v>11.002500000000001</v>
          </cell>
          <cell r="AD21">
            <v>11.208796875000001</v>
          </cell>
          <cell r="AE21">
            <v>11.418961816406251</v>
          </cell>
          <cell r="AF21">
            <v>11.633067350463868</v>
          </cell>
          <cell r="AG21">
            <v>11.851187363285066</v>
          </cell>
          <cell r="AH21">
            <v>12.073397126346661</v>
          </cell>
          <cell r="AI21">
            <v>12.299773322465661</v>
          </cell>
          <cell r="AJ21">
            <v>12.530394072261892</v>
          </cell>
          <cell r="AK21">
            <v>12.765338961116802</v>
          </cell>
          <cell r="AL21">
            <v>13.004689066637741</v>
          </cell>
          <cell r="AM21">
            <v>13.248526986637199</v>
          </cell>
          <cell r="AN21">
            <v>13.496936867636647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</row>
        <row r="22">
          <cell r="A22" t="str">
            <v>Basic LP Units Outstanding (mm)</v>
          </cell>
          <cell r="B22">
            <v>47.650000000000006</v>
          </cell>
          <cell r="C22">
            <v>56.050620662304183</v>
          </cell>
          <cell r="D22">
            <v>62.05</v>
          </cell>
          <cell r="E22">
            <v>70.175000000000011</v>
          </cell>
          <cell r="F22">
            <v>86.262430637632747</v>
          </cell>
          <cell r="G22">
            <v>98.140155946033417</v>
          </cell>
          <cell r="H22">
            <v>108.4941619820822</v>
          </cell>
          <cell r="I22">
            <v>118.13878586204127</v>
          </cell>
          <cell r="J22">
            <v>110.33473180798717</v>
          </cell>
          <cell r="K22">
            <v>44.6</v>
          </cell>
          <cell r="L22">
            <v>46.8</v>
          </cell>
          <cell r="M22">
            <v>48.9</v>
          </cell>
          <cell r="N22">
            <v>44.6</v>
          </cell>
          <cell r="O22">
            <v>46.8</v>
          </cell>
          <cell r="P22">
            <v>48.9</v>
          </cell>
          <cell r="Q22">
            <v>50.3</v>
          </cell>
          <cell r="R22">
            <v>54.662482649216734</v>
          </cell>
          <cell r="S22">
            <v>54.85</v>
          </cell>
          <cell r="T22">
            <v>55.7</v>
          </cell>
          <cell r="U22">
            <v>58.99</v>
          </cell>
          <cell r="V22">
            <v>60.6</v>
          </cell>
          <cell r="W22">
            <v>61.9</v>
          </cell>
          <cell r="X22">
            <v>62.1</v>
          </cell>
          <cell r="Y22">
            <v>63.6</v>
          </cell>
          <cell r="Z22">
            <v>65.7</v>
          </cell>
          <cell r="AA22">
            <v>65.900000000000006</v>
          </cell>
          <cell r="AB22">
            <v>71.7</v>
          </cell>
          <cell r="AC22">
            <v>77.400000000000006</v>
          </cell>
          <cell r="AD22">
            <v>77.808796874999999</v>
          </cell>
          <cell r="AE22">
            <v>86.5</v>
          </cell>
          <cell r="AF22">
            <v>89.078970398922479</v>
          </cell>
          <cell r="AG22">
            <v>91.661955276608552</v>
          </cell>
          <cell r="AH22">
            <v>94.72200287750799</v>
          </cell>
          <cell r="AI22">
            <v>97.786216911464834</v>
          </cell>
          <cell r="AJ22">
            <v>100.8546754990989</v>
          </cell>
          <cell r="AK22">
            <v>103.92745822579164</v>
          </cell>
          <cell r="AL22">
            <v>105.5857272502315</v>
          </cell>
          <cell r="AM22">
            <v>107.24848408914988</v>
          </cell>
          <cell r="AN22">
            <v>108.91581288906825</v>
          </cell>
          <cell r="AO22">
            <v>110.33473180798717</v>
          </cell>
          <cell r="AP22">
            <v>110.33473180798717</v>
          </cell>
          <cell r="AQ22">
            <v>110.33473180798717</v>
          </cell>
          <cell r="AR22">
            <v>110.33473180798717</v>
          </cell>
          <cell r="AS22">
            <v>110.33473180798717</v>
          </cell>
          <cell r="AT22">
            <v>110.33473180798717</v>
          </cell>
          <cell r="AU22">
            <v>110.33473180798717</v>
          </cell>
          <cell r="AV22">
            <v>110.33473180798717</v>
          </cell>
          <cell r="AW22">
            <v>110.33473180798717</v>
          </cell>
          <cell r="AX22">
            <v>110.33473180798717</v>
          </cell>
          <cell r="AY22">
            <v>110.33473180798717</v>
          </cell>
          <cell r="AZ22">
            <v>110.33473180798717</v>
          </cell>
          <cell r="BA22">
            <v>110.33473180798717</v>
          </cell>
        </row>
        <row r="23">
          <cell r="A23" t="str">
            <v>Period Ending LP Units Outstanding (mm)</v>
          </cell>
          <cell r="B23">
            <v>48.169522499999999</v>
          </cell>
          <cell r="C23">
            <v>56.050620662304183</v>
          </cell>
          <cell r="D23">
            <v>62.05</v>
          </cell>
          <cell r="E23">
            <v>70.175000000000011</v>
          </cell>
          <cell r="F23">
            <v>86.262430637632747</v>
          </cell>
          <cell r="G23">
            <v>98.140155946033417</v>
          </cell>
          <cell r="H23">
            <v>108.4941619820822</v>
          </cell>
          <cell r="I23">
            <v>118.13878586204127</v>
          </cell>
          <cell r="J23">
            <v>110.33473180798717</v>
          </cell>
          <cell r="K23">
            <v>44.680726000000007</v>
          </cell>
          <cell r="L23">
            <v>48.752727</v>
          </cell>
          <cell r="M23">
            <v>48.944637</v>
          </cell>
          <cell r="N23">
            <v>44.680726000000007</v>
          </cell>
          <cell r="O23">
            <v>48.752727</v>
          </cell>
          <cell r="P23">
            <v>48.944637</v>
          </cell>
          <cell r="Q23">
            <v>50.3</v>
          </cell>
          <cell r="R23">
            <v>54.662482649216734</v>
          </cell>
          <cell r="S23">
            <v>54.85</v>
          </cell>
          <cell r="T23">
            <v>55.7</v>
          </cell>
          <cell r="U23">
            <v>58.99</v>
          </cell>
          <cell r="V23">
            <v>60.6</v>
          </cell>
          <cell r="W23">
            <v>61.9</v>
          </cell>
          <cell r="X23">
            <v>62.1</v>
          </cell>
          <cell r="Y23">
            <v>63.6</v>
          </cell>
          <cell r="Z23">
            <v>65.7</v>
          </cell>
          <cell r="AA23">
            <v>65.900000000000006</v>
          </cell>
          <cell r="AB23">
            <v>71.7</v>
          </cell>
          <cell r="AC23">
            <v>77.400000000000006</v>
          </cell>
          <cell r="AD23">
            <v>77.808796874999999</v>
          </cell>
          <cell r="AE23">
            <v>86.5</v>
          </cell>
          <cell r="AF23">
            <v>89.078970398922479</v>
          </cell>
          <cell r="AG23">
            <v>91.661955276608552</v>
          </cell>
          <cell r="AH23">
            <v>94.72200287750799</v>
          </cell>
          <cell r="AI23">
            <v>97.786216911464834</v>
          </cell>
          <cell r="AJ23">
            <v>100.8546754990989</v>
          </cell>
          <cell r="AK23">
            <v>103.92745822579164</v>
          </cell>
          <cell r="AL23">
            <v>105.5857272502315</v>
          </cell>
          <cell r="AM23">
            <v>107.24848408914988</v>
          </cell>
          <cell r="AN23">
            <v>108.91581288906825</v>
          </cell>
          <cell r="AO23">
            <v>110.33473180798717</v>
          </cell>
          <cell r="AP23">
            <v>110.33473180798717</v>
          </cell>
          <cell r="AQ23">
            <v>110.33473180798717</v>
          </cell>
          <cell r="AR23">
            <v>110.33473180798717</v>
          </cell>
          <cell r="AS23">
            <v>110.33473180798717</v>
          </cell>
          <cell r="AT23">
            <v>110.33473180798717</v>
          </cell>
          <cell r="AU23">
            <v>110.33473180798717</v>
          </cell>
          <cell r="AV23">
            <v>110.33473180798717</v>
          </cell>
          <cell r="AW23">
            <v>110.33473180798717</v>
          </cell>
          <cell r="AX23">
            <v>110.33473180798717</v>
          </cell>
          <cell r="AY23">
            <v>110.33473180798717</v>
          </cell>
          <cell r="AZ23">
            <v>110.33473180798717</v>
          </cell>
          <cell r="BA23">
            <v>110.33473180798717</v>
          </cell>
        </row>
        <row r="26">
          <cell r="A26" t="str">
            <v>Net Income (Continuing Operations)</v>
          </cell>
          <cell r="B26">
            <v>163.80000000000001</v>
          </cell>
          <cell r="C26">
            <v>139.74999999999997</v>
          </cell>
          <cell r="D26">
            <v>143.10000000000011</v>
          </cell>
          <cell r="E26">
            <v>232.40000000000003</v>
          </cell>
          <cell r="F26">
            <v>262.84206954036665</v>
          </cell>
          <cell r="G26">
            <v>328.46185342272372</v>
          </cell>
          <cell r="H26">
            <v>366.63868387311811</v>
          </cell>
          <cell r="I26">
            <v>404.02436945873194</v>
          </cell>
          <cell r="J26">
            <v>450.53606811398038</v>
          </cell>
          <cell r="K26">
            <v>24.400000000000031</v>
          </cell>
          <cell r="L26">
            <v>23.150000000000013</v>
          </cell>
          <cell r="M26">
            <v>23.500000000000007</v>
          </cell>
          <cell r="N26">
            <v>24.400000000000031</v>
          </cell>
          <cell r="O26">
            <v>23.150000000000013</v>
          </cell>
          <cell r="P26">
            <v>23.500000000000007</v>
          </cell>
          <cell r="Q26">
            <v>32.350000000000016</v>
          </cell>
          <cell r="R26">
            <v>33.1</v>
          </cell>
          <cell r="S26">
            <v>35.95000000000001</v>
          </cell>
          <cell r="T26">
            <v>27.299999999999994</v>
          </cell>
          <cell r="U26">
            <v>43.400000000000013</v>
          </cell>
          <cell r="V26">
            <v>35.200000000000003</v>
          </cell>
          <cell r="W26">
            <v>32.800000000000011</v>
          </cell>
          <cell r="X26">
            <v>38.200000000000003</v>
          </cell>
          <cell r="Y26">
            <v>36.899999999999991</v>
          </cell>
          <cell r="Z26">
            <v>53.399999999999991</v>
          </cell>
          <cell r="AA26">
            <v>68.7</v>
          </cell>
          <cell r="AB26">
            <v>61.000000000000014</v>
          </cell>
          <cell r="AC26">
            <v>49.499999999999986</v>
          </cell>
          <cell r="AD26">
            <v>55.399999999999963</v>
          </cell>
          <cell r="AE26">
            <v>63.899999999999991</v>
          </cell>
          <cell r="AF26">
            <v>70.971034770183337</v>
          </cell>
          <cell r="AG26">
            <v>72.571034770183388</v>
          </cell>
          <cell r="AH26">
            <v>72.947194117647086</v>
          </cell>
          <cell r="AI26">
            <v>83.269941207855055</v>
          </cell>
          <cell r="AJ26">
            <v>83.733532348475819</v>
          </cell>
          <cell r="AK26">
            <v>83.233532348475819</v>
          </cell>
          <cell r="AL26">
            <v>80.14038376720589</v>
          </cell>
          <cell r="AM26">
            <v>89.052768131633826</v>
          </cell>
          <cell r="AN26">
            <v>90.535727454181114</v>
          </cell>
          <cell r="AO26">
            <v>90.035727454181114</v>
          </cell>
          <cell r="AP26">
            <v>92.641642092822252</v>
          </cell>
          <cell r="AQ26">
            <v>90.289587593010339</v>
          </cell>
          <cell r="AR26">
            <v>89.789587593010339</v>
          </cell>
          <cell r="AS26">
            <v>89.289587593010339</v>
          </cell>
          <cell r="AT26">
            <v>108.59302897867204</v>
          </cell>
          <cell r="AU26">
            <v>114.4810130451028</v>
          </cell>
          <cell r="AV26">
            <v>113.9810130451028</v>
          </cell>
          <cell r="AW26">
            <v>113.4810130451028</v>
          </cell>
          <cell r="AX26">
            <v>110.61096422417481</v>
          </cell>
          <cell r="AY26">
            <v>116.67300797287234</v>
          </cell>
          <cell r="AZ26">
            <v>116.17300797287234</v>
          </cell>
          <cell r="BA26">
            <v>115.67300797287234</v>
          </cell>
        </row>
        <row r="27">
          <cell r="A27" t="str">
            <v>+ Interest Expense (Net)</v>
          </cell>
          <cell r="B27">
            <v>85.000000000000014</v>
          </cell>
          <cell r="C27">
            <v>88.4</v>
          </cell>
          <cell r="D27">
            <v>107.69999999999999</v>
          </cell>
          <cell r="E27">
            <v>103.1</v>
          </cell>
          <cell r="F27">
            <v>103.35</v>
          </cell>
          <cell r="G27">
            <v>140.6</v>
          </cell>
          <cell r="H27">
            <v>174.35</v>
          </cell>
          <cell r="I27">
            <v>188.1</v>
          </cell>
          <cell r="J27">
            <v>154.35</v>
          </cell>
          <cell r="K27">
            <v>21.3</v>
          </cell>
          <cell r="L27">
            <v>21.6</v>
          </cell>
          <cell r="M27">
            <v>21.4</v>
          </cell>
          <cell r="N27">
            <v>21.3</v>
          </cell>
          <cell r="O27">
            <v>21.6</v>
          </cell>
          <cell r="P27">
            <v>21.4</v>
          </cell>
          <cell r="Q27">
            <v>20.7</v>
          </cell>
          <cell r="R27">
            <v>21.6</v>
          </cell>
          <cell r="S27">
            <v>22</v>
          </cell>
          <cell r="T27">
            <v>22.2</v>
          </cell>
          <cell r="U27">
            <v>22.6</v>
          </cell>
          <cell r="V27">
            <v>25.6</v>
          </cell>
          <cell r="W27">
            <v>25.6</v>
          </cell>
          <cell r="X27">
            <v>28.4</v>
          </cell>
          <cell r="Y27">
            <v>28.1</v>
          </cell>
          <cell r="Z27">
            <v>26.9</v>
          </cell>
          <cell r="AA27">
            <v>23.200000000000003</v>
          </cell>
          <cell r="AB27">
            <v>26.5</v>
          </cell>
          <cell r="AC27">
            <v>26.5</v>
          </cell>
          <cell r="AD27">
            <v>25.3</v>
          </cell>
          <cell r="AE27">
            <v>21.5</v>
          </cell>
          <cell r="AF27">
            <v>28.274999999999999</v>
          </cell>
          <cell r="AG27">
            <v>28.274999999999999</v>
          </cell>
          <cell r="AH27">
            <v>35.15</v>
          </cell>
          <cell r="AI27">
            <v>35.15</v>
          </cell>
          <cell r="AJ27">
            <v>35.15</v>
          </cell>
          <cell r="AK27">
            <v>35.15</v>
          </cell>
          <cell r="AL27">
            <v>43.587499999999999</v>
          </cell>
          <cell r="AM27">
            <v>43.587499999999999</v>
          </cell>
          <cell r="AN27">
            <v>43.587499999999999</v>
          </cell>
          <cell r="AO27">
            <v>43.587499999999999</v>
          </cell>
          <cell r="AP27">
            <v>43.587499999999999</v>
          </cell>
          <cell r="AQ27">
            <v>43.587499999999999</v>
          </cell>
          <cell r="AR27">
            <v>43.587499999999999</v>
          </cell>
          <cell r="AS27">
            <v>43.587499999999999</v>
          </cell>
          <cell r="AT27">
            <v>38.587499999999999</v>
          </cell>
          <cell r="AU27">
            <v>38.587499999999999</v>
          </cell>
          <cell r="AV27">
            <v>38.587499999999999</v>
          </cell>
          <cell r="AW27">
            <v>38.587499999999999</v>
          </cell>
          <cell r="AX27">
            <v>38.587499999999999</v>
          </cell>
          <cell r="AY27">
            <v>38.587499999999999</v>
          </cell>
          <cell r="AZ27">
            <v>38.587499999999999</v>
          </cell>
          <cell r="BA27">
            <v>38.587499999999999</v>
          </cell>
        </row>
        <row r="28">
          <cell r="A28" t="str">
            <v>+ DD&amp;A</v>
          </cell>
          <cell r="B28">
            <v>93.8</v>
          </cell>
          <cell r="C28">
            <v>120.19999999999999</v>
          </cell>
          <cell r="D28">
            <v>137.69999999999999</v>
          </cell>
          <cell r="E28">
            <v>134.4</v>
          </cell>
          <cell r="F28">
            <v>155.40000000000003</v>
          </cell>
          <cell r="G28">
            <v>165.8</v>
          </cell>
          <cell r="H28">
            <v>173.8</v>
          </cell>
          <cell r="I28">
            <v>181.8</v>
          </cell>
          <cell r="J28">
            <v>183.8</v>
          </cell>
          <cell r="K28">
            <v>0</v>
          </cell>
          <cell r="L28">
            <v>0</v>
          </cell>
          <cell r="M28">
            <v>0</v>
          </cell>
          <cell r="N28">
            <v>47.2</v>
          </cell>
          <cell r="O28">
            <v>47.7</v>
          </cell>
          <cell r="P28">
            <v>48.2</v>
          </cell>
          <cell r="Q28">
            <v>48.7</v>
          </cell>
          <cell r="R28">
            <v>28.6</v>
          </cell>
          <cell r="S28">
            <v>28.9</v>
          </cell>
          <cell r="T28">
            <v>31.6</v>
          </cell>
          <cell r="U28">
            <v>31.1</v>
          </cell>
          <cell r="V28">
            <v>33.200000000000003</v>
          </cell>
          <cell r="W28">
            <v>33.9</v>
          </cell>
          <cell r="X28">
            <v>36.400000000000006</v>
          </cell>
          <cell r="Y28">
            <v>34.200000000000003</v>
          </cell>
          <cell r="Z28">
            <v>32.5</v>
          </cell>
          <cell r="AA28">
            <v>33.799999999999997</v>
          </cell>
          <cell r="AB28">
            <v>34.700000000000003</v>
          </cell>
          <cell r="AC28">
            <v>33.400000000000006</v>
          </cell>
          <cell r="AD28">
            <v>36.4</v>
          </cell>
          <cell r="AE28">
            <v>39.099999999999994</v>
          </cell>
          <cell r="AF28">
            <v>39.70000000000001</v>
          </cell>
          <cell r="AG28">
            <v>40.200000000000003</v>
          </cell>
          <cell r="AH28">
            <v>40.700000000000003</v>
          </cell>
          <cell r="AI28">
            <v>41.2</v>
          </cell>
          <cell r="AJ28">
            <v>41.7</v>
          </cell>
          <cell r="AK28">
            <v>42.2</v>
          </cell>
          <cell r="AL28">
            <v>42.7</v>
          </cell>
          <cell r="AM28">
            <v>43.2</v>
          </cell>
          <cell r="AN28">
            <v>43.7</v>
          </cell>
          <cell r="AO28">
            <v>44.2</v>
          </cell>
          <cell r="AP28">
            <v>44.7</v>
          </cell>
          <cell r="AQ28">
            <v>45.2</v>
          </cell>
          <cell r="AR28">
            <v>45.7</v>
          </cell>
          <cell r="AS28">
            <v>46.2</v>
          </cell>
          <cell r="AT28">
            <v>46.7</v>
          </cell>
          <cell r="AU28">
            <v>47.2</v>
          </cell>
          <cell r="AV28">
            <v>47.7</v>
          </cell>
          <cell r="AW28">
            <v>48.2</v>
          </cell>
          <cell r="AX28">
            <v>48.7</v>
          </cell>
          <cell r="AY28">
            <v>49.2</v>
          </cell>
          <cell r="AZ28">
            <v>49.70000000000001</v>
          </cell>
          <cell r="BA28">
            <v>50.2</v>
          </cell>
        </row>
        <row r="29">
          <cell r="A29" t="str">
            <v>+ Other/Working Cap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0.1</v>
          </cell>
          <cell r="U29">
            <v>0.2</v>
          </cell>
          <cell r="V29">
            <v>0</v>
          </cell>
          <cell r="W29">
            <v>0</v>
          </cell>
          <cell r="X29">
            <v>0.1</v>
          </cell>
          <cell r="Y29">
            <v>0.1</v>
          </cell>
          <cell r="Z29">
            <v>0</v>
          </cell>
          <cell r="AA29">
            <v>-1.7</v>
          </cell>
          <cell r="AB29">
            <v>0</v>
          </cell>
          <cell r="AC29">
            <v>0.2</v>
          </cell>
          <cell r="AD29">
            <v>0</v>
          </cell>
          <cell r="AE29">
            <v>1.7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</row>
        <row r="30">
          <cell r="A30" t="str">
            <v>EBITDA</v>
          </cell>
          <cell r="B30">
            <v>342.6</v>
          </cell>
          <cell r="C30">
            <v>348.34999999999997</v>
          </cell>
          <cell r="D30">
            <v>388.50000000000011</v>
          </cell>
          <cell r="E30">
            <v>469.9</v>
          </cell>
          <cell r="F30">
            <v>521.59206954036677</v>
          </cell>
          <cell r="G30">
            <v>634.8618534227237</v>
          </cell>
          <cell r="H30">
            <v>714.78868387311809</v>
          </cell>
          <cell r="I30">
            <v>773.92436945873192</v>
          </cell>
          <cell r="J30">
            <v>788.68606811398035</v>
          </cell>
          <cell r="K30">
            <v>45.700000000000031</v>
          </cell>
          <cell r="L30">
            <v>44.750000000000014</v>
          </cell>
          <cell r="M30">
            <v>44.900000000000006</v>
          </cell>
          <cell r="N30">
            <v>92.900000000000034</v>
          </cell>
          <cell r="O30">
            <v>92.450000000000017</v>
          </cell>
          <cell r="P30">
            <v>93.100000000000009</v>
          </cell>
          <cell r="Q30">
            <v>101.75000000000001</v>
          </cell>
          <cell r="R30">
            <v>83.300000000000011</v>
          </cell>
          <cell r="S30">
            <v>86.850000000000009</v>
          </cell>
          <cell r="T30">
            <v>81.199999999999989</v>
          </cell>
          <cell r="U30">
            <v>97.300000000000026</v>
          </cell>
          <cell r="V30">
            <v>94</v>
          </cell>
          <cell r="W30">
            <v>92.300000000000011</v>
          </cell>
          <cell r="X30">
            <v>103.1</v>
          </cell>
          <cell r="Y30">
            <v>99.3</v>
          </cell>
          <cell r="Z30">
            <v>112.79999999999998</v>
          </cell>
          <cell r="AA30">
            <v>124</v>
          </cell>
          <cell r="AB30">
            <v>122.20000000000002</v>
          </cell>
          <cell r="AC30">
            <v>109.6</v>
          </cell>
          <cell r="AD30">
            <v>117.09999999999997</v>
          </cell>
          <cell r="AE30">
            <v>126.19999999999999</v>
          </cell>
          <cell r="AF30">
            <v>138.94603477018336</v>
          </cell>
          <cell r="AG30">
            <v>141.04603477018338</v>
          </cell>
          <cell r="AH30">
            <v>148.79719411764711</v>
          </cell>
          <cell r="AI30">
            <v>159.61994120785505</v>
          </cell>
          <cell r="AJ30">
            <v>160.58353234847584</v>
          </cell>
          <cell r="AK30">
            <v>160.58353234847584</v>
          </cell>
          <cell r="AL30">
            <v>166.42788376720591</v>
          </cell>
          <cell r="AM30">
            <v>175.84026813163382</v>
          </cell>
          <cell r="AN30">
            <v>177.82322745418111</v>
          </cell>
          <cell r="AO30">
            <v>177.82322745418111</v>
          </cell>
          <cell r="AP30">
            <v>180.92914209282225</v>
          </cell>
          <cell r="AQ30">
            <v>179.07708759301033</v>
          </cell>
          <cell r="AR30">
            <v>179.07708759301033</v>
          </cell>
          <cell r="AS30">
            <v>179.07708759301033</v>
          </cell>
          <cell r="AT30">
            <v>193.88052897867203</v>
          </cell>
          <cell r="AU30">
            <v>200.26851304510279</v>
          </cell>
          <cell r="AV30">
            <v>200.26851304510279</v>
          </cell>
          <cell r="AW30">
            <v>200.26851304510279</v>
          </cell>
          <cell r="AX30">
            <v>197.8984642241748</v>
          </cell>
          <cell r="AY30">
            <v>204.46050797287234</v>
          </cell>
          <cell r="AZ30">
            <v>204.46050797287236</v>
          </cell>
          <cell r="BA30">
            <v>204.46050797287234</v>
          </cell>
        </row>
        <row r="31">
          <cell r="A31" t="str">
            <v>- Less Interest Expense</v>
          </cell>
          <cell r="B31">
            <v>-85.000000000000014</v>
          </cell>
          <cell r="C31">
            <v>-88.4</v>
          </cell>
          <cell r="D31">
            <v>-107.69999999999999</v>
          </cell>
          <cell r="E31">
            <v>-103.1</v>
          </cell>
          <cell r="F31">
            <v>-103.35</v>
          </cell>
          <cell r="G31">
            <v>-140.6</v>
          </cell>
          <cell r="H31">
            <v>-174.35</v>
          </cell>
          <cell r="I31">
            <v>-188.1</v>
          </cell>
          <cell r="J31">
            <v>-154.35</v>
          </cell>
          <cell r="K31">
            <v>-21.3</v>
          </cell>
          <cell r="L31">
            <v>-21.6</v>
          </cell>
          <cell r="M31">
            <v>-21.4</v>
          </cell>
          <cell r="N31">
            <v>-21.3</v>
          </cell>
          <cell r="O31">
            <v>-21.6</v>
          </cell>
          <cell r="P31">
            <v>-21.4</v>
          </cell>
          <cell r="Q31">
            <v>-20.7</v>
          </cell>
          <cell r="R31">
            <v>-21.6</v>
          </cell>
          <cell r="S31">
            <v>-22</v>
          </cell>
          <cell r="T31">
            <v>-22.2</v>
          </cell>
          <cell r="U31">
            <v>-22.6</v>
          </cell>
          <cell r="V31">
            <v>-25.6</v>
          </cell>
          <cell r="W31">
            <v>-25.6</v>
          </cell>
          <cell r="X31">
            <v>-28.4</v>
          </cell>
          <cell r="Y31">
            <v>-28.1</v>
          </cell>
          <cell r="Z31">
            <v>-26.9</v>
          </cell>
          <cell r="AA31">
            <v>-23.200000000000003</v>
          </cell>
          <cell r="AB31">
            <v>-26.5</v>
          </cell>
          <cell r="AC31">
            <v>-26.5</v>
          </cell>
          <cell r="AD31">
            <v>-25.3</v>
          </cell>
          <cell r="AE31">
            <v>-21.5</v>
          </cell>
          <cell r="AF31">
            <v>-28.274999999999999</v>
          </cell>
          <cell r="AG31">
            <v>-28.274999999999999</v>
          </cell>
          <cell r="AH31">
            <v>-35.15</v>
          </cell>
          <cell r="AI31">
            <v>-35.15</v>
          </cell>
          <cell r="AJ31">
            <v>-35.15</v>
          </cell>
          <cell r="AK31">
            <v>-35.15</v>
          </cell>
          <cell r="AL31">
            <v>-43.587499999999999</v>
          </cell>
          <cell r="AM31">
            <v>-43.587499999999999</v>
          </cell>
          <cell r="AN31">
            <v>-43.587499999999999</v>
          </cell>
          <cell r="AO31">
            <v>-43.587499999999999</v>
          </cell>
          <cell r="AP31">
            <v>-43.587499999999999</v>
          </cell>
          <cell r="AQ31">
            <v>-43.587499999999999</v>
          </cell>
          <cell r="AR31">
            <v>-43.587499999999999</v>
          </cell>
          <cell r="AS31">
            <v>-43.587499999999999</v>
          </cell>
          <cell r="AT31">
            <v>-38.587499999999999</v>
          </cell>
          <cell r="AU31">
            <v>-38.587499999999999</v>
          </cell>
          <cell r="AV31">
            <v>-38.587499999999999</v>
          </cell>
          <cell r="AW31">
            <v>-38.587499999999999</v>
          </cell>
          <cell r="AX31">
            <v>-38.587499999999999</v>
          </cell>
          <cell r="AY31">
            <v>-38.587499999999999</v>
          </cell>
          <cell r="AZ31">
            <v>-38.587499999999999</v>
          </cell>
          <cell r="BA31">
            <v>-38.587499999999999</v>
          </cell>
        </row>
        <row r="32">
          <cell r="A32" t="str">
            <v>- Less Reliability Cap Ex</v>
          </cell>
          <cell r="B32">
            <v>-27</v>
          </cell>
          <cell r="C32">
            <v>-31.6</v>
          </cell>
          <cell r="D32">
            <v>-33</v>
          </cell>
          <cell r="E32">
            <v>-59.2</v>
          </cell>
          <cell r="F32">
            <v>-66.400000000000006</v>
          </cell>
          <cell r="G32">
            <v>-74.400000000000006</v>
          </cell>
          <cell r="H32">
            <v>-114.25</v>
          </cell>
          <cell r="I32">
            <v>-140.5</v>
          </cell>
          <cell r="J32">
            <v>-133</v>
          </cell>
          <cell r="K32">
            <v>0</v>
          </cell>
          <cell r="L32">
            <v>0</v>
          </cell>
          <cell r="M32">
            <v>0</v>
          </cell>
          <cell r="N32">
            <v>-33.25</v>
          </cell>
          <cell r="O32">
            <v>-33.25</v>
          </cell>
          <cell r="P32">
            <v>-33.25</v>
          </cell>
          <cell r="Q32">
            <v>-33.25</v>
          </cell>
          <cell r="R32">
            <v>-33.25</v>
          </cell>
          <cell r="S32">
            <v>-33.25</v>
          </cell>
          <cell r="T32">
            <v>-4.5999999999999996</v>
          </cell>
          <cell r="U32">
            <v>0</v>
          </cell>
          <cell r="V32">
            <v>-8.9</v>
          </cell>
          <cell r="W32">
            <v>-8.9</v>
          </cell>
          <cell r="X32">
            <v>-9.8000000000000007</v>
          </cell>
          <cell r="Y32">
            <v>-10</v>
          </cell>
          <cell r="Z32">
            <v>-7.9</v>
          </cell>
          <cell r="AA32">
            <v>-16.100000000000001</v>
          </cell>
          <cell r="AB32">
            <v>-10</v>
          </cell>
          <cell r="AC32">
            <v>-14.7</v>
          </cell>
          <cell r="AD32">
            <v>-9.1999999999999993</v>
          </cell>
          <cell r="AE32">
            <v>-17.2</v>
          </cell>
          <cell r="AF32">
            <v>-20</v>
          </cell>
          <cell r="AG32">
            <v>-20</v>
          </cell>
          <cell r="AH32">
            <v>-11.2</v>
          </cell>
          <cell r="AI32">
            <v>-19.2</v>
          </cell>
          <cell r="AJ32">
            <v>-22</v>
          </cell>
          <cell r="AK32">
            <v>-22</v>
          </cell>
          <cell r="AL32">
            <v>-25.75</v>
          </cell>
          <cell r="AM32">
            <v>-27.625</v>
          </cell>
          <cell r="AN32">
            <v>-29.5</v>
          </cell>
          <cell r="AO32">
            <v>-31.375</v>
          </cell>
          <cell r="AP32">
            <v>-33.25</v>
          </cell>
          <cell r="AQ32">
            <v>-33.25</v>
          </cell>
          <cell r="AR32">
            <v>-33.25</v>
          </cell>
          <cell r="AS32">
            <v>-33.25</v>
          </cell>
          <cell r="AT32">
            <v>-33.25</v>
          </cell>
          <cell r="AU32">
            <v>-33.25</v>
          </cell>
          <cell r="AV32">
            <v>-33.25</v>
          </cell>
          <cell r="AW32">
            <v>-33.25</v>
          </cell>
          <cell r="AX32">
            <v>-33.25</v>
          </cell>
          <cell r="AY32">
            <v>-33.25</v>
          </cell>
          <cell r="AZ32">
            <v>-33.25</v>
          </cell>
          <cell r="BA32">
            <v>-33.25</v>
          </cell>
        </row>
        <row r="33">
          <cell r="A33" t="str">
            <v>Distributable Cash Flow from Operations</v>
          </cell>
          <cell r="B33">
            <v>230.60000000000002</v>
          </cell>
          <cell r="C33">
            <v>228.34999999999994</v>
          </cell>
          <cell r="D33">
            <v>247.80000000000013</v>
          </cell>
          <cell r="E33">
            <v>307.59999999999997</v>
          </cell>
          <cell r="F33">
            <v>351.84206954036677</v>
          </cell>
          <cell r="G33">
            <v>419.8618534227237</v>
          </cell>
          <cell r="H33">
            <v>426.18868387311807</v>
          </cell>
          <cell r="I33">
            <v>445.32436945873189</v>
          </cell>
          <cell r="J33">
            <v>501.33606811398033</v>
          </cell>
          <cell r="K33">
            <v>24.400000000000031</v>
          </cell>
          <cell r="L33">
            <v>23.150000000000013</v>
          </cell>
          <cell r="M33">
            <v>23.500000000000007</v>
          </cell>
          <cell r="N33">
            <v>38.350000000000037</v>
          </cell>
          <cell r="O33">
            <v>37.600000000000023</v>
          </cell>
          <cell r="P33">
            <v>38.450000000000017</v>
          </cell>
          <cell r="Q33">
            <v>47.800000000000011</v>
          </cell>
          <cell r="R33">
            <v>28.45000000000001</v>
          </cell>
          <cell r="S33">
            <v>31.600000000000009</v>
          </cell>
          <cell r="T33">
            <v>54.399999999999984</v>
          </cell>
          <cell r="U33">
            <v>74.700000000000017</v>
          </cell>
          <cell r="V33">
            <v>59.500000000000007</v>
          </cell>
          <cell r="W33">
            <v>57.800000000000018</v>
          </cell>
          <cell r="X33">
            <v>64.899999999999991</v>
          </cell>
          <cell r="Y33">
            <v>61.199999999999989</v>
          </cell>
          <cell r="Z33">
            <v>77.999999999999972</v>
          </cell>
          <cell r="AA33">
            <v>84.699999999999989</v>
          </cell>
          <cell r="AB33">
            <v>85.700000000000017</v>
          </cell>
          <cell r="AC33">
            <v>68.399999999999991</v>
          </cell>
          <cell r="AD33">
            <v>82.599999999999966</v>
          </cell>
          <cell r="AE33">
            <v>87.499999999999986</v>
          </cell>
          <cell r="AF33">
            <v>90.671034770183354</v>
          </cell>
          <cell r="AG33">
            <v>92.771034770183377</v>
          </cell>
          <cell r="AH33">
            <v>102.4471941176471</v>
          </cell>
          <cell r="AI33">
            <v>105.26994120785504</v>
          </cell>
          <cell r="AJ33">
            <v>103.43353234847584</v>
          </cell>
          <cell r="AK33">
            <v>103.43353234847584</v>
          </cell>
          <cell r="AL33">
            <v>97.090383767205907</v>
          </cell>
          <cell r="AM33">
            <v>104.62776813163381</v>
          </cell>
          <cell r="AN33">
            <v>104.7357274541811</v>
          </cell>
          <cell r="AO33">
            <v>102.8607274541811</v>
          </cell>
          <cell r="AP33">
            <v>104.09164209282224</v>
          </cell>
          <cell r="AQ33">
            <v>102.23958759301033</v>
          </cell>
          <cell r="AR33">
            <v>102.23958759301033</v>
          </cell>
          <cell r="AS33">
            <v>102.23958759301033</v>
          </cell>
          <cell r="AT33">
            <v>122.04302897867203</v>
          </cell>
          <cell r="AU33">
            <v>128.43101304510279</v>
          </cell>
          <cell r="AV33">
            <v>128.43101304510279</v>
          </cell>
          <cell r="AW33">
            <v>128.43101304510279</v>
          </cell>
          <cell r="AX33">
            <v>126.0609642241748</v>
          </cell>
          <cell r="AY33">
            <v>132.62300797287233</v>
          </cell>
          <cell r="AZ33">
            <v>132.62300797287236</v>
          </cell>
          <cell r="BA33">
            <v>132.62300797287233</v>
          </cell>
        </row>
        <row r="34">
          <cell r="A34" t="str">
            <v>General Partner Interest</v>
          </cell>
          <cell r="B34">
            <v>-19.600000000000001</v>
          </cell>
          <cell r="C34">
            <v>-22.604125699999912</v>
          </cell>
          <cell r="D34">
            <v>-24.099999999999998</v>
          </cell>
          <cell r="E34">
            <v>-29.900000000000002</v>
          </cell>
          <cell r="F34">
            <v>-33.740378508446618</v>
          </cell>
          <cell r="G34">
            <v>-36.501708640786042</v>
          </cell>
          <cell r="H34">
            <v>-41.966427904901245</v>
          </cell>
          <cell r="I34">
            <v>-50.304714700199348</v>
          </cell>
          <cell r="J34">
            <v>-46.981667913917242</v>
          </cell>
          <cell r="K34">
            <v>-4.9000000000000004</v>
          </cell>
          <cell r="L34">
            <v>-4.7</v>
          </cell>
          <cell r="M34">
            <v>-4.7</v>
          </cell>
          <cell r="N34">
            <v>-4.9000000000000004</v>
          </cell>
          <cell r="O34">
            <v>-4.7</v>
          </cell>
          <cell r="P34">
            <v>-4.7</v>
          </cell>
          <cell r="Q34">
            <v>-5.3</v>
          </cell>
          <cell r="R34">
            <v>-5.5</v>
          </cell>
          <cell r="S34">
            <v>-5.5</v>
          </cell>
          <cell r="T34">
            <v>-5.6041256999999112</v>
          </cell>
          <cell r="U34">
            <v>-6</v>
          </cell>
          <cell r="V34">
            <v>-6</v>
          </cell>
          <cell r="W34">
            <v>-5.8000000000000007</v>
          </cell>
          <cell r="X34">
            <v>-6.1</v>
          </cell>
          <cell r="Y34">
            <v>-6.2</v>
          </cell>
          <cell r="Z34">
            <v>-6.7</v>
          </cell>
          <cell r="AA34">
            <v>-7.2</v>
          </cell>
          <cell r="AB34">
            <v>-8.1999999999999993</v>
          </cell>
          <cell r="AC34">
            <v>-7.8</v>
          </cell>
          <cell r="AD34">
            <v>-7.7</v>
          </cell>
          <cell r="AE34">
            <v>-9.2999999999999972</v>
          </cell>
          <cell r="AF34">
            <v>-8.2443162698944423</v>
          </cell>
          <cell r="AG34">
            <v>-8.4960622385521773</v>
          </cell>
          <cell r="AH34">
            <v>-8.7981574009414576</v>
          </cell>
          <cell r="AI34">
            <v>-9.1002525633307378</v>
          </cell>
          <cell r="AJ34">
            <v>-9.4023477257200181</v>
          </cell>
          <cell r="AK34">
            <v>-9.7044428881092983</v>
          </cell>
          <cell r="AL34">
            <v>-9.8554904693039376</v>
          </cell>
          <cell r="AM34">
            <v>-10.006538050498579</v>
          </cell>
          <cell r="AN34">
            <v>-10.157585631693218</v>
          </cell>
          <cell r="AO34">
            <v>-11.745416978479311</v>
          </cell>
          <cell r="AP34">
            <v>-11.745416978479311</v>
          </cell>
          <cell r="AQ34">
            <v>-11.745416978479311</v>
          </cell>
          <cell r="AR34">
            <v>-11.745416978479311</v>
          </cell>
          <cell r="AS34">
            <v>-11.745416978479311</v>
          </cell>
          <cell r="AT34">
            <v>-11.745416978479311</v>
          </cell>
          <cell r="AU34">
            <v>-11.745416978479311</v>
          </cell>
          <cell r="AV34">
            <v>-11.745416978479311</v>
          </cell>
          <cell r="AW34">
            <v>-11.745416978479311</v>
          </cell>
          <cell r="AX34">
            <v>-11.745416978479311</v>
          </cell>
          <cell r="AY34">
            <v>-11.745416978479311</v>
          </cell>
          <cell r="AZ34">
            <v>-11.745416978479311</v>
          </cell>
          <cell r="BA34">
            <v>-11.745416978479311</v>
          </cell>
        </row>
        <row r="35">
          <cell r="A35" t="str">
            <v>Cash Flow Available for Distributions</v>
          </cell>
          <cell r="B35">
            <v>211.00000000000003</v>
          </cell>
          <cell r="C35">
            <v>205.74587430000003</v>
          </cell>
          <cell r="D35">
            <v>223.70000000000013</v>
          </cell>
          <cell r="E35">
            <v>277.7</v>
          </cell>
          <cell r="F35">
            <v>318.10169103192015</v>
          </cell>
          <cell r="G35">
            <v>383.36014478193766</v>
          </cell>
          <cell r="H35">
            <v>384.22225596821681</v>
          </cell>
          <cell r="I35">
            <v>395.01965475853257</v>
          </cell>
          <cell r="J35">
            <v>454.35440020006308</v>
          </cell>
          <cell r="K35">
            <v>19.500000000000028</v>
          </cell>
          <cell r="L35">
            <v>18.450000000000014</v>
          </cell>
          <cell r="M35">
            <v>18.800000000000008</v>
          </cell>
          <cell r="N35">
            <v>33.450000000000038</v>
          </cell>
          <cell r="O35">
            <v>32.90000000000002</v>
          </cell>
          <cell r="P35">
            <v>33.750000000000014</v>
          </cell>
          <cell r="Q35">
            <v>42.500000000000014</v>
          </cell>
          <cell r="R35">
            <v>22.95000000000001</v>
          </cell>
          <cell r="S35">
            <v>26.100000000000009</v>
          </cell>
          <cell r="T35">
            <v>48.795874300000072</v>
          </cell>
          <cell r="U35">
            <v>68.700000000000017</v>
          </cell>
          <cell r="V35">
            <v>53.500000000000007</v>
          </cell>
          <cell r="W35">
            <v>52.000000000000014</v>
          </cell>
          <cell r="X35">
            <v>58.29999999999999</v>
          </cell>
          <cell r="Y35">
            <v>55.699999999999989</v>
          </cell>
          <cell r="Z35">
            <v>71.299999999999969</v>
          </cell>
          <cell r="AA35">
            <v>77.499999999999986</v>
          </cell>
          <cell r="AB35">
            <v>77.500000000000014</v>
          </cell>
          <cell r="AC35">
            <v>60.599999999999994</v>
          </cell>
          <cell r="AD35">
            <v>74.899999999999963</v>
          </cell>
          <cell r="AE35">
            <v>78.199999999999989</v>
          </cell>
          <cell r="AF35">
            <v>82.426718500288914</v>
          </cell>
          <cell r="AG35">
            <v>84.274972531631192</v>
          </cell>
          <cell r="AH35">
            <v>93.649036716705638</v>
          </cell>
          <cell r="AI35">
            <v>96.1696886445243</v>
          </cell>
          <cell r="AJ35">
            <v>94.031184622755816</v>
          </cell>
          <cell r="AK35">
            <v>93.729089460366538</v>
          </cell>
          <cell r="AL35">
            <v>87.234893297901976</v>
          </cell>
          <cell r="AM35">
            <v>94.621230081135238</v>
          </cell>
          <cell r="AN35">
            <v>94.578141822487879</v>
          </cell>
          <cell r="AO35">
            <v>91.11531047570179</v>
          </cell>
          <cell r="AP35">
            <v>92.346225114342928</v>
          </cell>
          <cell r="AQ35">
            <v>90.494170614531015</v>
          </cell>
          <cell r="AR35">
            <v>90.494170614531015</v>
          </cell>
          <cell r="AS35">
            <v>90.494170614531015</v>
          </cell>
          <cell r="AT35">
            <v>110.29761200019271</v>
          </cell>
          <cell r="AU35">
            <v>116.68559606662348</v>
          </cell>
          <cell r="AV35">
            <v>116.68559606662348</v>
          </cell>
          <cell r="AW35">
            <v>116.68559606662348</v>
          </cell>
          <cell r="AX35">
            <v>114.31554724569548</v>
          </cell>
          <cell r="AY35">
            <v>120.87759099439302</v>
          </cell>
          <cell r="AZ35">
            <v>120.87759099439305</v>
          </cell>
          <cell r="BA35">
            <v>120.87759099439302</v>
          </cell>
        </row>
        <row r="37">
          <cell r="A37" t="str">
            <v>EEP Annual Cash Flow Model</v>
          </cell>
        </row>
        <row r="38">
          <cell r="A38" t="str">
            <v>($ millions, except per share data)</v>
          </cell>
        </row>
        <row r="39">
          <cell r="B39">
            <v>2003</v>
          </cell>
          <cell r="C39">
            <v>2004</v>
          </cell>
          <cell r="D39">
            <v>2005</v>
          </cell>
          <cell r="E39">
            <v>2006</v>
          </cell>
          <cell r="F39" t="str">
            <v>2007E</v>
          </cell>
          <cell r="G39" t="str">
            <v>2008E</v>
          </cell>
          <cell r="H39" t="str">
            <v>2009E</v>
          </cell>
          <cell r="I39" t="str">
            <v>2010E</v>
          </cell>
          <cell r="J39" t="str">
            <v>2011E</v>
          </cell>
          <cell r="K39" t="str">
            <v>2012E</v>
          </cell>
        </row>
        <row r="40">
          <cell r="A40" t="str">
            <v>CF from operations</v>
          </cell>
        </row>
        <row r="41">
          <cell r="A41" t="str">
            <v>Net Income</v>
          </cell>
          <cell r="B41">
            <v>163.80000000000001</v>
          </cell>
          <cell r="C41">
            <v>139.74999999999997</v>
          </cell>
          <cell r="D41">
            <v>89.2</v>
          </cell>
          <cell r="E41">
            <v>284.89999999999998</v>
          </cell>
          <cell r="F41">
            <v>262.84206954036665</v>
          </cell>
          <cell r="G41">
            <v>328.46185342272372</v>
          </cell>
          <cell r="H41">
            <v>366.63868387311811</v>
          </cell>
          <cell r="I41">
            <v>404.02436945873194</v>
          </cell>
          <cell r="J41">
            <v>450.53606811398038</v>
          </cell>
          <cell r="K41">
            <v>459.12998814279183</v>
          </cell>
        </row>
        <row r="42">
          <cell r="A42" t="str">
            <v>Depreciation</v>
          </cell>
          <cell r="B42">
            <v>0</v>
          </cell>
          <cell r="C42">
            <v>120.5</v>
          </cell>
          <cell r="D42">
            <v>137.69999999999999</v>
          </cell>
          <cell r="E42">
            <v>135.1</v>
          </cell>
          <cell r="F42">
            <v>155.40000000000003</v>
          </cell>
          <cell r="G42">
            <v>165.8</v>
          </cell>
          <cell r="H42">
            <v>173.8</v>
          </cell>
          <cell r="I42">
            <v>181.8</v>
          </cell>
          <cell r="J42">
            <v>183.8</v>
          </cell>
          <cell r="K42">
            <v>185.8</v>
          </cell>
        </row>
        <row r="43">
          <cell r="A43" t="str">
            <v>Minority Interests in Net Income</v>
          </cell>
          <cell r="B43">
            <v>0</v>
          </cell>
          <cell r="C43">
            <v>-1.6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</row>
        <row r="44">
          <cell r="A44" t="str">
            <v>Other, Net</v>
          </cell>
          <cell r="B44">
            <v>-77.000000000000014</v>
          </cell>
          <cell r="C44">
            <v>-13.299999999999979</v>
          </cell>
          <cell r="D44">
            <v>40.200000000000031</v>
          </cell>
          <cell r="E44">
            <v>-98.399999999999949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A45" t="str">
            <v>CFO</v>
          </cell>
          <cell r="B45">
            <v>86.8</v>
          </cell>
          <cell r="C45">
            <v>245.35</v>
          </cell>
          <cell r="D45">
            <v>267.10000000000002</v>
          </cell>
          <cell r="E45">
            <v>321.60000000000002</v>
          </cell>
          <cell r="F45">
            <v>418.24206954036669</v>
          </cell>
          <cell r="G45">
            <v>494.26185342272373</v>
          </cell>
          <cell r="H45">
            <v>540.43868387311818</v>
          </cell>
          <cell r="I45">
            <v>585.82436945873201</v>
          </cell>
          <cell r="J45">
            <v>634.33606811398045</v>
          </cell>
          <cell r="K45">
            <v>644.9299881427919</v>
          </cell>
          <cell r="AD45">
            <v>160917</v>
          </cell>
        </row>
        <row r="47">
          <cell r="A47" t="str">
            <v>Capex</v>
          </cell>
        </row>
        <row r="48">
          <cell r="A48" t="str">
            <v>Additions to PP&amp;E</v>
          </cell>
          <cell r="B48">
            <v>-129.30000000000001</v>
          </cell>
          <cell r="C48">
            <v>-288.8</v>
          </cell>
          <cell r="D48">
            <v>-344.8</v>
          </cell>
          <cell r="E48">
            <v>-864.4</v>
          </cell>
          <cell r="F48">
            <v>-2066.4</v>
          </cell>
          <cell r="G48">
            <v>-1574.4</v>
          </cell>
          <cell r="H48">
            <v>-864.25</v>
          </cell>
          <cell r="I48">
            <v>-640.5</v>
          </cell>
          <cell r="J48">
            <v>-133</v>
          </cell>
          <cell r="K48">
            <v>-133</v>
          </cell>
        </row>
        <row r="49">
          <cell r="A49" t="str">
            <v>Acquisitons &amp; Other</v>
          </cell>
          <cell r="B49">
            <v>-294.2</v>
          </cell>
          <cell r="C49">
            <v>-141</v>
          </cell>
          <cell r="D49">
            <v>-183.6</v>
          </cell>
          <cell r="E49">
            <v>-2.8999999999999986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</row>
        <row r="50">
          <cell r="A50" t="str">
            <v>Asset Sales</v>
          </cell>
          <cell r="B50">
            <v>0</v>
          </cell>
          <cell r="C50">
            <v>0</v>
          </cell>
          <cell r="D50">
            <v>105.4</v>
          </cell>
          <cell r="E50">
            <v>0.2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</row>
        <row r="51">
          <cell r="A51" t="str">
            <v>Net Investments &amp; Other</v>
          </cell>
          <cell r="B51">
            <v>-7.5</v>
          </cell>
          <cell r="C51">
            <v>10.7</v>
          </cell>
          <cell r="D51">
            <v>-14.100000000000001</v>
          </cell>
          <cell r="E51">
            <v>0.1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</row>
        <row r="52">
          <cell r="A52" t="str">
            <v>Total Capex</v>
          </cell>
          <cell r="B52">
            <v>-431</v>
          </cell>
          <cell r="C52">
            <v>-419.1</v>
          </cell>
          <cell r="D52">
            <v>-437.1</v>
          </cell>
          <cell r="E52">
            <v>-866.99999999999989</v>
          </cell>
          <cell r="F52">
            <v>-2066.4</v>
          </cell>
          <cell r="G52">
            <v>-1574.4</v>
          </cell>
          <cell r="H52">
            <v>-864.25</v>
          </cell>
          <cell r="I52">
            <v>-640.5</v>
          </cell>
          <cell r="J52">
            <v>-133</v>
          </cell>
          <cell r="K52">
            <v>-133</v>
          </cell>
        </row>
        <row r="54">
          <cell r="A54" t="str">
            <v>Cash from/for financing</v>
          </cell>
        </row>
        <row r="55">
          <cell r="A55" t="str">
            <v>Debt Financing, Net</v>
          </cell>
          <cell r="B55">
            <v>45.300000000000182</v>
          </cell>
          <cell r="C55">
            <v>184.40000000000009</v>
          </cell>
          <cell r="D55">
            <v>123.5</v>
          </cell>
          <cell r="E55">
            <v>409</v>
          </cell>
          <cell r="F55">
            <v>1200</v>
          </cell>
          <cell r="G55">
            <v>900</v>
          </cell>
          <cell r="H55">
            <v>450</v>
          </cell>
          <cell r="I55">
            <v>300</v>
          </cell>
          <cell r="J55">
            <v>0</v>
          </cell>
          <cell r="K55" t="str">
            <v>Assumptions:</v>
          </cell>
          <cell r="N55" t="str">
            <v>Assumptions:</v>
          </cell>
        </row>
        <row r="56">
          <cell r="A56" t="str">
            <v>Proceeds from Unit Issuance</v>
          </cell>
          <cell r="B56">
            <v>414.4</v>
          </cell>
          <cell r="C56">
            <v>194.2</v>
          </cell>
          <cell r="D56">
            <v>268.60000000000002</v>
          </cell>
          <cell r="E56">
            <v>509.6</v>
          </cell>
          <cell r="F56">
            <v>500</v>
          </cell>
          <cell r="G56">
            <v>600</v>
          </cell>
          <cell r="H56">
            <v>300</v>
          </cell>
          <cell r="I56">
            <v>200</v>
          </cell>
          <cell r="J56">
            <v>0</v>
          </cell>
          <cell r="K56" t="str">
            <v>EEP Finances $600MM in deferred equity converting in 2009 at $40/unit</v>
          </cell>
          <cell r="N56" t="str">
            <v>EEP Finances $600MM in deferred equity converting in 2009 at $40/unit</v>
          </cell>
        </row>
        <row r="57">
          <cell r="A57" t="str">
            <v>Distributions to Partners</v>
          </cell>
          <cell r="B57">
            <v>-156.69999999999999</v>
          </cell>
          <cell r="C57">
            <v>-169.74587400000001</v>
          </cell>
          <cell r="D57">
            <v>-210.6</v>
          </cell>
          <cell r="E57">
            <v>-227.4</v>
          </cell>
          <cell r="F57">
            <v>-242.77700245102608</v>
          </cell>
          <cell r="G57">
            <v>-280.67313263851094</v>
          </cell>
          <cell r="H57">
            <v>-322.69307997695972</v>
          </cell>
          <cell r="I57">
            <v>-386.80879298935338</v>
          </cell>
          <cell r="J57">
            <v>-361.25683977563529</v>
          </cell>
          <cell r="K57" t="str">
            <v>$300 MM in 2006/2007</v>
          </cell>
          <cell r="N57" t="str">
            <v>$300 MM in 2006/2007</v>
          </cell>
        </row>
        <row r="58">
          <cell r="A58" t="str">
            <v>Minority Interest/Other</v>
          </cell>
          <cell r="B58">
            <v>0</v>
          </cell>
          <cell r="C58">
            <v>-21.204125999999999</v>
          </cell>
          <cell r="D58">
            <v>0</v>
          </cell>
          <cell r="E58">
            <v>-51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A59" t="str">
            <v>Cash from/for financing</v>
          </cell>
          <cell r="B59">
            <v>303.00000000000017</v>
          </cell>
          <cell r="C59">
            <v>187.65000000000006</v>
          </cell>
          <cell r="D59">
            <v>181.50000000000003</v>
          </cell>
          <cell r="E59">
            <v>640.20000000000005</v>
          </cell>
          <cell r="F59">
            <v>1457.222997548974</v>
          </cell>
          <cell r="G59">
            <v>1219.3268673614891</v>
          </cell>
          <cell r="H59">
            <v>427.30692002304028</v>
          </cell>
          <cell r="I59">
            <v>113.19120701064662</v>
          </cell>
          <cell r="J59">
            <v>-361.25683977563529</v>
          </cell>
          <cell r="K59">
            <v>-361.25683977563529</v>
          </cell>
        </row>
        <row r="61">
          <cell r="A61" t="str">
            <v>Net Increase (Decrease) in Cash</v>
          </cell>
          <cell r="C61">
            <v>13.900000000000034</v>
          </cell>
          <cell r="D61">
            <v>11.500000000000028</v>
          </cell>
          <cell r="E61">
            <v>94.800000000000182</v>
          </cell>
          <cell r="F61">
            <v>-190.93493291065943</v>
          </cell>
          <cell r="G61">
            <v>139.18872078421282</v>
          </cell>
          <cell r="H61">
            <v>103.49560389615846</v>
          </cell>
          <cell r="I61">
            <v>58.51557646937863</v>
          </cell>
          <cell r="J61">
            <v>140.07922833834516</v>
          </cell>
          <cell r="K61">
            <v>150.67314836715661</v>
          </cell>
        </row>
        <row r="62">
          <cell r="A62" t="str">
            <v>Cash &amp; Equiv. - Beginning of Period</v>
          </cell>
          <cell r="C62">
            <v>64.400000000000006</v>
          </cell>
          <cell r="D62">
            <v>78.30000000000004</v>
          </cell>
          <cell r="E62">
            <v>89.800000000000068</v>
          </cell>
          <cell r="F62">
            <v>184.60000000000025</v>
          </cell>
          <cell r="G62">
            <v>-6.3349329106591767</v>
          </cell>
          <cell r="H62">
            <v>132.85378787355364</v>
          </cell>
          <cell r="I62">
            <v>236.3493917697121</v>
          </cell>
          <cell r="J62">
            <v>261.42832156213336</v>
          </cell>
          <cell r="K62">
            <v>401.50754990047852</v>
          </cell>
        </row>
        <row r="63">
          <cell r="A63" t="str">
            <v>Cash &amp; Equiv. - End of Period</v>
          </cell>
          <cell r="B63">
            <v>0</v>
          </cell>
          <cell r="C63">
            <v>78.30000000000004</v>
          </cell>
          <cell r="D63">
            <v>89.800000000000068</v>
          </cell>
          <cell r="E63">
            <v>184.60000000000025</v>
          </cell>
          <cell r="F63">
            <v>-6.3349329106591767</v>
          </cell>
          <cell r="G63">
            <v>132.85378787355364</v>
          </cell>
          <cell r="H63">
            <v>236.3493917697121</v>
          </cell>
          <cell r="I63">
            <v>294.86496823909073</v>
          </cell>
          <cell r="J63">
            <v>401.50754990047852</v>
          </cell>
          <cell r="K63">
            <v>552.18069826763508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Dead_links"/>
      <sheetName val="PF Reserves"/>
      <sheetName val="Data Box"/>
      <sheetName val="#REF"/>
      <sheetName val="Data"/>
      <sheetName val="Input"/>
      <sheetName val="TBI NAV"/>
      <sheetName val="Cmdty scenarios"/>
      <sheetName val="NB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Collection Sheet"/>
      <sheetName val="Link"/>
      <sheetName val="Disclaimer"/>
      <sheetName val="Q-Breakdown"/>
      <sheetName val="Balance Sheet"/>
      <sheetName val="Worldwide LSP Valuation"/>
      <sheetName val="Domestic LSP Valuation"/>
      <sheetName val="NZ LSP Valuation"/>
      <sheetName val="Hedge Analysis- Oil"/>
      <sheetName val="Hedge Analysis - Gas"/>
      <sheetName val="Acquisitions"/>
      <sheetName val="T.B. Acquisition"/>
      <sheetName val="Production profile"/>
      <sheetName val="Drilling + CAPEX History"/>
      <sheetName val="Drilling Inventory"/>
      <sheetName val="2000 Capital Budge + Expl."/>
      <sheetName val="Operations"/>
      <sheetName val="SFY Sensitivity"/>
      <sheetName val="Sheet1"/>
      <sheetName val="Prospects"/>
      <sheetName val="Property"/>
      <sheetName val="Scenario Summary"/>
      <sheetName val="Valuation  -Final"/>
      <sheetName val="Valuation (2)"/>
      <sheetName val="Sheet4"/>
      <sheetName val="Reserves"/>
      <sheetName val="Notes"/>
      <sheetName val="databox"/>
      <sheetName val="For Report"/>
      <sheetName val="Front Tear"/>
      <sheetName val="Data Tear"/>
      <sheetName val="Back Te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6">
          <cell r="AD6" t="str">
            <v>Project Area</v>
          </cell>
          <cell r="AE6" t="str">
            <v>Activity</v>
          </cell>
          <cell r="AF6" t="str">
            <v>Timing</v>
          </cell>
        </row>
        <row r="7">
          <cell r="AD7" t="str">
            <v>Rimu</v>
          </cell>
          <cell r="AE7" t="str">
            <v>Spud Rimu development well</v>
          </cell>
          <cell r="AF7" t="str">
            <v>4Q02</v>
          </cell>
        </row>
        <row r="8">
          <cell r="AD8" t="str">
            <v>Rimu</v>
          </cell>
          <cell r="AE8" t="str">
            <v>Fracture Rimu A2A</v>
          </cell>
          <cell r="AF8" t="str">
            <v>completed, test results soon</v>
          </cell>
        </row>
        <row r="9">
          <cell r="AD9" t="str">
            <v>Rimu</v>
          </cell>
          <cell r="AE9" t="str">
            <v>Sidetrack Rimu B1</v>
          </cell>
          <cell r="AF9" t="str">
            <v>4Q02/1Q03</v>
          </cell>
        </row>
        <row r="10">
          <cell r="AD10" t="str">
            <v>Kauri</v>
          </cell>
          <cell r="AE10" t="str">
            <v>Evaluate shallow Manutahi sands</v>
          </cell>
          <cell r="AF10" t="str">
            <v>2H02</v>
          </cell>
        </row>
        <row r="11">
          <cell r="AD11" t="str">
            <v>Kauri</v>
          </cell>
          <cell r="AE11" t="str">
            <v>Kauri A4 results</v>
          </cell>
          <cell r="AF11" t="str">
            <v>September/October 2002</v>
          </cell>
        </row>
        <row r="12">
          <cell r="AD12" t="str">
            <v>Kauri</v>
          </cell>
          <cell r="AE12" t="str">
            <v>Fracture Kauri A1</v>
          </cell>
          <cell r="AF12" t="str">
            <v>3Q02</v>
          </cell>
        </row>
        <row r="13">
          <cell r="AD13" t="str">
            <v>Matai/Tawa</v>
          </cell>
          <cell r="AE13" t="str">
            <v>Evaluate 3-D seismic</v>
          </cell>
          <cell r="AF13" t="str">
            <v>near completion</v>
          </cell>
        </row>
        <row r="14">
          <cell r="AD14" t="str">
            <v>Matai/Tawa</v>
          </cell>
          <cell r="AE14" t="str">
            <v>Commence drilling</v>
          </cell>
          <cell r="AF14" t="str">
            <v>Early 2003</v>
          </cell>
        </row>
      </sheetData>
      <sheetData sheetId="20" refreshError="1"/>
      <sheetData sheetId="21" refreshError="1"/>
      <sheetData sheetId="22" refreshError="1"/>
      <sheetData sheetId="23" refreshError="1">
        <row r="6">
          <cell r="A6" t="str">
            <v>Proved Reserve Valuation</v>
          </cell>
          <cell r="K6" t="str">
            <v>Proved Net Asset Value</v>
          </cell>
        </row>
        <row r="7">
          <cell r="B7" t="str">
            <v>Year End 2001</v>
          </cell>
          <cell r="C7" t="str">
            <v>Unit Res.</v>
          </cell>
          <cell r="D7" t="str">
            <v>Estimated</v>
          </cell>
          <cell r="L7" t="str">
            <v>($mm)</v>
          </cell>
          <cell r="M7" t="str">
            <v>($/sh)</v>
          </cell>
        </row>
        <row r="8">
          <cell r="B8" t="str">
            <v>Proved Reserves</v>
          </cell>
          <cell r="C8" t="str">
            <v>Value</v>
          </cell>
          <cell r="D8" t="str">
            <v>Value</v>
          </cell>
          <cell r="K8" t="str">
            <v>Reserves - Domestic</v>
          </cell>
          <cell r="L8">
            <v>598.26568780000002</v>
          </cell>
          <cell r="M8">
            <v>22.050619072634806</v>
          </cell>
        </row>
        <row r="9">
          <cell r="B9" t="str">
            <v>(bcfe)</v>
          </cell>
          <cell r="C9" t="str">
            <v>($/mcfe)</v>
          </cell>
          <cell r="D9" t="str">
            <v>($mm)</v>
          </cell>
          <cell r="K9" t="str">
            <v>Reserves - New Zealand (Including TAWN assets)</v>
          </cell>
          <cell r="L9">
            <v>166.93004300000001</v>
          </cell>
          <cell r="M9">
            <v>6.1526356350258808</v>
          </cell>
        </row>
        <row r="10">
          <cell r="A10" t="str">
            <v>Domestic</v>
          </cell>
          <cell r="B10">
            <v>543.87789799999996</v>
          </cell>
          <cell r="C10">
            <v>1.1000000000000001</v>
          </cell>
          <cell r="D10">
            <v>598.26568780000002</v>
          </cell>
          <cell r="K10" t="str">
            <v>Total Proved Reserves</v>
          </cell>
          <cell r="L10">
            <v>765.19573079999998</v>
          </cell>
          <cell r="M10">
            <v>28.203254707660683</v>
          </cell>
        </row>
        <row r="11">
          <cell r="A11" t="str">
            <v>Estimated Value of TAWN Acquisition</v>
          </cell>
          <cell r="B11">
            <v>65</v>
          </cell>
          <cell r="C11">
            <v>1</v>
          </cell>
          <cell r="D11">
            <v>65</v>
          </cell>
          <cell r="K11" t="str">
            <v>Acreage</v>
          </cell>
          <cell r="L11">
            <v>22.905000000000001</v>
          </cell>
          <cell r="M11">
            <v>0.84422262576346307</v>
          </cell>
        </row>
        <row r="12">
          <cell r="A12" t="str">
            <v>New Zealand</v>
          </cell>
          <cell r="B12">
            <v>101.930043</v>
          </cell>
          <cell r="C12">
            <v>1</v>
          </cell>
          <cell r="D12">
            <v>101.930043</v>
          </cell>
          <cell r="K12" t="str">
            <v>Other Assets</v>
          </cell>
          <cell r="L12">
            <v>13.103999999999999</v>
          </cell>
          <cell r="M12">
            <v>0.48298158864895957</v>
          </cell>
        </row>
        <row r="13">
          <cell r="A13" t="str">
            <v>Est. Reserve Value</v>
          </cell>
          <cell r="B13">
            <v>710.80794099999991</v>
          </cell>
          <cell r="C13">
            <v>1.0765154504654022</v>
          </cell>
          <cell r="D13">
            <v>765.19573079999998</v>
          </cell>
          <cell r="M13">
            <v>0</v>
          </cell>
        </row>
        <row r="14">
          <cell r="K14" t="str">
            <v>Enterprise Value</v>
          </cell>
          <cell r="L14">
            <v>801.20473079999999</v>
          </cell>
          <cell r="M14">
            <v>29.530458922073105</v>
          </cell>
        </row>
        <row r="15">
          <cell r="K15" t="str">
            <v>Working Capital</v>
          </cell>
          <cell r="L15">
            <v>5.867</v>
          </cell>
          <cell r="M15">
            <v>0.21624335932565977</v>
          </cell>
        </row>
        <row r="16">
          <cell r="A16" t="str">
            <v>Net Undeveloped Acreage Valuation</v>
          </cell>
          <cell r="K16" t="str">
            <v>Long-term Debt</v>
          </cell>
          <cell r="L16">
            <v>324.23399999999998</v>
          </cell>
          <cell r="M16">
            <v>11.950477137821029</v>
          </cell>
        </row>
        <row r="17">
          <cell r="B17" t="str">
            <v>Year End</v>
          </cell>
          <cell r="C17" t="str">
            <v>Unit Acreage</v>
          </cell>
          <cell r="D17" t="str">
            <v>Estimated</v>
          </cell>
          <cell r="K17" t="str">
            <v>Proved Net Asset Value</v>
          </cell>
          <cell r="L17">
            <v>482.83773079999997</v>
          </cell>
          <cell r="M17">
            <v>17.796225143577736</v>
          </cell>
        </row>
        <row r="18">
          <cell r="B18" t="str">
            <v>Acreage</v>
          </cell>
          <cell r="C18" t="str">
            <v>Value</v>
          </cell>
          <cell r="D18" t="str">
            <v>Value</v>
          </cell>
        </row>
        <row r="19">
          <cell r="B19" t="str">
            <v>(m acres)</v>
          </cell>
          <cell r="C19" t="str">
            <v>($/acre)</v>
          </cell>
          <cell r="D19" t="str">
            <v>($mm)</v>
          </cell>
        </row>
        <row r="20">
          <cell r="A20" t="str">
            <v>Domestic</v>
          </cell>
          <cell r="B20">
            <v>233.9</v>
          </cell>
          <cell r="C20">
            <v>50</v>
          </cell>
          <cell r="D20">
            <v>11.695</v>
          </cell>
          <cell r="K20" t="str">
            <v>Risked Net Asset Value</v>
          </cell>
        </row>
        <row r="21">
          <cell r="A21" t="str">
            <v>New Zealand</v>
          </cell>
          <cell r="B21">
            <v>112.1</v>
          </cell>
          <cell r="C21">
            <v>100</v>
          </cell>
          <cell r="D21">
            <v>11.21</v>
          </cell>
          <cell r="L21" t="str">
            <v>($mm)</v>
          </cell>
          <cell r="M21" t="str">
            <v>($/sh)</v>
          </cell>
        </row>
        <row r="22">
          <cell r="A22" t="str">
            <v>Est. Acreage Value</v>
          </cell>
          <cell r="B22">
            <v>346</v>
          </cell>
          <cell r="C22">
            <v>66.199421965317924</v>
          </cell>
          <cell r="D22">
            <v>22.905000000000001</v>
          </cell>
          <cell r="K22" t="str">
            <v>Est. value of proved domestic reserves</v>
          </cell>
          <cell r="L22">
            <v>598.26568780000002</v>
          </cell>
          <cell r="M22">
            <v>22.050619072634806</v>
          </cell>
        </row>
        <row r="23">
          <cell r="K23" t="str">
            <v>Est. value of domestic exp. prospects</v>
          </cell>
          <cell r="L23">
            <v>0</v>
          </cell>
          <cell r="M23">
            <v>0</v>
          </cell>
        </row>
        <row r="24">
          <cell r="K24" t="str">
            <v>Est. value of 50 mmboe Rimu ultimate upside</v>
          </cell>
          <cell r="L24">
            <v>200</v>
          </cell>
          <cell r="M24">
            <v>7.3715138682686137</v>
          </cell>
        </row>
        <row r="25">
          <cell r="K25" t="str">
            <v>Est. value of additional 100 mmboe N.Z. upside</v>
          </cell>
          <cell r="L25">
            <v>315</v>
          </cell>
          <cell r="M25">
            <v>11.610134342523066</v>
          </cell>
        </row>
        <row r="26">
          <cell r="K26" t="str">
            <v>Est. Reserve Value</v>
          </cell>
          <cell r="L26">
            <v>1113.2656878</v>
          </cell>
          <cell r="M26">
            <v>41.032267283426485</v>
          </cell>
        </row>
        <row r="27">
          <cell r="K27" t="str">
            <v>Acreage</v>
          </cell>
          <cell r="L27">
            <v>22.905000000000001</v>
          </cell>
          <cell r="M27">
            <v>0.84422262576346307</v>
          </cell>
        </row>
        <row r="28">
          <cell r="K28" t="str">
            <v>Other Assets</v>
          </cell>
          <cell r="L28">
            <v>13.103999999999999</v>
          </cell>
          <cell r="M28">
            <v>0.48298158864895957</v>
          </cell>
        </row>
        <row r="29">
          <cell r="K29" t="str">
            <v>Enterprise Value</v>
          </cell>
          <cell r="L29">
            <v>1149.2746878</v>
          </cell>
          <cell r="M29">
            <v>42.359471497838911</v>
          </cell>
        </row>
        <row r="30">
          <cell r="K30" t="str">
            <v>Working Capital</v>
          </cell>
          <cell r="L30">
            <v>5.867</v>
          </cell>
          <cell r="M30">
            <v>0.21624335932565977</v>
          </cell>
        </row>
        <row r="31">
          <cell r="K31" t="str">
            <v>Long-term Debt</v>
          </cell>
          <cell r="L31">
            <v>324.23399999999998</v>
          </cell>
          <cell r="M31">
            <v>11.950477137821029</v>
          </cell>
        </row>
        <row r="32">
          <cell r="K32" t="str">
            <v>Net Expected Value</v>
          </cell>
          <cell r="L32">
            <v>830.90768780000008</v>
          </cell>
          <cell r="M32">
            <v>30.645237719343541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BR Disclaimer"/>
      <sheetName val="ROIC"/>
      <sheetName val="Ratios"/>
      <sheetName val="Financials"/>
      <sheetName val="Invested Capital"/>
      <sheetName val="NOPAT"/>
      <sheetName val="Balance Sheet"/>
      <sheetName val="Income Statement"/>
      <sheetName val="For Briefs"/>
      <sheetName val="Scenario"/>
      <sheetName val="DCF"/>
      <sheetName val="Forecast"/>
      <sheetName val="Databox"/>
      <sheetName val="Wizard"/>
      <sheetName val="Price Data"/>
    </sheetNames>
    <sheetDataSet>
      <sheetData sheetId="0" refreshError="1"/>
      <sheetData sheetId="1" refreshError="1"/>
      <sheetData sheetId="2" refreshError="1"/>
      <sheetData sheetId="3" refreshError="1">
        <row r="13">
          <cell r="C13" t="str">
            <v>INCOME STATEMENT</v>
          </cell>
          <cell r="D13" t="str">
            <v>m</v>
          </cell>
        </row>
        <row r="14">
          <cell r="C14" t="str">
            <v>Total Revenue</v>
          </cell>
          <cell r="D14">
            <v>3</v>
          </cell>
        </row>
        <row r="15">
          <cell r="C15" t="str">
            <v>Consulting Services</v>
          </cell>
          <cell r="D15">
            <v>4</v>
          </cell>
        </row>
        <row r="16">
          <cell r="C16" t="str">
            <v>Corporate advisory and restructuring</v>
          </cell>
          <cell r="D16">
            <v>5</v>
          </cell>
        </row>
        <row r="17">
          <cell r="C17" t="str">
            <v xml:space="preserve">  Cooper Zoloff</v>
          </cell>
          <cell r="D17">
            <v>6</v>
          </cell>
        </row>
        <row r="18">
          <cell r="C18" t="str">
            <v xml:space="preserve">     Success fees</v>
          </cell>
          <cell r="D18">
            <v>7</v>
          </cell>
        </row>
        <row r="19">
          <cell r="C19" t="str">
            <v xml:space="preserve">  Other advisory</v>
          </cell>
          <cell r="D19">
            <v>8</v>
          </cell>
        </row>
        <row r="20">
          <cell r="C20" t="str">
            <v>Security Services</v>
          </cell>
          <cell r="D20">
            <v>9</v>
          </cell>
        </row>
        <row r="21">
          <cell r="C21" t="str">
            <v>Technology Services</v>
          </cell>
          <cell r="D21">
            <v>10</v>
          </cell>
        </row>
        <row r="22">
          <cell r="C22" t="str">
            <v xml:space="preserve">  Data Recovery</v>
          </cell>
          <cell r="D22">
            <v>11</v>
          </cell>
        </row>
        <row r="23">
          <cell r="C23" t="str">
            <v xml:space="preserve">  Electronic Evidence</v>
          </cell>
          <cell r="D23">
            <v>12</v>
          </cell>
        </row>
        <row r="24">
          <cell r="C24" t="str">
            <v xml:space="preserve">  Other Software</v>
          </cell>
          <cell r="D24">
            <v>13</v>
          </cell>
        </row>
        <row r="25">
          <cell r="C25" t="str">
            <v>Employee Screening</v>
          </cell>
          <cell r="D25">
            <v>14</v>
          </cell>
        </row>
        <row r="26">
          <cell r="C26" t="str">
            <v>Information Security Group</v>
          </cell>
          <cell r="D26">
            <v>15</v>
          </cell>
        </row>
        <row r="27">
          <cell r="D27">
            <v>16</v>
          </cell>
        </row>
        <row r="28">
          <cell r="D28">
            <v>17</v>
          </cell>
        </row>
        <row r="29">
          <cell r="D29">
            <v>18</v>
          </cell>
        </row>
        <row r="30">
          <cell r="D30">
            <v>19</v>
          </cell>
        </row>
        <row r="31">
          <cell r="C31" t="str">
            <v>Internal Reveune</v>
          </cell>
          <cell r="D31">
            <v>20</v>
          </cell>
        </row>
        <row r="32">
          <cell r="C32" t="str">
            <v>Consulting Services</v>
          </cell>
          <cell r="D32">
            <v>21</v>
          </cell>
        </row>
        <row r="33">
          <cell r="C33" t="str">
            <v>Corporate advisory and restructuring</v>
          </cell>
          <cell r="D33">
            <v>22</v>
          </cell>
        </row>
        <row r="34">
          <cell r="C34" t="str">
            <v>Security Services</v>
          </cell>
          <cell r="D34">
            <v>23</v>
          </cell>
        </row>
        <row r="35">
          <cell r="C35" t="str">
            <v>Technology Services</v>
          </cell>
          <cell r="D35">
            <v>24</v>
          </cell>
        </row>
        <row r="36">
          <cell r="C36" t="str">
            <v>Employee Screening</v>
          </cell>
          <cell r="D36">
            <v>25</v>
          </cell>
        </row>
        <row r="37">
          <cell r="C37" t="str">
            <v>Information Security Group</v>
          </cell>
          <cell r="D37">
            <v>26</v>
          </cell>
        </row>
        <row r="38">
          <cell r="C38" t="str">
            <v>Total Internal Reveune</v>
          </cell>
          <cell r="D38">
            <v>27</v>
          </cell>
        </row>
        <row r="39">
          <cell r="D39">
            <v>28</v>
          </cell>
        </row>
        <row r="40">
          <cell r="C40" t="str">
            <v>Acquisitions/Divestitures</v>
          </cell>
          <cell r="D40">
            <v>29</v>
          </cell>
        </row>
        <row r="41">
          <cell r="C41" t="str">
            <v>Consulting Services</v>
          </cell>
          <cell r="D41">
            <v>30</v>
          </cell>
        </row>
        <row r="42">
          <cell r="C42" t="str">
            <v>Corporate advisory and restructuring</v>
          </cell>
          <cell r="D42">
            <v>31</v>
          </cell>
        </row>
        <row r="43">
          <cell r="C43" t="str">
            <v>Security Services</v>
          </cell>
          <cell r="D43">
            <v>32</v>
          </cell>
        </row>
        <row r="44">
          <cell r="C44" t="str">
            <v>Technology Services</v>
          </cell>
          <cell r="D44">
            <v>33</v>
          </cell>
        </row>
        <row r="45">
          <cell r="C45" t="str">
            <v>Employee Screening</v>
          </cell>
          <cell r="D45">
            <v>34</v>
          </cell>
        </row>
        <row r="46">
          <cell r="C46" t="str">
            <v>Information Security Group</v>
          </cell>
          <cell r="D46">
            <v>35</v>
          </cell>
        </row>
        <row r="47">
          <cell r="C47" t="str">
            <v>Total Acquistion/Divestiture Reveune</v>
          </cell>
          <cell r="D47">
            <v>36</v>
          </cell>
        </row>
        <row r="48">
          <cell r="C48" t="str">
            <v>Annual Sales Acquisiton Multiple</v>
          </cell>
          <cell r="D48">
            <v>37</v>
          </cell>
        </row>
        <row r="49">
          <cell r="D49">
            <v>38</v>
          </cell>
        </row>
        <row r="50">
          <cell r="C50" t="str">
            <v>Operating Costs</v>
          </cell>
          <cell r="D50">
            <v>39</v>
          </cell>
        </row>
        <row r="51">
          <cell r="C51" t="str">
            <v>Consulting Services</v>
          </cell>
          <cell r="D51">
            <v>40</v>
          </cell>
        </row>
        <row r="52">
          <cell r="C52" t="str">
            <v>Corporate advisory and restructuring</v>
          </cell>
          <cell r="D52">
            <v>41</v>
          </cell>
        </row>
        <row r="53">
          <cell r="C53" t="str">
            <v xml:space="preserve">   Success fees</v>
          </cell>
        </row>
        <row r="54">
          <cell r="C54" t="str">
            <v>Security Services</v>
          </cell>
          <cell r="D54">
            <v>43</v>
          </cell>
        </row>
        <row r="55">
          <cell r="C55" t="str">
            <v>Technology Services</v>
          </cell>
          <cell r="D55">
            <v>44</v>
          </cell>
        </row>
        <row r="56">
          <cell r="C56" t="str">
            <v>Employee Screening</v>
          </cell>
          <cell r="D56">
            <v>45</v>
          </cell>
        </row>
        <row r="57">
          <cell r="C57" t="str">
            <v>Information Security Group</v>
          </cell>
          <cell r="D57">
            <v>46</v>
          </cell>
        </row>
        <row r="58">
          <cell r="D58">
            <v>47</v>
          </cell>
        </row>
        <row r="59">
          <cell r="D59">
            <v>48</v>
          </cell>
        </row>
        <row r="60">
          <cell r="C60" t="str">
            <v>Gross Profit</v>
          </cell>
          <cell r="D60">
            <v>49</v>
          </cell>
        </row>
        <row r="61">
          <cell r="C61" t="str">
            <v>Consulting Services</v>
          </cell>
        </row>
        <row r="62">
          <cell r="C62" t="str">
            <v>Corporate advisory and restructuring</v>
          </cell>
        </row>
        <row r="63">
          <cell r="C63" t="str">
            <v>Security Services</v>
          </cell>
          <cell r="D63">
            <v>52</v>
          </cell>
        </row>
        <row r="64">
          <cell r="C64" t="str">
            <v>Technology Services</v>
          </cell>
          <cell r="D64">
            <v>53</v>
          </cell>
        </row>
        <row r="65">
          <cell r="C65" t="str">
            <v>Employee Screening</v>
          </cell>
          <cell r="D65">
            <v>54</v>
          </cell>
        </row>
        <row r="66">
          <cell r="C66" t="str">
            <v>Information Security Group</v>
          </cell>
          <cell r="D66">
            <v>55</v>
          </cell>
        </row>
        <row r="67">
          <cell r="C67" t="str">
            <v>Other</v>
          </cell>
          <cell r="D67">
            <v>56</v>
          </cell>
        </row>
        <row r="68">
          <cell r="D68">
            <v>57</v>
          </cell>
        </row>
        <row r="69">
          <cell r="C69" t="str">
            <v>Selling &amp; Marketing</v>
          </cell>
          <cell r="D69">
            <v>58</v>
          </cell>
        </row>
        <row r="70">
          <cell r="C70" t="str">
            <v>General Administration Costs</v>
          </cell>
          <cell r="D70">
            <v>59</v>
          </cell>
        </row>
        <row r="71">
          <cell r="C71" t="str">
            <v>Research &amp; Development</v>
          </cell>
          <cell r="D71">
            <v>60</v>
          </cell>
        </row>
        <row r="72">
          <cell r="C72" t="str">
            <v>Depreciation &amp; Amortization</v>
          </cell>
          <cell r="D72">
            <v>61</v>
          </cell>
        </row>
        <row r="73">
          <cell r="C73" t="str">
            <v>Depreciation</v>
          </cell>
          <cell r="D73">
            <v>62</v>
          </cell>
        </row>
        <row r="74">
          <cell r="C74" t="str">
            <v>Amortization</v>
          </cell>
          <cell r="D74">
            <v>63</v>
          </cell>
        </row>
        <row r="75">
          <cell r="C75" t="str">
            <v>Loss on Disposal of operations</v>
          </cell>
          <cell r="D75">
            <v>64</v>
          </cell>
        </row>
        <row r="76">
          <cell r="C76" t="str">
            <v>Equipment Sales Costs</v>
          </cell>
          <cell r="D76">
            <v>65</v>
          </cell>
        </row>
        <row r="77">
          <cell r="D77">
            <v>66</v>
          </cell>
        </row>
        <row r="78">
          <cell r="C78" t="str">
            <v>Operating Profit</v>
          </cell>
          <cell r="D78">
            <v>67</v>
          </cell>
        </row>
        <row r="79">
          <cell r="C79" t="str">
            <v>Consulting Services - (EBIT)</v>
          </cell>
          <cell r="D79">
            <v>68</v>
          </cell>
        </row>
        <row r="80">
          <cell r="C80" t="str">
            <v>Corporate advisory and restructuring - (EBIT)</v>
          </cell>
          <cell r="D80">
            <v>69</v>
          </cell>
        </row>
        <row r="81">
          <cell r="C81" t="str">
            <v>Security Services - (EBIT)</v>
          </cell>
          <cell r="D81">
            <v>70</v>
          </cell>
        </row>
        <row r="82">
          <cell r="C82" t="str">
            <v>Technology Services - (EBIT)</v>
          </cell>
          <cell r="D82">
            <v>71</v>
          </cell>
        </row>
        <row r="83">
          <cell r="C83" t="str">
            <v>Employee Screening - (EBIT)</v>
          </cell>
          <cell r="D83">
            <v>72</v>
          </cell>
        </row>
        <row r="84">
          <cell r="C84" t="str">
            <v>Information Security Group - (EBIT)</v>
          </cell>
          <cell r="D84">
            <v>73</v>
          </cell>
        </row>
        <row r="85">
          <cell r="C85" t="str">
            <v>Other - (EBIT)</v>
          </cell>
          <cell r="D85">
            <v>74</v>
          </cell>
        </row>
        <row r="86">
          <cell r="D86">
            <v>75</v>
          </cell>
        </row>
        <row r="87">
          <cell r="C87" t="str">
            <v>EBITDA</v>
          </cell>
          <cell r="D87">
            <v>76</v>
          </cell>
        </row>
        <row r="88">
          <cell r="C88" t="str">
            <v>EBITA</v>
          </cell>
          <cell r="D88">
            <v>77</v>
          </cell>
        </row>
        <row r="89">
          <cell r="C89" t="str">
            <v>Interest Expense</v>
          </cell>
          <cell r="D89">
            <v>78</v>
          </cell>
        </row>
        <row r="90">
          <cell r="C90" t="str">
            <v>Gross Interest Expense</v>
          </cell>
          <cell r="D90">
            <v>79</v>
          </cell>
        </row>
        <row r="91">
          <cell r="C91" t="str">
            <v>Capitalized Interest</v>
          </cell>
          <cell r="D91">
            <v>80</v>
          </cell>
        </row>
        <row r="92">
          <cell r="C92" t="str">
            <v>Interest Income</v>
          </cell>
          <cell r="D92">
            <v>81</v>
          </cell>
        </row>
        <row r="93">
          <cell r="C93" t="str">
            <v>Other Income</v>
          </cell>
          <cell r="D93">
            <v>82</v>
          </cell>
        </row>
        <row r="94">
          <cell r="C94" t="str">
            <v>Other Charges</v>
          </cell>
          <cell r="D94">
            <v>83</v>
          </cell>
        </row>
        <row r="95">
          <cell r="C95" t="str">
            <v>Minority Interest</v>
          </cell>
          <cell r="D95">
            <v>84</v>
          </cell>
        </row>
        <row r="96">
          <cell r="D96">
            <v>85</v>
          </cell>
        </row>
        <row r="97">
          <cell r="C97" t="str">
            <v>Earnings Before Tax</v>
          </cell>
          <cell r="D97">
            <v>86</v>
          </cell>
        </row>
        <row r="98">
          <cell r="C98" t="str">
            <v>Taxes</v>
          </cell>
          <cell r="D98">
            <v>87</v>
          </cell>
        </row>
        <row r="99">
          <cell r="C99" t="str">
            <v>Net Income before dividend payment</v>
          </cell>
          <cell r="D99">
            <v>88</v>
          </cell>
        </row>
        <row r="100">
          <cell r="C100" t="str">
            <v>Dividends</v>
          </cell>
          <cell r="D100">
            <v>89</v>
          </cell>
        </row>
        <row r="101">
          <cell r="C101" t="str">
            <v>Net Income</v>
          </cell>
          <cell r="D101">
            <v>90</v>
          </cell>
        </row>
        <row r="102">
          <cell r="D102">
            <v>91</v>
          </cell>
        </row>
        <row r="103">
          <cell r="C103" t="str">
            <v xml:space="preserve">(Gains) &amp; Charges </v>
          </cell>
          <cell r="D103">
            <v>92</v>
          </cell>
        </row>
        <row r="104">
          <cell r="C104" t="str">
            <v>Nonrecurring Asset Losses</v>
          </cell>
          <cell r="D104">
            <v>93</v>
          </cell>
        </row>
        <row r="105">
          <cell r="C105" t="str">
            <v>Extraordinary Items</v>
          </cell>
          <cell r="D105">
            <v>94</v>
          </cell>
        </row>
        <row r="106">
          <cell r="D106">
            <v>95</v>
          </cell>
        </row>
        <row r="107">
          <cell r="C107" t="str">
            <v>Net Income To Common</v>
          </cell>
          <cell r="D107">
            <v>96</v>
          </cell>
        </row>
        <row r="108">
          <cell r="D108">
            <v>97</v>
          </cell>
        </row>
        <row r="109">
          <cell r="C109" t="str">
            <v>Amount of Shares Issued or (Repurchased)</v>
          </cell>
          <cell r="D109">
            <v>98</v>
          </cell>
        </row>
        <row r="110">
          <cell r="C110" t="str">
            <v>Share Price Assumption</v>
          </cell>
          <cell r="D110">
            <v>99</v>
          </cell>
        </row>
        <row r="111">
          <cell r="C111" t="str">
            <v>Number of Shares Issued or (Repurchased)</v>
          </cell>
          <cell r="D111">
            <v>100</v>
          </cell>
        </row>
        <row r="112">
          <cell r="C112" t="str">
            <v>Purchase Assumption: Average or End of Period</v>
          </cell>
          <cell r="D112">
            <v>101</v>
          </cell>
        </row>
        <row r="113">
          <cell r="D113">
            <v>102</v>
          </cell>
        </row>
        <row r="114">
          <cell r="C114" t="str">
            <v>Shares Outstanding (basic)</v>
          </cell>
          <cell r="D114">
            <v>103</v>
          </cell>
        </row>
        <row r="115">
          <cell r="C115" t="str">
            <v>Shares Outstanding (diluted)</v>
          </cell>
          <cell r="D115">
            <v>104</v>
          </cell>
        </row>
        <row r="116">
          <cell r="D116">
            <v>105</v>
          </cell>
        </row>
        <row r="117">
          <cell r="C117" t="str">
            <v>Convertible interest, tax adjusted</v>
          </cell>
          <cell r="D117">
            <v>106</v>
          </cell>
        </row>
        <row r="118">
          <cell r="D118">
            <v>107</v>
          </cell>
        </row>
        <row r="119">
          <cell r="C119" t="str">
            <v>EPS (Basic Reported)</v>
          </cell>
          <cell r="D119">
            <v>108</v>
          </cell>
        </row>
        <row r="120">
          <cell r="C120" t="str">
            <v>EPS (Fully Diluted Reported)</v>
          </cell>
          <cell r="D120">
            <v>109</v>
          </cell>
        </row>
        <row r="121">
          <cell r="C121" t="str">
            <v>EPS (Fully Diluted Operating)</v>
          </cell>
          <cell r="D121">
            <v>110</v>
          </cell>
        </row>
        <row r="122">
          <cell r="C122" t="str">
            <v>EPS Consensus</v>
          </cell>
          <cell r="D122">
            <v>111</v>
          </cell>
        </row>
        <row r="123">
          <cell r="D123">
            <v>112</v>
          </cell>
        </row>
        <row r="124">
          <cell r="C124" t="str">
            <v>FREE CASH FLOW</v>
          </cell>
          <cell r="D124">
            <v>113</v>
          </cell>
        </row>
        <row r="125">
          <cell r="C125" t="str">
            <v>EBITDA</v>
          </cell>
          <cell r="D125">
            <v>114</v>
          </cell>
        </row>
        <row r="126">
          <cell r="C126" t="str">
            <v xml:space="preserve">Interest paid </v>
          </cell>
          <cell r="D126">
            <v>115</v>
          </cell>
        </row>
        <row r="127">
          <cell r="C127" t="str">
            <v>Taxes paid (% of reported taxes)</v>
          </cell>
          <cell r="D127">
            <v>116</v>
          </cell>
        </row>
        <row r="128">
          <cell r="C128" t="str">
            <v>Effect of Working Capital</v>
          </cell>
          <cell r="D128">
            <v>117</v>
          </cell>
        </row>
        <row r="129">
          <cell r="D129">
            <v>118</v>
          </cell>
        </row>
        <row r="130">
          <cell r="C130" t="str">
            <v>Net cash provided by operating activities</v>
          </cell>
          <cell r="D130">
            <v>119</v>
          </cell>
        </row>
        <row r="131">
          <cell r="C131" t="str">
            <v>Capital expenditures</v>
          </cell>
          <cell r="D131">
            <v>120</v>
          </cell>
        </row>
        <row r="132">
          <cell r="C132" t="str">
            <v>Operating Free Cash Flow</v>
          </cell>
          <cell r="D132">
            <v>121</v>
          </cell>
        </row>
        <row r="133">
          <cell r="D133">
            <v>122</v>
          </cell>
        </row>
        <row r="134">
          <cell r="C134" t="str">
            <v>Adjustments:</v>
          </cell>
          <cell r="D134">
            <v>123</v>
          </cell>
        </row>
        <row r="135">
          <cell r="C135" t="str">
            <v>Cash Charges</v>
          </cell>
          <cell r="D135">
            <v>124</v>
          </cell>
        </row>
        <row r="136">
          <cell r="C136" t="str">
            <v>Litigation settlements</v>
          </cell>
          <cell r="D136">
            <v>125</v>
          </cell>
        </row>
        <row r="137">
          <cell r="C137" t="str">
            <v>Tax refund</v>
          </cell>
          <cell r="D137">
            <v>126</v>
          </cell>
        </row>
        <row r="138">
          <cell r="C138" t="str">
            <v>Pension plan termination payments</v>
          </cell>
          <cell r="D138">
            <v>127</v>
          </cell>
        </row>
        <row r="139">
          <cell r="C139" t="str">
            <v>Accounting and consulting services</v>
          </cell>
          <cell r="D139">
            <v>128</v>
          </cell>
        </row>
        <row r="140">
          <cell r="C140" t="str">
            <v>Reimb. of employee stock purchase plan shares</v>
          </cell>
          <cell r="D140">
            <v>129</v>
          </cell>
        </row>
        <row r="141">
          <cell r="C141" t="str">
            <v>Merger &amp; Acquisition</v>
          </cell>
          <cell r="D141">
            <v>130</v>
          </cell>
        </row>
        <row r="142">
          <cell r="C142" t="str">
            <v>Free Cash Flow before Acq &amp; Divest</v>
          </cell>
          <cell r="D142">
            <v>131</v>
          </cell>
        </row>
        <row r="143">
          <cell r="C143" t="str">
            <v>Asset Sales</v>
          </cell>
          <cell r="D143">
            <v>132</v>
          </cell>
        </row>
        <row r="144">
          <cell r="C144" t="str">
            <v>Acquisition Cash Payments</v>
          </cell>
          <cell r="D144">
            <v>133</v>
          </cell>
        </row>
        <row r="145">
          <cell r="C145" t="str">
            <v>Excess Free Cash Flow</v>
          </cell>
          <cell r="D145">
            <v>134</v>
          </cell>
        </row>
        <row r="146">
          <cell r="D146">
            <v>135</v>
          </cell>
        </row>
        <row r="147">
          <cell r="C147" t="str">
            <v>CASH FLOW (Sources &amp; Uses)</v>
          </cell>
          <cell r="D147">
            <v>136</v>
          </cell>
        </row>
        <row r="148">
          <cell r="C148" t="str">
            <v>Sources of Funds</v>
          </cell>
          <cell r="D148">
            <v>137</v>
          </cell>
        </row>
        <row r="149">
          <cell r="C149" t="str">
            <v>Net Income</v>
          </cell>
          <cell r="D149">
            <v>138</v>
          </cell>
        </row>
        <row r="150">
          <cell r="C150" t="str">
            <v>Less Dividends on Preferred</v>
          </cell>
          <cell r="D150">
            <v>139</v>
          </cell>
        </row>
        <row r="151">
          <cell r="D151">
            <v>140</v>
          </cell>
        </row>
        <row r="152">
          <cell r="C152" t="str">
            <v>Retained Earnings</v>
          </cell>
          <cell r="D152">
            <v>141</v>
          </cell>
        </row>
        <row r="153">
          <cell r="D153">
            <v>142</v>
          </cell>
        </row>
        <row r="154">
          <cell r="C154" t="str">
            <v xml:space="preserve">Deprecation &amp; Non-cash Items   </v>
          </cell>
          <cell r="D154">
            <v>143</v>
          </cell>
        </row>
        <row r="155">
          <cell r="C155" t="str">
            <v>Payables &amp; Accruals</v>
          </cell>
          <cell r="D155">
            <v>144</v>
          </cell>
        </row>
        <row r="156">
          <cell r="C156" t="str">
            <v>Sale of Assets</v>
          </cell>
          <cell r="D156">
            <v>145</v>
          </cell>
        </row>
        <row r="157">
          <cell r="C157" t="str">
            <v>Defferred Taxes</v>
          </cell>
          <cell r="D157">
            <v>146</v>
          </cell>
        </row>
        <row r="158">
          <cell r="C158" t="str">
            <v>Other</v>
          </cell>
          <cell r="D158">
            <v>147</v>
          </cell>
        </row>
        <row r="159">
          <cell r="C159" t="str">
            <v>Total Sources</v>
          </cell>
          <cell r="D159">
            <v>148</v>
          </cell>
        </row>
        <row r="160">
          <cell r="D160">
            <v>149</v>
          </cell>
        </row>
        <row r="161">
          <cell r="C161" t="str">
            <v>Uses of Funds</v>
          </cell>
          <cell r="D161">
            <v>150</v>
          </cell>
        </row>
        <row r="162">
          <cell r="C162" t="str">
            <v>Capital Spending</v>
          </cell>
          <cell r="D162">
            <v>151</v>
          </cell>
        </row>
        <row r="163">
          <cell r="C163" t="str">
            <v>Receivables &amp; Inventory</v>
          </cell>
          <cell r="D163">
            <v>152</v>
          </cell>
        </row>
        <row r="164">
          <cell r="C164" t="str">
            <v>Acquisitions &amp; Investment</v>
          </cell>
          <cell r="D164">
            <v>153</v>
          </cell>
        </row>
        <row r="165">
          <cell r="C165" t="str">
            <v>Other</v>
          </cell>
          <cell r="D165">
            <v>154</v>
          </cell>
        </row>
        <row r="166">
          <cell r="C166" t="str">
            <v>Total Uses</v>
          </cell>
          <cell r="D166">
            <v>155</v>
          </cell>
        </row>
        <row r="167">
          <cell r="D167">
            <v>156</v>
          </cell>
        </row>
        <row r="168">
          <cell r="C168" t="str">
            <v>Financing</v>
          </cell>
          <cell r="D168">
            <v>157</v>
          </cell>
        </row>
        <row r="169">
          <cell r="C169" t="str">
            <v>Short-Term Debt</v>
          </cell>
          <cell r="D169">
            <v>158</v>
          </cell>
        </row>
        <row r="170">
          <cell r="C170" t="str">
            <v>Long-Term Debt</v>
          </cell>
          <cell r="D170">
            <v>159</v>
          </cell>
        </row>
        <row r="171">
          <cell r="C171" t="str">
            <v>Total Debt Financing</v>
          </cell>
          <cell r="D171">
            <v>160</v>
          </cell>
        </row>
        <row r="172">
          <cell r="C172" t="str">
            <v>Common Equity</v>
          </cell>
          <cell r="D172">
            <v>161</v>
          </cell>
        </row>
        <row r="174">
          <cell r="C174" t="str">
            <v>Total Equity Financing</v>
          </cell>
          <cell r="D174">
            <v>163</v>
          </cell>
        </row>
        <row r="175">
          <cell r="D175">
            <v>164</v>
          </cell>
        </row>
        <row r="176">
          <cell r="C176" t="str">
            <v>Total Financing</v>
          </cell>
          <cell r="D176">
            <v>165</v>
          </cell>
        </row>
        <row r="177">
          <cell r="C177" t="str">
            <v>Discontinued Ops</v>
          </cell>
          <cell r="D177">
            <v>166</v>
          </cell>
        </row>
        <row r="178">
          <cell r="C178" t="str">
            <v>Net Change in Cash</v>
          </cell>
          <cell r="D178">
            <v>167</v>
          </cell>
        </row>
        <row r="179">
          <cell r="D179">
            <v>168</v>
          </cell>
        </row>
        <row r="180">
          <cell r="D180">
            <v>169</v>
          </cell>
        </row>
        <row r="181">
          <cell r="C181" t="str">
            <v>BALANCE SHEET</v>
          </cell>
          <cell r="D181">
            <v>170</v>
          </cell>
        </row>
        <row r="182">
          <cell r="C182" t="str">
            <v>Assets</v>
          </cell>
          <cell r="D182">
            <v>171</v>
          </cell>
        </row>
        <row r="183">
          <cell r="C183" t="str">
            <v>Cash and Equivalents</v>
          </cell>
          <cell r="D183">
            <v>172</v>
          </cell>
        </row>
        <row r="184">
          <cell r="C184" t="str">
            <v>Restricted Cash</v>
          </cell>
          <cell r="D184">
            <v>173</v>
          </cell>
        </row>
        <row r="185">
          <cell r="C185" t="str">
            <v>Accounts Receivable (DSO)</v>
          </cell>
          <cell r="D185">
            <v>174</v>
          </cell>
        </row>
        <row r="186">
          <cell r="C186" t="str">
            <v>Other Receivables</v>
          </cell>
          <cell r="D186">
            <v>175</v>
          </cell>
        </row>
        <row r="187">
          <cell r="C187" t="str">
            <v>Inventories</v>
          </cell>
          <cell r="D187">
            <v>176</v>
          </cell>
        </row>
        <row r="188">
          <cell r="C188" t="str">
            <v>Accrued Income</v>
          </cell>
          <cell r="D188">
            <v>177</v>
          </cell>
        </row>
        <row r="189">
          <cell r="C189" t="str">
            <v>Prepaid Expenses &amp; Other</v>
          </cell>
          <cell r="D189">
            <v>178</v>
          </cell>
        </row>
        <row r="190">
          <cell r="C190" t="str">
            <v>Current Assets</v>
          </cell>
          <cell r="D190">
            <v>179</v>
          </cell>
        </row>
        <row r="191">
          <cell r="D191">
            <v>180</v>
          </cell>
        </row>
        <row r="192">
          <cell r="C192" t="str">
            <v>Property, Plant &amp; Equip. (net)</v>
          </cell>
          <cell r="D192">
            <v>181</v>
          </cell>
        </row>
        <row r="193">
          <cell r="C193" t="str">
            <v>Databases (net)</v>
          </cell>
          <cell r="D193">
            <v>182</v>
          </cell>
        </row>
        <row r="194">
          <cell r="C194" t="str">
            <v>Goodwill</v>
          </cell>
          <cell r="D194">
            <v>183</v>
          </cell>
        </row>
        <row r="195">
          <cell r="C195" t="str">
            <v>Deferred Taxes</v>
          </cell>
          <cell r="D195">
            <v>184</v>
          </cell>
        </row>
        <row r="196">
          <cell r="C196" t="str">
            <v>Other Non-Current Assets</v>
          </cell>
          <cell r="D196">
            <v>185</v>
          </cell>
        </row>
        <row r="197">
          <cell r="C197" t="str">
            <v>Total Assets</v>
          </cell>
          <cell r="D197">
            <v>186</v>
          </cell>
        </row>
        <row r="198">
          <cell r="D198">
            <v>187</v>
          </cell>
        </row>
        <row r="199">
          <cell r="C199" t="str">
            <v xml:space="preserve">Liabilities &amp; Equity </v>
          </cell>
          <cell r="D199">
            <v>188</v>
          </cell>
        </row>
        <row r="200">
          <cell r="C200" t="str">
            <v>Short-Term Debt</v>
          </cell>
          <cell r="D200">
            <v>189</v>
          </cell>
        </row>
        <row r="201">
          <cell r="C201" t="str">
            <v>Accounts Payable</v>
          </cell>
          <cell r="D201">
            <v>190</v>
          </cell>
        </row>
        <row r="202">
          <cell r="C202" t="str">
            <v>Liabilities</v>
          </cell>
          <cell r="D202">
            <v>191</v>
          </cell>
        </row>
        <row r="203">
          <cell r="C203" t="str">
            <v>Other</v>
          </cell>
          <cell r="D203">
            <v>192</v>
          </cell>
        </row>
        <row r="204">
          <cell r="C204" t="str">
            <v>Current Liabilities</v>
          </cell>
          <cell r="D204">
            <v>193</v>
          </cell>
        </row>
        <row r="205">
          <cell r="D205">
            <v>194</v>
          </cell>
        </row>
        <row r="206">
          <cell r="D206">
            <v>195</v>
          </cell>
        </row>
        <row r="207">
          <cell r="C207" t="str">
            <v>Long-Term Debt</v>
          </cell>
          <cell r="D207">
            <v>196</v>
          </cell>
        </row>
        <row r="208">
          <cell r="C208" t="str">
            <v>Deferred Income Taxes</v>
          </cell>
          <cell r="D208">
            <v>197</v>
          </cell>
        </row>
        <row r="209">
          <cell r="C209" t="str">
            <v>Other Long-Term Liabilities</v>
          </cell>
          <cell r="D209">
            <v>198</v>
          </cell>
        </row>
        <row r="211">
          <cell r="C211" t="str">
            <v>Minority Interest in Subsidiaries</v>
          </cell>
          <cell r="D211">
            <v>200</v>
          </cell>
        </row>
        <row r="212">
          <cell r="D212">
            <v>201</v>
          </cell>
        </row>
        <row r="213">
          <cell r="C213" t="str">
            <v>Total Stockholders Equity</v>
          </cell>
          <cell r="D213">
            <v>202</v>
          </cell>
        </row>
        <row r="214">
          <cell r="D214">
            <v>203</v>
          </cell>
        </row>
        <row r="215">
          <cell r="C215" t="str">
            <v>Total Liabilities &amp; Equity</v>
          </cell>
          <cell r="D215">
            <v>204</v>
          </cell>
        </row>
        <row r="216">
          <cell r="D216">
            <v>205</v>
          </cell>
        </row>
        <row r="217">
          <cell r="D217">
            <v>206</v>
          </cell>
        </row>
        <row r="218">
          <cell r="C218" t="str">
            <v>Adjustments and Assumptions</v>
          </cell>
          <cell r="D218">
            <v>207</v>
          </cell>
        </row>
        <row r="219">
          <cell r="C219" t="str">
            <v>R&amp;D Amortization Period</v>
          </cell>
          <cell r="D219">
            <v>208</v>
          </cell>
        </row>
        <row r="220">
          <cell r="C220" t="str">
            <v>Effective Tax Rate (For Tax Shield)</v>
          </cell>
          <cell r="D220">
            <v>209</v>
          </cell>
        </row>
        <row r="221">
          <cell r="C221" t="str">
            <v>Statutory Tax Rate</v>
          </cell>
          <cell r="D221">
            <v>210</v>
          </cell>
        </row>
        <row r="222">
          <cell r="C222" t="str">
            <v>Required Cash as a % of sales</v>
          </cell>
          <cell r="D222">
            <v>211</v>
          </cell>
        </row>
        <row r="223">
          <cell r="C223" t="str">
            <v>LIFO Reserve</v>
          </cell>
          <cell r="D223">
            <v>212</v>
          </cell>
        </row>
        <row r="224">
          <cell r="C224" t="str">
            <v>Other Reserve</v>
          </cell>
          <cell r="D224">
            <v>213</v>
          </cell>
        </row>
        <row r="225">
          <cell r="C225" t="str">
            <v>Accumulated Asset Write Offs (After Taxes)</v>
          </cell>
          <cell r="D225">
            <v>214</v>
          </cell>
        </row>
        <row r="226">
          <cell r="C226" t="str">
            <v>Accumulated Gross Acquired In-Process R&amp;D</v>
          </cell>
          <cell r="D226">
            <v>215</v>
          </cell>
        </row>
        <row r="227">
          <cell r="C227" t="str">
            <v>Accumulated Goodwill Amortization</v>
          </cell>
          <cell r="D227">
            <v>216</v>
          </cell>
        </row>
        <row r="228">
          <cell r="C228" t="str">
            <v>Gross Unrecorded Goodwill</v>
          </cell>
          <cell r="D228">
            <v>217</v>
          </cell>
        </row>
        <row r="229">
          <cell r="C229" t="str">
            <v>Market Value of Non-Operating Investments</v>
          </cell>
          <cell r="D229">
            <v>218</v>
          </cell>
        </row>
        <row r="230">
          <cell r="C230" t="str">
            <v>Revaluation Reserve / Cum. FX Translation Adj.</v>
          </cell>
          <cell r="D230">
            <v>219</v>
          </cell>
        </row>
        <row r="231">
          <cell r="C231" t="str">
            <v>Cumulative Goodwill Written Off To Reserves</v>
          </cell>
          <cell r="D231">
            <v>220</v>
          </cell>
        </row>
        <row r="232">
          <cell r="C232" t="str">
            <v>Change in Deferred Taxes</v>
          </cell>
          <cell r="D232">
            <v>221</v>
          </cell>
        </row>
        <row r="233">
          <cell r="C233" t="str">
            <v>Normalized Change in Deferred Taxes</v>
          </cell>
          <cell r="D233">
            <v>222</v>
          </cell>
        </row>
        <row r="234">
          <cell r="C234" t="str">
            <v>Operating Leases</v>
          </cell>
          <cell r="D234">
            <v>223</v>
          </cell>
        </row>
        <row r="235">
          <cell r="C235" t="str">
            <v xml:space="preserve"> Year 1</v>
          </cell>
          <cell r="D235">
            <v>224</v>
          </cell>
        </row>
        <row r="236">
          <cell r="C236" t="str">
            <v xml:space="preserve"> Year 2</v>
          </cell>
          <cell r="D236">
            <v>225</v>
          </cell>
        </row>
        <row r="237">
          <cell r="C237" t="str">
            <v xml:space="preserve"> Year 3</v>
          </cell>
          <cell r="D237">
            <v>226</v>
          </cell>
        </row>
        <row r="238">
          <cell r="C238" t="str">
            <v xml:space="preserve"> Year 4</v>
          </cell>
          <cell r="D238">
            <v>227</v>
          </cell>
        </row>
        <row r="239">
          <cell r="C239" t="str">
            <v xml:space="preserve"> Year 5</v>
          </cell>
          <cell r="D239">
            <v>228</v>
          </cell>
        </row>
        <row r="240">
          <cell r="C240" t="str">
            <v xml:space="preserve"> Thereafter</v>
          </cell>
          <cell r="D240">
            <v>229</v>
          </cell>
        </row>
        <row r="241">
          <cell r="C241" t="str">
            <v>Current Year Operating Lease Charge</v>
          </cell>
          <cell r="D241">
            <v>230</v>
          </cell>
        </row>
        <row r="242">
          <cell r="C242" t="str">
            <v>Duration of UK Operating Lease Stream (years)</v>
          </cell>
          <cell r="D242">
            <v>231</v>
          </cell>
        </row>
        <row r="243">
          <cell r="D243">
            <v>232</v>
          </cell>
        </row>
        <row r="244">
          <cell r="D244">
            <v>233</v>
          </cell>
        </row>
        <row r="245">
          <cell r="D245">
            <v>234</v>
          </cell>
        </row>
        <row r="246">
          <cell r="C246" t="str">
            <v>Share Data and WACC Inputs</v>
          </cell>
          <cell r="D246">
            <v>235</v>
          </cell>
        </row>
        <row r="247">
          <cell r="C247" t="str">
            <v xml:space="preserve">Average No. of shares </v>
          </cell>
          <cell r="D247">
            <v>236</v>
          </cell>
        </row>
        <row r="248">
          <cell r="C248" t="str">
            <v xml:space="preserve">Diluted Average No. of shares </v>
          </cell>
          <cell r="D248">
            <v>237</v>
          </cell>
        </row>
        <row r="249">
          <cell r="C249" t="str">
            <v>Year-end Shares - Class A (Default)</v>
          </cell>
          <cell r="D249">
            <v>238</v>
          </cell>
        </row>
        <row r="250">
          <cell r="C250" t="str">
            <v>Year-end Shares - Class B</v>
          </cell>
          <cell r="D250">
            <v>239</v>
          </cell>
        </row>
        <row r="251">
          <cell r="C251" t="str">
            <v>Year-end Preference Shares</v>
          </cell>
          <cell r="D251">
            <v>240</v>
          </cell>
        </row>
        <row r="252">
          <cell r="C252" t="str">
            <v>Total shares at Year End</v>
          </cell>
          <cell r="D252">
            <v>241</v>
          </cell>
        </row>
        <row r="253">
          <cell r="C253" t="str">
            <v>Year-end Price - Class A shares / Default class</v>
          </cell>
          <cell r="D253">
            <v>242</v>
          </cell>
        </row>
        <row r="254">
          <cell r="C254" t="str">
            <v>Year-end Price - Preference shares</v>
          </cell>
          <cell r="D254">
            <v>243</v>
          </cell>
        </row>
        <row r="255">
          <cell r="C255" t="str">
            <v>Year-end Price - Class B shares</v>
          </cell>
          <cell r="D255">
            <v>244</v>
          </cell>
        </row>
        <row r="256">
          <cell r="C256" t="str">
            <v>Risk Free Rate</v>
          </cell>
          <cell r="D256">
            <v>245</v>
          </cell>
        </row>
        <row r="257">
          <cell r="C257" t="str">
            <v>Equity Risk Premium</v>
          </cell>
          <cell r="D257">
            <v>246</v>
          </cell>
        </row>
        <row r="258">
          <cell r="C258" t="str">
            <v>Debt Rating</v>
          </cell>
          <cell r="D258">
            <v>247</v>
          </cell>
        </row>
        <row r="259">
          <cell r="C259" t="str">
            <v>Debt Spread</v>
          </cell>
          <cell r="D259">
            <v>248</v>
          </cell>
        </row>
        <row r="260">
          <cell r="C260" t="str">
            <v>Sector Beta</v>
          </cell>
          <cell r="D260">
            <v>249</v>
          </cell>
        </row>
        <row r="261">
          <cell r="C261" t="str">
            <v>Size Beta</v>
          </cell>
          <cell r="D261">
            <v>250</v>
          </cell>
        </row>
        <row r="262">
          <cell r="C262" t="str">
            <v>Cost/Coupon Rate of Preferred Stock</v>
          </cell>
          <cell r="D262">
            <v>251</v>
          </cell>
        </row>
        <row r="263">
          <cell r="C263" t="str">
            <v>Current Shares Outstanding</v>
          </cell>
          <cell r="D263">
            <v>252</v>
          </cell>
        </row>
        <row r="264">
          <cell r="C264" t="str">
            <v>Target Debt &amp; Equivalents/ Total Capital</v>
          </cell>
          <cell r="D264">
            <v>253</v>
          </cell>
        </row>
        <row r="265">
          <cell r="C265" t="str">
            <v>Target Preferred/ Total Capital</v>
          </cell>
          <cell r="D265">
            <v>254</v>
          </cell>
        </row>
        <row r="266">
          <cell r="D266">
            <v>255</v>
          </cell>
        </row>
        <row r="267">
          <cell r="D267">
            <v>256</v>
          </cell>
        </row>
        <row r="268">
          <cell r="C268" t="str">
            <v>WACC</v>
          </cell>
          <cell r="D268">
            <v>257</v>
          </cell>
        </row>
        <row r="269">
          <cell r="C269" t="str">
            <v>Total Debt &amp; Debt Equivalents</v>
          </cell>
          <cell r="D269">
            <v>258</v>
          </cell>
        </row>
        <row r="270">
          <cell r="C270" t="str">
            <v>Total Debt &amp; Debt Equivalents as % of Capital</v>
          </cell>
          <cell r="D270">
            <v>259</v>
          </cell>
        </row>
        <row r="271">
          <cell r="C271" t="str">
            <v>Risk Free Rate</v>
          </cell>
          <cell r="D271">
            <v>260</v>
          </cell>
        </row>
        <row r="272">
          <cell r="C272" t="str">
            <v>Debt Spread</v>
          </cell>
          <cell r="D272">
            <v>261</v>
          </cell>
        </row>
        <row r="273">
          <cell r="C273" t="str">
            <v>Tax Rate</v>
          </cell>
          <cell r="D273">
            <v>262</v>
          </cell>
        </row>
        <row r="274">
          <cell r="C274" t="str">
            <v>Cost of Debt</v>
          </cell>
          <cell r="D274">
            <v>263</v>
          </cell>
        </row>
        <row r="275">
          <cell r="D275">
            <v>264</v>
          </cell>
        </row>
        <row r="276">
          <cell r="C276" t="str">
            <v>Preferred Stock</v>
          </cell>
          <cell r="D276">
            <v>265</v>
          </cell>
        </row>
        <row r="277">
          <cell r="C277" t="str">
            <v>Preferred Stock as % of Capital</v>
          </cell>
          <cell r="D277">
            <v>266</v>
          </cell>
        </row>
        <row r="278">
          <cell r="C278" t="str">
            <v>Cost of Preferred</v>
          </cell>
          <cell r="D278">
            <v>267</v>
          </cell>
        </row>
        <row r="279">
          <cell r="D279">
            <v>268</v>
          </cell>
        </row>
        <row r="280">
          <cell r="C280" t="str">
            <v xml:space="preserve">Shares Outstanding - A Class / Default class </v>
          </cell>
          <cell r="D280">
            <v>269</v>
          </cell>
        </row>
        <row r="281">
          <cell r="C281" t="str">
            <v>Year-end Price - Class A shares / Default class</v>
          </cell>
          <cell r="D281">
            <v>270</v>
          </cell>
        </row>
        <row r="282">
          <cell r="C282" t="str">
            <v>Market Value of Class A/ Default shares</v>
          </cell>
          <cell r="D282">
            <v>271</v>
          </cell>
        </row>
        <row r="283">
          <cell r="C283" t="str">
            <v>Market Value of Total Equity Shares</v>
          </cell>
          <cell r="D283">
            <v>272</v>
          </cell>
        </row>
        <row r="284">
          <cell r="C284" t="str">
            <v>Total Equity / Total Capitalization</v>
          </cell>
          <cell r="D284">
            <v>273</v>
          </cell>
        </row>
        <row r="285">
          <cell r="C285" t="str">
            <v>Risk Free Rate (30 yr.)</v>
          </cell>
          <cell r="D285">
            <v>274</v>
          </cell>
        </row>
        <row r="286">
          <cell r="C286" t="str">
            <v>Equity Risk Premium</v>
          </cell>
          <cell r="D286">
            <v>275</v>
          </cell>
        </row>
        <row r="287">
          <cell r="C287" t="str">
            <v>Sector Beta</v>
          </cell>
          <cell r="D287">
            <v>276</v>
          </cell>
        </row>
        <row r="288">
          <cell r="C288" t="str">
            <v>Size Beta</v>
          </cell>
          <cell r="D288">
            <v>277</v>
          </cell>
        </row>
        <row r="289">
          <cell r="C289" t="str">
            <v>Cost of Equity</v>
          </cell>
          <cell r="D289">
            <v>278</v>
          </cell>
        </row>
        <row r="290">
          <cell r="D290">
            <v>279</v>
          </cell>
        </row>
        <row r="291">
          <cell r="C291" t="str">
            <v>Weighted Average Cost of Capital Calculation</v>
          </cell>
          <cell r="D291">
            <v>280</v>
          </cell>
        </row>
        <row r="292">
          <cell r="D292">
            <v>281</v>
          </cell>
        </row>
        <row r="293">
          <cell r="D293">
            <v>282</v>
          </cell>
        </row>
        <row r="294">
          <cell r="D294">
            <v>283</v>
          </cell>
        </row>
        <row r="295">
          <cell r="C295" t="str">
            <v>Research and Development</v>
          </cell>
          <cell r="D295">
            <v>284</v>
          </cell>
        </row>
        <row r="296">
          <cell r="C296" t="str">
            <v>R&amp;D Amortization Period</v>
          </cell>
          <cell r="D296">
            <v>285</v>
          </cell>
        </row>
        <row r="297">
          <cell r="C297" t="str">
            <v>R&amp;D Expense</v>
          </cell>
          <cell r="D297">
            <v>286</v>
          </cell>
        </row>
        <row r="298">
          <cell r="C298" t="str">
            <v>Straight Line Charge</v>
          </cell>
          <cell r="D298">
            <v>287</v>
          </cell>
        </row>
        <row r="299">
          <cell r="C299" t="str">
            <v>Accumulated R&amp;D</v>
          </cell>
          <cell r="D299">
            <v>288</v>
          </cell>
        </row>
        <row r="300">
          <cell r="C300" t="str">
            <v>Less R&amp;D Amortization</v>
          </cell>
          <cell r="D300">
            <v>289</v>
          </cell>
        </row>
        <row r="301">
          <cell r="C301" t="str">
            <v>Capitalized R&amp;D Expense, net of Cum. Amortization</v>
          </cell>
          <cell r="D301">
            <v>290</v>
          </cell>
        </row>
        <row r="302">
          <cell r="D302">
            <v>291</v>
          </cell>
        </row>
        <row r="303">
          <cell r="D303">
            <v>292</v>
          </cell>
        </row>
        <row r="304">
          <cell r="D304">
            <v>293</v>
          </cell>
        </row>
        <row r="305">
          <cell r="C305" t="str">
            <v>PV of Operating Leases Calculation</v>
          </cell>
          <cell r="D305">
            <v>294</v>
          </cell>
        </row>
        <row r="306">
          <cell r="C306" t="str">
            <v xml:space="preserve"> Year 1</v>
          </cell>
          <cell r="D306">
            <v>295</v>
          </cell>
        </row>
        <row r="307">
          <cell r="C307" t="str">
            <v xml:space="preserve"> Year 2</v>
          </cell>
          <cell r="D307">
            <v>296</v>
          </cell>
        </row>
        <row r="308">
          <cell r="C308" t="str">
            <v xml:space="preserve"> Year 3</v>
          </cell>
          <cell r="D308">
            <v>297</v>
          </cell>
        </row>
        <row r="309">
          <cell r="C309" t="str">
            <v xml:space="preserve"> Year 4</v>
          </cell>
          <cell r="D309">
            <v>298</v>
          </cell>
        </row>
        <row r="310">
          <cell r="C310" t="str">
            <v xml:space="preserve"> Year 5</v>
          </cell>
          <cell r="D310">
            <v>299</v>
          </cell>
        </row>
        <row r="311">
          <cell r="C311" t="str">
            <v xml:space="preserve"> Thereafter</v>
          </cell>
          <cell r="D311">
            <v>300</v>
          </cell>
        </row>
        <row r="312">
          <cell r="C312" t="str">
            <v>PV Year 1 @ senior cost of debt</v>
          </cell>
          <cell r="D312">
            <v>301</v>
          </cell>
        </row>
        <row r="313">
          <cell r="C313" t="str">
            <v>PV Year 2 @ senior cost of debt</v>
          </cell>
          <cell r="D313">
            <v>302</v>
          </cell>
        </row>
        <row r="314">
          <cell r="C314" t="str">
            <v>PV Year 3 @ senior cost of debt</v>
          </cell>
          <cell r="D314">
            <v>303</v>
          </cell>
        </row>
        <row r="315">
          <cell r="C315" t="str">
            <v>PV Year 4 @ senior cost of debt</v>
          </cell>
          <cell r="D315">
            <v>304</v>
          </cell>
        </row>
        <row r="316">
          <cell r="C316" t="str">
            <v>PV Year 5 @ senior cost of debt</v>
          </cell>
          <cell r="D316">
            <v>305</v>
          </cell>
        </row>
        <row r="317">
          <cell r="C317" t="str">
            <v>Thereafter (periods)</v>
          </cell>
          <cell r="D317">
            <v>306</v>
          </cell>
        </row>
        <row r="318">
          <cell r="C318">
            <v>6</v>
          </cell>
          <cell r="D318">
            <v>307</v>
          </cell>
        </row>
        <row r="319">
          <cell r="C319">
            <v>7</v>
          </cell>
          <cell r="D319">
            <v>308</v>
          </cell>
        </row>
        <row r="320">
          <cell r="C320">
            <v>8</v>
          </cell>
          <cell r="D320">
            <v>309</v>
          </cell>
        </row>
        <row r="321">
          <cell r="C321">
            <v>9</v>
          </cell>
          <cell r="D321">
            <v>310</v>
          </cell>
        </row>
        <row r="322">
          <cell r="C322">
            <v>10</v>
          </cell>
          <cell r="D322">
            <v>311</v>
          </cell>
        </row>
        <row r="323">
          <cell r="C323">
            <v>11</v>
          </cell>
          <cell r="D323">
            <v>312</v>
          </cell>
        </row>
        <row r="324">
          <cell r="C324">
            <v>12</v>
          </cell>
          <cell r="D324">
            <v>313</v>
          </cell>
        </row>
        <row r="325">
          <cell r="C325">
            <v>13</v>
          </cell>
          <cell r="D325">
            <v>314</v>
          </cell>
        </row>
        <row r="326">
          <cell r="C326">
            <v>14</v>
          </cell>
          <cell r="D326">
            <v>315</v>
          </cell>
        </row>
        <row r="327">
          <cell r="C327">
            <v>15</v>
          </cell>
          <cell r="D327">
            <v>316</v>
          </cell>
        </row>
        <row r="328">
          <cell r="C328">
            <v>16</v>
          </cell>
          <cell r="D328">
            <v>317</v>
          </cell>
        </row>
        <row r="329">
          <cell r="C329">
            <v>17</v>
          </cell>
          <cell r="D329">
            <v>318</v>
          </cell>
        </row>
        <row r="330">
          <cell r="C330">
            <v>18</v>
          </cell>
          <cell r="D330">
            <v>319</v>
          </cell>
        </row>
        <row r="331">
          <cell r="C331">
            <v>19</v>
          </cell>
          <cell r="D331">
            <v>320</v>
          </cell>
        </row>
        <row r="332">
          <cell r="C332">
            <v>20</v>
          </cell>
          <cell r="D332">
            <v>321</v>
          </cell>
        </row>
        <row r="333">
          <cell r="C333">
            <v>21</v>
          </cell>
          <cell r="D333">
            <v>322</v>
          </cell>
        </row>
        <row r="334">
          <cell r="C334">
            <v>22</v>
          </cell>
          <cell r="D334">
            <v>323</v>
          </cell>
        </row>
        <row r="335">
          <cell r="C335">
            <v>23</v>
          </cell>
          <cell r="D335">
            <v>324</v>
          </cell>
        </row>
        <row r="336">
          <cell r="C336">
            <v>24</v>
          </cell>
          <cell r="D336">
            <v>325</v>
          </cell>
        </row>
        <row r="337">
          <cell r="C337">
            <v>25</v>
          </cell>
          <cell r="D337">
            <v>326</v>
          </cell>
        </row>
        <row r="338">
          <cell r="C338">
            <v>26</v>
          </cell>
          <cell r="D338">
            <v>327</v>
          </cell>
        </row>
        <row r="339">
          <cell r="C339">
            <v>27</v>
          </cell>
          <cell r="D339">
            <v>328</v>
          </cell>
        </row>
        <row r="340">
          <cell r="C340">
            <v>28</v>
          </cell>
          <cell r="D340">
            <v>329</v>
          </cell>
        </row>
        <row r="341">
          <cell r="C341">
            <v>29</v>
          </cell>
          <cell r="D341">
            <v>330</v>
          </cell>
        </row>
        <row r="342">
          <cell r="C342">
            <v>30</v>
          </cell>
          <cell r="D342">
            <v>331</v>
          </cell>
        </row>
        <row r="343">
          <cell r="C343">
            <v>31</v>
          </cell>
          <cell r="D343">
            <v>332</v>
          </cell>
        </row>
        <row r="344">
          <cell r="C344" t="str">
            <v>Present Value of Operating Leases</v>
          </cell>
          <cell r="D344">
            <v>333</v>
          </cell>
        </row>
        <row r="345">
          <cell r="C345" t="str">
            <v>Implied Interest Expense on Operating Leases</v>
          </cell>
          <cell r="D345">
            <v>334</v>
          </cell>
        </row>
      </sheetData>
      <sheetData sheetId="4" refreshError="1">
        <row r="64">
          <cell r="C64" t="str">
            <v>Invested Capital</v>
          </cell>
        </row>
      </sheetData>
      <sheetData sheetId="5" refreshError="1">
        <row r="60">
          <cell r="C60" t="str">
            <v xml:space="preserve">Net Operating Profits After Taxes 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BR Disclaimer"/>
      <sheetName val="ROIC"/>
      <sheetName val="Ratios"/>
      <sheetName val="Financials"/>
      <sheetName val="Invested Capital"/>
      <sheetName val="NOPAT"/>
      <sheetName val="Balance Sheet"/>
      <sheetName val="Income Statement"/>
      <sheetName val="For Briefs"/>
      <sheetName val="Scenario"/>
      <sheetName val="DCF"/>
      <sheetName val="Forecast"/>
      <sheetName val="Databox"/>
      <sheetName val="Wizard"/>
      <sheetName val="Price Data"/>
    </sheetNames>
    <sheetDataSet>
      <sheetData sheetId="0" refreshError="1"/>
      <sheetData sheetId="1" refreshError="1"/>
      <sheetData sheetId="2" refreshError="1"/>
      <sheetData sheetId="3" refreshError="1">
        <row r="13">
          <cell r="C13" t="str">
            <v>INCOME STATEMENT</v>
          </cell>
        </row>
        <row r="211">
          <cell r="C211" t="str">
            <v>Minority Interest in Subsidiaries</v>
          </cell>
          <cell r="D211">
            <v>200</v>
          </cell>
        </row>
        <row r="212">
          <cell r="D212">
            <v>201</v>
          </cell>
        </row>
        <row r="213">
          <cell r="C213" t="str">
            <v>Total Stockholders Equity</v>
          </cell>
          <cell r="D213">
            <v>202</v>
          </cell>
        </row>
        <row r="214">
          <cell r="D214">
            <v>203</v>
          </cell>
        </row>
        <row r="215">
          <cell r="C215" t="str">
            <v>Total Liabilities &amp; Equity</v>
          </cell>
          <cell r="D215">
            <v>204</v>
          </cell>
        </row>
        <row r="216">
          <cell r="D216">
            <v>205</v>
          </cell>
        </row>
        <row r="217">
          <cell r="D217">
            <v>206</v>
          </cell>
        </row>
        <row r="218">
          <cell r="C218" t="str">
            <v>Adjustments and Assumptions</v>
          </cell>
          <cell r="D218">
            <v>207</v>
          </cell>
        </row>
        <row r="219">
          <cell r="C219" t="str">
            <v>R&amp;D Amortization Period</v>
          </cell>
          <cell r="D219">
            <v>208</v>
          </cell>
        </row>
        <row r="220">
          <cell r="C220" t="str">
            <v>Effective Tax Rate (For Tax Shield)</v>
          </cell>
          <cell r="D220">
            <v>209</v>
          </cell>
        </row>
        <row r="221">
          <cell r="C221" t="str">
            <v>Statutory Tax Rate</v>
          </cell>
          <cell r="D221">
            <v>210</v>
          </cell>
        </row>
        <row r="222">
          <cell r="C222" t="str">
            <v>Required Cash as a % of sales</v>
          </cell>
          <cell r="D222">
            <v>211</v>
          </cell>
        </row>
        <row r="223">
          <cell r="C223" t="str">
            <v>LIFO Reserve</v>
          </cell>
          <cell r="D223">
            <v>212</v>
          </cell>
        </row>
        <row r="224">
          <cell r="C224" t="str">
            <v>Other Reserve</v>
          </cell>
          <cell r="D224">
            <v>213</v>
          </cell>
        </row>
        <row r="225">
          <cell r="C225" t="str">
            <v>Accumulated Asset Write Offs (After Taxes)</v>
          </cell>
          <cell r="D225">
            <v>214</v>
          </cell>
        </row>
        <row r="226">
          <cell r="C226" t="str">
            <v>Accumulated Gross Acquired In-Process R&amp;D</v>
          </cell>
          <cell r="D226">
            <v>215</v>
          </cell>
        </row>
        <row r="227">
          <cell r="C227" t="str">
            <v>Accumulated Goodwill Amortization</v>
          </cell>
          <cell r="D227">
            <v>216</v>
          </cell>
        </row>
        <row r="228">
          <cell r="C228" t="str">
            <v>Gross Unrecorded Goodwill</v>
          </cell>
          <cell r="D228">
            <v>217</v>
          </cell>
        </row>
        <row r="229">
          <cell r="C229" t="str">
            <v>Market Value of Non-Operating Investments</v>
          </cell>
          <cell r="D229">
            <v>218</v>
          </cell>
        </row>
        <row r="230">
          <cell r="C230" t="str">
            <v>Revaluation Reserve / Cum. FX Translation Adj.</v>
          </cell>
          <cell r="D230">
            <v>219</v>
          </cell>
        </row>
        <row r="231">
          <cell r="C231" t="str">
            <v>Cumulative Goodwill Written Off To Reserves</v>
          </cell>
          <cell r="D231">
            <v>220</v>
          </cell>
        </row>
        <row r="232">
          <cell r="C232" t="str">
            <v>Change in Deferred Taxes</v>
          </cell>
          <cell r="D232">
            <v>221</v>
          </cell>
        </row>
        <row r="233">
          <cell r="C233" t="str">
            <v>Normalized Change in Deferred Taxes</v>
          </cell>
          <cell r="D233">
            <v>222</v>
          </cell>
        </row>
        <row r="234">
          <cell r="C234" t="str">
            <v>Operating Leases</v>
          </cell>
          <cell r="D234">
            <v>223</v>
          </cell>
        </row>
        <row r="235">
          <cell r="C235" t="str">
            <v xml:space="preserve"> Year 1</v>
          </cell>
          <cell r="D235">
            <v>224</v>
          </cell>
        </row>
        <row r="236">
          <cell r="C236" t="str">
            <v xml:space="preserve"> Year 2</v>
          </cell>
          <cell r="D236">
            <v>225</v>
          </cell>
        </row>
        <row r="237">
          <cell r="C237" t="str">
            <v xml:space="preserve"> Year 3</v>
          </cell>
          <cell r="D237">
            <v>226</v>
          </cell>
        </row>
        <row r="238">
          <cell r="C238" t="str">
            <v xml:space="preserve"> Year 4</v>
          </cell>
          <cell r="D238">
            <v>227</v>
          </cell>
        </row>
        <row r="239">
          <cell r="C239" t="str">
            <v xml:space="preserve"> Year 5</v>
          </cell>
          <cell r="D239">
            <v>228</v>
          </cell>
        </row>
        <row r="240">
          <cell r="C240" t="str">
            <v xml:space="preserve"> Thereafter</v>
          </cell>
          <cell r="D240">
            <v>229</v>
          </cell>
        </row>
        <row r="241">
          <cell r="C241" t="str">
            <v>Current Year Operating Lease Charge</v>
          </cell>
          <cell r="D241">
            <v>230</v>
          </cell>
        </row>
        <row r="242">
          <cell r="C242" t="str">
            <v>Duration of UK Operating Lease Stream (years)</v>
          </cell>
          <cell r="D242">
            <v>231</v>
          </cell>
        </row>
        <row r="243">
          <cell r="D243">
            <v>232</v>
          </cell>
        </row>
        <row r="244">
          <cell r="D244">
            <v>233</v>
          </cell>
        </row>
        <row r="245">
          <cell r="D245">
            <v>234</v>
          </cell>
        </row>
        <row r="246">
          <cell r="C246" t="str">
            <v>Share Data and WACC Inputs</v>
          </cell>
          <cell r="D246">
            <v>235</v>
          </cell>
        </row>
        <row r="247">
          <cell r="C247" t="str">
            <v xml:space="preserve">Average No. of shares </v>
          </cell>
          <cell r="D247">
            <v>236</v>
          </cell>
        </row>
        <row r="248">
          <cell r="C248" t="str">
            <v xml:space="preserve">Diluted Average No. of shares </v>
          </cell>
          <cell r="D248">
            <v>237</v>
          </cell>
        </row>
        <row r="249">
          <cell r="C249" t="str">
            <v>Year-end Shares - Class A (Default)</v>
          </cell>
          <cell r="D249">
            <v>238</v>
          </cell>
        </row>
        <row r="250">
          <cell r="C250" t="str">
            <v>Year-end Shares - Class B</v>
          </cell>
          <cell r="D250">
            <v>239</v>
          </cell>
        </row>
        <row r="251">
          <cell r="C251" t="str">
            <v>Year-end Preference Shares</v>
          </cell>
          <cell r="D251">
            <v>240</v>
          </cell>
        </row>
        <row r="252">
          <cell r="C252" t="str">
            <v>Total shares at Year End</v>
          </cell>
          <cell r="D252">
            <v>241</v>
          </cell>
        </row>
        <row r="253">
          <cell r="C253" t="str">
            <v>Year-end Price - Class A shares / Default class</v>
          </cell>
          <cell r="D253">
            <v>242</v>
          </cell>
        </row>
        <row r="254">
          <cell r="C254" t="str">
            <v>Year-end Price - Preference shares</v>
          </cell>
          <cell r="D254">
            <v>243</v>
          </cell>
        </row>
        <row r="255">
          <cell r="C255" t="str">
            <v>Year-end Price - Class B shares</v>
          </cell>
          <cell r="D255">
            <v>244</v>
          </cell>
        </row>
        <row r="256">
          <cell r="C256" t="str">
            <v>Risk Free Rate</v>
          </cell>
          <cell r="D256">
            <v>245</v>
          </cell>
        </row>
        <row r="257">
          <cell r="C257" t="str">
            <v>Equity Risk Premium</v>
          </cell>
          <cell r="D257">
            <v>246</v>
          </cell>
        </row>
        <row r="258">
          <cell r="C258" t="str">
            <v>Debt Rating</v>
          </cell>
          <cell r="D258">
            <v>247</v>
          </cell>
        </row>
        <row r="259">
          <cell r="C259" t="str">
            <v>Debt Spread</v>
          </cell>
          <cell r="D259">
            <v>248</v>
          </cell>
        </row>
        <row r="260">
          <cell r="C260" t="str">
            <v>Sector Beta</v>
          </cell>
          <cell r="D260">
            <v>249</v>
          </cell>
        </row>
        <row r="261">
          <cell r="C261" t="str">
            <v>Size Beta</v>
          </cell>
          <cell r="D261">
            <v>250</v>
          </cell>
        </row>
        <row r="262">
          <cell r="C262" t="str">
            <v>Cost/Coupon Rate of Preferred Stock</v>
          </cell>
          <cell r="D262">
            <v>251</v>
          </cell>
        </row>
        <row r="263">
          <cell r="C263" t="str">
            <v>Current Shares Outstanding</v>
          </cell>
          <cell r="D263">
            <v>252</v>
          </cell>
        </row>
        <row r="264">
          <cell r="C264" t="str">
            <v>Target Debt &amp; Equivalents/ Total Capital</v>
          </cell>
          <cell r="D264">
            <v>253</v>
          </cell>
        </row>
        <row r="265">
          <cell r="C265" t="str">
            <v>Target Preferred/ Total Capital</v>
          </cell>
          <cell r="D265">
            <v>254</v>
          </cell>
        </row>
        <row r="266">
          <cell r="D266">
            <v>255</v>
          </cell>
        </row>
        <row r="267">
          <cell r="D267">
            <v>256</v>
          </cell>
        </row>
        <row r="268">
          <cell r="C268" t="str">
            <v>WACC</v>
          </cell>
          <cell r="D268">
            <v>257</v>
          </cell>
        </row>
        <row r="269">
          <cell r="C269" t="str">
            <v>Total Debt &amp; Debt Equivalents</v>
          </cell>
          <cell r="D269">
            <v>258</v>
          </cell>
        </row>
        <row r="270">
          <cell r="C270" t="str">
            <v>Total Debt &amp; Debt Equivalents as % of Capital</v>
          </cell>
          <cell r="D270">
            <v>259</v>
          </cell>
        </row>
        <row r="271">
          <cell r="C271" t="str">
            <v>Risk Free Rate</v>
          </cell>
          <cell r="D271">
            <v>260</v>
          </cell>
        </row>
        <row r="272">
          <cell r="C272" t="str">
            <v>Debt Spread</v>
          </cell>
          <cell r="D272">
            <v>261</v>
          </cell>
        </row>
        <row r="273">
          <cell r="C273" t="str">
            <v>Tax Rate</v>
          </cell>
          <cell r="D273">
            <v>262</v>
          </cell>
        </row>
        <row r="274">
          <cell r="C274" t="str">
            <v>Cost of Debt</v>
          </cell>
          <cell r="D274">
            <v>263</v>
          </cell>
        </row>
        <row r="275">
          <cell r="D275">
            <v>264</v>
          </cell>
        </row>
        <row r="276">
          <cell r="C276" t="str">
            <v>Preferred Stock</v>
          </cell>
          <cell r="D276">
            <v>265</v>
          </cell>
        </row>
        <row r="277">
          <cell r="C277" t="str">
            <v>Preferred Stock as % of Capital</v>
          </cell>
          <cell r="D277">
            <v>266</v>
          </cell>
        </row>
        <row r="278">
          <cell r="C278" t="str">
            <v>Cost of Preferred</v>
          </cell>
          <cell r="D278">
            <v>267</v>
          </cell>
        </row>
        <row r="279">
          <cell r="D279">
            <v>268</v>
          </cell>
        </row>
        <row r="280">
          <cell r="C280" t="str">
            <v xml:space="preserve">Shares Outstanding - A Class / Default class </v>
          </cell>
          <cell r="D280">
            <v>269</v>
          </cell>
        </row>
        <row r="281">
          <cell r="C281" t="str">
            <v>Year-end Price - Class A shares / Default class</v>
          </cell>
          <cell r="D281">
            <v>270</v>
          </cell>
        </row>
        <row r="282">
          <cell r="C282" t="str">
            <v>Market Value of Class A/ Default shares</v>
          </cell>
          <cell r="D282">
            <v>271</v>
          </cell>
        </row>
        <row r="283">
          <cell r="C283" t="str">
            <v>Market Value of Total Equity Shares</v>
          </cell>
          <cell r="D283">
            <v>272</v>
          </cell>
        </row>
        <row r="284">
          <cell r="C284" t="str">
            <v>Total Equity / Total Capitalization</v>
          </cell>
          <cell r="D284">
            <v>273</v>
          </cell>
        </row>
        <row r="285">
          <cell r="C285" t="str">
            <v>Risk Free Rate (30 yr.)</v>
          </cell>
          <cell r="D285">
            <v>274</v>
          </cell>
        </row>
        <row r="286">
          <cell r="C286" t="str">
            <v>Equity Risk Premium</v>
          </cell>
          <cell r="D286">
            <v>275</v>
          </cell>
        </row>
        <row r="287">
          <cell r="C287" t="str">
            <v>Sector Beta</v>
          </cell>
          <cell r="D287">
            <v>276</v>
          </cell>
        </row>
        <row r="288">
          <cell r="C288" t="str">
            <v>Size Beta</v>
          </cell>
          <cell r="D288">
            <v>277</v>
          </cell>
        </row>
        <row r="289">
          <cell r="C289" t="str">
            <v>Cost of Equity</v>
          </cell>
          <cell r="D289">
            <v>278</v>
          </cell>
        </row>
        <row r="290">
          <cell r="D290">
            <v>279</v>
          </cell>
        </row>
        <row r="291">
          <cell r="C291" t="str">
            <v>Weighted Average Cost of Capital Calculation</v>
          </cell>
          <cell r="D291">
            <v>280</v>
          </cell>
        </row>
        <row r="292">
          <cell r="D292">
            <v>281</v>
          </cell>
        </row>
        <row r="293">
          <cell r="D293">
            <v>282</v>
          </cell>
        </row>
        <row r="294">
          <cell r="D294">
            <v>283</v>
          </cell>
        </row>
        <row r="295">
          <cell r="C295" t="str">
            <v>Research and Development</v>
          </cell>
          <cell r="D295">
            <v>284</v>
          </cell>
        </row>
        <row r="296">
          <cell r="C296" t="str">
            <v>R&amp;D Amortization Period</v>
          </cell>
          <cell r="D296">
            <v>285</v>
          </cell>
        </row>
        <row r="297">
          <cell r="C297" t="str">
            <v>R&amp;D Expense</v>
          </cell>
          <cell r="D297">
            <v>286</v>
          </cell>
        </row>
        <row r="298">
          <cell r="C298" t="str">
            <v>Straight Line Charge</v>
          </cell>
          <cell r="D298">
            <v>287</v>
          </cell>
        </row>
        <row r="299">
          <cell r="C299" t="str">
            <v>Accumulated R&amp;D</v>
          </cell>
          <cell r="D299">
            <v>288</v>
          </cell>
        </row>
        <row r="300">
          <cell r="C300" t="str">
            <v>Less R&amp;D Amortization</v>
          </cell>
          <cell r="D300">
            <v>289</v>
          </cell>
        </row>
        <row r="301">
          <cell r="C301" t="str">
            <v>Capitalized R&amp;D Expense, net of Cum. Amortization</v>
          </cell>
          <cell r="D301">
            <v>290</v>
          </cell>
        </row>
        <row r="302">
          <cell r="D302">
            <v>291</v>
          </cell>
        </row>
        <row r="303">
          <cell r="D303">
            <v>292</v>
          </cell>
        </row>
        <row r="304">
          <cell r="D304">
            <v>293</v>
          </cell>
        </row>
        <row r="305">
          <cell r="C305" t="str">
            <v>PV of Operating Leases Calculation</v>
          </cell>
          <cell r="D305">
            <v>294</v>
          </cell>
        </row>
        <row r="306">
          <cell r="C306" t="str">
            <v xml:space="preserve"> Year 1</v>
          </cell>
          <cell r="D306">
            <v>295</v>
          </cell>
        </row>
        <row r="307">
          <cell r="C307" t="str">
            <v xml:space="preserve"> Year 2</v>
          </cell>
          <cell r="D307">
            <v>296</v>
          </cell>
        </row>
        <row r="308">
          <cell r="C308" t="str">
            <v xml:space="preserve"> Year 3</v>
          </cell>
          <cell r="D308">
            <v>297</v>
          </cell>
        </row>
        <row r="309">
          <cell r="C309" t="str">
            <v xml:space="preserve"> Year 4</v>
          </cell>
          <cell r="D309">
            <v>298</v>
          </cell>
        </row>
        <row r="310">
          <cell r="C310" t="str">
            <v xml:space="preserve"> Year 5</v>
          </cell>
          <cell r="D310">
            <v>299</v>
          </cell>
        </row>
        <row r="311">
          <cell r="C311" t="str">
            <v xml:space="preserve"> Thereafter</v>
          </cell>
          <cell r="D311">
            <v>300</v>
          </cell>
        </row>
        <row r="312">
          <cell r="C312" t="str">
            <v>PV Year 1 @ senior cost of debt</v>
          </cell>
          <cell r="D312">
            <v>301</v>
          </cell>
        </row>
        <row r="313">
          <cell r="C313" t="str">
            <v>PV Year 2 @ senior cost of debt</v>
          </cell>
          <cell r="D313">
            <v>302</v>
          </cell>
        </row>
        <row r="314">
          <cell r="C314" t="str">
            <v>PV Year 3 @ senior cost of debt</v>
          </cell>
          <cell r="D314">
            <v>303</v>
          </cell>
        </row>
        <row r="315">
          <cell r="C315" t="str">
            <v>PV Year 4 @ senior cost of debt</v>
          </cell>
          <cell r="D315">
            <v>304</v>
          </cell>
        </row>
        <row r="316">
          <cell r="C316" t="str">
            <v>PV Year 5 @ senior cost of debt</v>
          </cell>
          <cell r="D316">
            <v>305</v>
          </cell>
        </row>
        <row r="317">
          <cell r="C317" t="str">
            <v>Thereafter (periods)</v>
          </cell>
          <cell r="D317">
            <v>306</v>
          </cell>
        </row>
        <row r="318">
          <cell r="C318">
            <v>6</v>
          </cell>
          <cell r="D318">
            <v>307</v>
          </cell>
        </row>
        <row r="319">
          <cell r="C319">
            <v>7</v>
          </cell>
          <cell r="D319">
            <v>308</v>
          </cell>
        </row>
        <row r="320">
          <cell r="C320">
            <v>8</v>
          </cell>
          <cell r="D320">
            <v>309</v>
          </cell>
        </row>
        <row r="321">
          <cell r="C321">
            <v>9</v>
          </cell>
          <cell r="D321">
            <v>310</v>
          </cell>
        </row>
        <row r="322">
          <cell r="C322">
            <v>10</v>
          </cell>
          <cell r="D322">
            <v>311</v>
          </cell>
        </row>
        <row r="323">
          <cell r="C323">
            <v>11</v>
          </cell>
          <cell r="D323">
            <v>312</v>
          </cell>
        </row>
        <row r="324">
          <cell r="C324">
            <v>12</v>
          </cell>
          <cell r="D324">
            <v>313</v>
          </cell>
        </row>
        <row r="325">
          <cell r="C325">
            <v>13</v>
          </cell>
          <cell r="D325">
            <v>314</v>
          </cell>
        </row>
        <row r="326">
          <cell r="C326">
            <v>14</v>
          </cell>
          <cell r="D326">
            <v>315</v>
          </cell>
        </row>
        <row r="327">
          <cell r="C327">
            <v>15</v>
          </cell>
          <cell r="D327">
            <v>316</v>
          </cell>
        </row>
        <row r="328">
          <cell r="C328">
            <v>16</v>
          </cell>
          <cell r="D328">
            <v>317</v>
          </cell>
        </row>
        <row r="329">
          <cell r="C329">
            <v>17</v>
          </cell>
          <cell r="D329">
            <v>318</v>
          </cell>
        </row>
        <row r="330">
          <cell r="C330">
            <v>18</v>
          </cell>
          <cell r="D330">
            <v>319</v>
          </cell>
        </row>
        <row r="331">
          <cell r="C331">
            <v>19</v>
          </cell>
          <cell r="D331">
            <v>320</v>
          </cell>
        </row>
        <row r="332">
          <cell r="C332">
            <v>20</v>
          </cell>
          <cell r="D332">
            <v>321</v>
          </cell>
        </row>
        <row r="333">
          <cell r="C333">
            <v>21</v>
          </cell>
          <cell r="D333">
            <v>322</v>
          </cell>
        </row>
        <row r="334">
          <cell r="C334">
            <v>22</v>
          </cell>
          <cell r="D334">
            <v>323</v>
          </cell>
        </row>
        <row r="335">
          <cell r="C335">
            <v>23</v>
          </cell>
          <cell r="D335">
            <v>324</v>
          </cell>
        </row>
        <row r="336">
          <cell r="C336">
            <v>24</v>
          </cell>
          <cell r="D336">
            <v>325</v>
          </cell>
        </row>
        <row r="337">
          <cell r="C337">
            <v>25</v>
          </cell>
          <cell r="D337">
            <v>326</v>
          </cell>
        </row>
        <row r="338">
          <cell r="C338">
            <v>26</v>
          </cell>
          <cell r="D338">
            <v>327</v>
          </cell>
        </row>
        <row r="339">
          <cell r="C339">
            <v>27</v>
          </cell>
          <cell r="D339">
            <v>328</v>
          </cell>
        </row>
        <row r="340">
          <cell r="C340">
            <v>28</v>
          </cell>
          <cell r="D340">
            <v>329</v>
          </cell>
        </row>
        <row r="341">
          <cell r="C341">
            <v>29</v>
          </cell>
          <cell r="D341">
            <v>330</v>
          </cell>
        </row>
        <row r="342">
          <cell r="C342">
            <v>30</v>
          </cell>
          <cell r="D342">
            <v>331</v>
          </cell>
        </row>
        <row r="343">
          <cell r="C343">
            <v>31</v>
          </cell>
          <cell r="D343">
            <v>332</v>
          </cell>
        </row>
        <row r="344">
          <cell r="C344" t="str">
            <v>Present Value of Operating Leases</v>
          </cell>
          <cell r="D344">
            <v>333</v>
          </cell>
        </row>
        <row r="345">
          <cell r="C345" t="str">
            <v>Implied Interest Expense on Operating Leases</v>
          </cell>
          <cell r="D345">
            <v>334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CASH"/>
      <sheetName val="FinSum"/>
      <sheetName val="MATQTRS"/>
      <sheetName val="SALESCAT"/>
      <sheetName val="MATBAL"/>
      <sheetName val="RELPE"/>
      <sheetName val="MATINC"/>
      <sheetName val="UNIV-EBS DATA"/>
      <sheetName val="Ratios"/>
      <sheetName val="Macro1"/>
      <sheetName val="Macro2"/>
      <sheetName val="UNIV_EBS DATA"/>
    </sheetNames>
    <sheetDataSet>
      <sheetData sheetId="0" refreshError="1">
        <row r="4">
          <cell r="A4" t="str">
            <v>Mattel</v>
          </cell>
          <cell r="B4" t="str">
            <v>Inc.</v>
          </cell>
        </row>
        <row r="5">
          <cell r="A5" t="str">
            <v>Analysis of Cash Flow 1994-1999E</v>
          </cell>
        </row>
        <row r="6">
          <cell r="A6" t="str">
            <v>($ Millions, except per share)</v>
          </cell>
        </row>
        <row r="7">
          <cell r="C7">
            <v>1986</v>
          </cell>
          <cell r="D7">
            <v>1987</v>
          </cell>
          <cell r="E7">
            <v>1988</v>
          </cell>
          <cell r="F7">
            <v>1989</v>
          </cell>
          <cell r="G7">
            <v>1990</v>
          </cell>
          <cell r="H7">
            <v>1991</v>
          </cell>
          <cell r="I7" t="str">
            <v>1992R</v>
          </cell>
          <cell r="J7" t="str">
            <v>1993</v>
          </cell>
          <cell r="K7" t="str">
            <v>1994R</v>
          </cell>
          <cell r="L7" t="str">
            <v>1995R</v>
          </cell>
          <cell r="M7" t="str">
            <v>1996R</v>
          </cell>
          <cell r="N7" t="str">
            <v>1997R</v>
          </cell>
          <cell r="O7" t="str">
            <v>1998E</v>
          </cell>
        </row>
        <row r="8">
          <cell r="A8" t="str">
            <v>Net Income excl. after-tax restructuring charges</v>
          </cell>
          <cell r="C8">
            <v>-23.351000000000006</v>
          </cell>
          <cell r="D8">
            <v>-42.930000000000049</v>
          </cell>
          <cell r="E8">
            <v>35.924000000000028</v>
          </cell>
          <cell r="F8">
            <v>68.650999999999982</v>
          </cell>
          <cell r="G8">
            <v>90.165999999999883</v>
          </cell>
          <cell r="H8">
            <v>111.72399999999993</v>
          </cell>
          <cell r="I8">
            <v>179.86300000000006</v>
          </cell>
          <cell r="J8">
            <v>112.31399999999982</v>
          </cell>
          <cell r="K8">
            <v>217.82399999999978</v>
          </cell>
          <cell r="L8">
            <v>337.84900000000022</v>
          </cell>
          <cell r="M8">
            <v>372.22400000000027</v>
          </cell>
          <cell r="N8">
            <v>497.89399999999989</v>
          </cell>
          <cell r="O8">
            <v>616.01759999999967</v>
          </cell>
        </row>
        <row r="9">
          <cell r="A9" t="str">
            <v>Depreciation/Amort.</v>
          </cell>
          <cell r="C9">
            <v>41.9</v>
          </cell>
          <cell r="D9">
            <v>52.3</v>
          </cell>
          <cell r="E9">
            <v>35.162999999999997</v>
          </cell>
          <cell r="F9">
            <v>42.725000000000001</v>
          </cell>
          <cell r="G9">
            <v>50.26</v>
          </cell>
          <cell r="H9">
            <v>57.652999999999999</v>
          </cell>
          <cell r="I9">
            <v>87.825000000000003</v>
          </cell>
          <cell r="J9">
            <v>91.97</v>
          </cell>
          <cell r="K9">
            <v>156.328</v>
          </cell>
          <cell r="L9">
            <v>170.005</v>
          </cell>
          <cell r="M9">
            <v>181</v>
          </cell>
          <cell r="N9">
            <v>207</v>
          </cell>
          <cell r="O9">
            <v>220</v>
          </cell>
        </row>
        <row r="10">
          <cell r="A10" t="str">
            <v>Inc. (Dec.) in Deferred Taxes</v>
          </cell>
          <cell r="C10">
            <v>-3.272000000000002</v>
          </cell>
          <cell r="D10">
            <v>-31.158000000000001</v>
          </cell>
          <cell r="E10">
            <v>7.657</v>
          </cell>
          <cell r="F10">
            <v>9.2480000000000011</v>
          </cell>
          <cell r="G10">
            <v>10.817</v>
          </cell>
          <cell r="H10">
            <v>21.821999999999999</v>
          </cell>
          <cell r="I10" t="str">
            <v>-</v>
          </cell>
          <cell r="J10" t="str">
            <v>-</v>
          </cell>
          <cell r="K10" t="str">
            <v>-</v>
          </cell>
          <cell r="L10" t="str">
            <v>-</v>
          </cell>
        </row>
        <row r="11">
          <cell r="A11" t="str">
            <v>Amortization</v>
          </cell>
          <cell r="K11">
            <v>26.074999999999999</v>
          </cell>
          <cell r="L11">
            <v>36.975999999999999</v>
          </cell>
          <cell r="M11">
            <v>36.670999999999999</v>
          </cell>
          <cell r="N11">
            <v>35</v>
          </cell>
          <cell r="O11">
            <v>35</v>
          </cell>
        </row>
        <row r="12">
          <cell r="A12" t="str">
            <v>Cash impact of restructuring Chages</v>
          </cell>
          <cell r="N12">
            <v>-190</v>
          </cell>
        </row>
        <row r="13">
          <cell r="A13" t="str">
            <v>Sources of Cash</v>
          </cell>
          <cell r="C13">
            <v>18.548999999999992</v>
          </cell>
          <cell r="D13">
            <v>9.3699999999999477</v>
          </cell>
          <cell r="E13">
            <v>71.087000000000018</v>
          </cell>
          <cell r="F13">
            <v>111.37599999999998</v>
          </cell>
          <cell r="G13">
            <v>140.42599999999987</v>
          </cell>
          <cell r="H13">
            <v>169.37699999999992</v>
          </cell>
          <cell r="I13">
            <v>267.68800000000005</v>
          </cell>
          <cell r="J13">
            <v>204.28399999999982</v>
          </cell>
          <cell r="K13">
            <v>374.15199999999982</v>
          </cell>
          <cell r="L13">
            <v>507.85400000000021</v>
          </cell>
          <cell r="M13">
            <v>553.22400000000027</v>
          </cell>
          <cell r="N13">
            <v>514.89399999999989</v>
          </cell>
          <cell r="O13">
            <v>836.01759999999967</v>
          </cell>
        </row>
        <row r="15">
          <cell r="A15" t="str">
            <v>Fully diluted Earnings Per Share</v>
          </cell>
          <cell r="C15">
            <v>-0.17037754798485866</v>
          </cell>
          <cell r="D15">
            <v>-0.28197315629961067</v>
          </cell>
          <cell r="E15">
            <v>0.20363371459808069</v>
          </cell>
          <cell r="F15">
            <v>0.85</v>
          </cell>
          <cell r="G15">
            <v>0.5</v>
          </cell>
          <cell r="H15">
            <v>0.60307609396502748</v>
          </cell>
          <cell r="I15">
            <v>0.66196685687454171</v>
          </cell>
          <cell r="J15">
            <v>0.8162334151116345</v>
          </cell>
          <cell r="K15">
            <v>0.91083668951537533</v>
          </cell>
          <cell r="L15">
            <v>1.1086959349593504</v>
          </cell>
          <cell r="M15">
            <v>1.2187442701102766</v>
          </cell>
          <cell r="N15">
            <v>1.648517011496585</v>
          </cell>
          <cell r="O15">
            <v>2.0129408356079916</v>
          </cell>
        </row>
        <row r="17">
          <cell r="A17" t="str">
            <v>Cash Flow Per Share</v>
          </cell>
          <cell r="C17">
            <v>0.13534037675350696</v>
          </cell>
          <cell r="D17">
            <v>6.1544106091948152E-2</v>
          </cell>
          <cell r="E17">
            <v>0.40295373203523421</v>
          </cell>
          <cell r="F17">
            <v>0.60941935811374937</v>
          </cell>
          <cell r="G17">
            <v>0.73585425813912964</v>
          </cell>
          <cell r="H17">
            <v>0.83457019949764666</v>
          </cell>
          <cell r="I17">
            <v>0.94952622432232503</v>
          </cell>
          <cell r="J17">
            <v>0.73305414031523641</v>
          </cell>
          <cell r="K17">
            <v>1.247406182487397</v>
          </cell>
          <cell r="L17">
            <v>1.7040994030581949</v>
          </cell>
          <cell r="M17">
            <v>1.8727518305253441</v>
          </cell>
          <cell r="N17">
            <v>1.7450248081772086</v>
          </cell>
          <cell r="O17">
            <v>2.8164988556810542</v>
          </cell>
        </row>
        <row r="18">
          <cell r="A18" t="str">
            <v>Cash Earnings Per Share</v>
          </cell>
          <cell r="C18">
            <v>0.13534037675350696</v>
          </cell>
          <cell r="D18">
            <v>6.1544106091948152E-2</v>
          </cell>
          <cell r="E18">
            <v>0.40295373203523421</v>
          </cell>
          <cell r="F18">
            <v>0.60941935811374937</v>
          </cell>
          <cell r="G18">
            <v>0.73585425813912964</v>
          </cell>
          <cell r="H18">
            <v>0.83457019949764666</v>
          </cell>
          <cell r="I18">
            <v>0.94952622432232503</v>
          </cell>
          <cell r="J18">
            <v>0.73305414031523641</v>
          </cell>
          <cell r="K18">
            <v>1.247406182487397</v>
          </cell>
          <cell r="L18">
            <v>1.7040994030581949</v>
          </cell>
          <cell r="M18">
            <v>1.8727518305253441</v>
          </cell>
          <cell r="N18">
            <v>2.3889529051324452</v>
          </cell>
          <cell r="O18">
            <v>2.8164988556810542</v>
          </cell>
        </row>
        <row r="20">
          <cell r="A20" t="str">
            <v>Cash Requirements</v>
          </cell>
        </row>
        <row r="21">
          <cell r="A21" t="str">
            <v>Capital Expenditures</v>
          </cell>
          <cell r="C21">
            <v>24.8</v>
          </cell>
          <cell r="D21">
            <v>42</v>
          </cell>
          <cell r="E21">
            <v>22.112000000000002</v>
          </cell>
          <cell r="F21">
            <v>44.658999999999999</v>
          </cell>
          <cell r="G21">
            <v>83.524000000000001</v>
          </cell>
          <cell r="H21">
            <v>47.707999999999998</v>
          </cell>
          <cell r="I21">
            <v>97.861999999999995</v>
          </cell>
          <cell r="J21">
            <v>88.41</v>
          </cell>
          <cell r="K21">
            <v>184.54</v>
          </cell>
          <cell r="L21">
            <v>222.84399999999999</v>
          </cell>
          <cell r="M21">
            <v>231.13900000000001</v>
          </cell>
          <cell r="N21">
            <v>210</v>
          </cell>
          <cell r="O21">
            <v>225</v>
          </cell>
        </row>
        <row r="22">
          <cell r="A22" t="str">
            <v>Common and Preferred Dividends</v>
          </cell>
          <cell r="C22">
            <v>10.864000000000001</v>
          </cell>
          <cell r="D22">
            <v>1.4379999999999999</v>
          </cell>
          <cell r="E22" t="str">
            <v>-</v>
          </cell>
          <cell r="F22" t="str">
            <v>-</v>
          </cell>
          <cell r="G22">
            <v>2.948</v>
          </cell>
          <cell r="H22">
            <v>8.11</v>
          </cell>
          <cell r="I22">
            <v>24.968</v>
          </cell>
          <cell r="J22">
            <v>30.475999999999999</v>
          </cell>
          <cell r="K22">
            <v>47.84</v>
          </cell>
          <cell r="L22">
            <v>50.963000000000001</v>
          </cell>
          <cell r="M22">
            <v>66.472999999999999</v>
          </cell>
          <cell r="N22">
            <v>87.667280000000005</v>
          </cell>
          <cell r="O22">
            <v>100.01688666666668</v>
          </cell>
        </row>
        <row r="23">
          <cell r="A23" t="str">
            <v>Non-Cash Change in Working Cap.</v>
          </cell>
          <cell r="C23">
            <v>74.64</v>
          </cell>
          <cell r="D23">
            <v>-12.347</v>
          </cell>
          <cell r="E23">
            <v>-51.646000000000001</v>
          </cell>
          <cell r="F23">
            <v>-85.4</v>
          </cell>
          <cell r="G23">
            <v>21.01</v>
          </cell>
          <cell r="H23">
            <v>23.08</v>
          </cell>
          <cell r="I23">
            <v>141.03700000000001</v>
          </cell>
          <cell r="J23">
            <v>-94.165999999999997</v>
          </cell>
          <cell r="K23">
            <v>48.442999999999984</v>
          </cell>
          <cell r="L23">
            <v>84.071000000000012</v>
          </cell>
          <cell r="M23">
            <v>70</v>
          </cell>
          <cell r="N23">
            <v>146.45099999999999</v>
          </cell>
          <cell r="O23">
            <v>60</v>
          </cell>
        </row>
        <row r="24">
          <cell r="A24" t="str">
            <v xml:space="preserve">  Total Cash Requirements</v>
          </cell>
          <cell r="C24">
            <v>110.304</v>
          </cell>
          <cell r="D24">
            <v>31.091000000000001</v>
          </cell>
          <cell r="E24">
            <v>-29.533999999999999</v>
          </cell>
          <cell r="F24">
            <v>-40.741000000000007</v>
          </cell>
          <cell r="G24">
            <v>107.482</v>
          </cell>
          <cell r="H24">
            <v>78.897999999999996</v>
          </cell>
          <cell r="I24">
            <v>263.86700000000002</v>
          </cell>
          <cell r="J24">
            <v>24.72</v>
          </cell>
          <cell r="K24">
            <v>280.82299999999998</v>
          </cell>
          <cell r="L24">
            <v>357.87800000000004</v>
          </cell>
          <cell r="M24">
            <v>367.61200000000002</v>
          </cell>
          <cell r="N24">
            <v>444.11828000000003</v>
          </cell>
          <cell r="O24">
            <v>385.01688666666666</v>
          </cell>
        </row>
        <row r="26">
          <cell r="A26" t="str">
            <v>Free Cash Flow</v>
          </cell>
          <cell r="C26">
            <v>-91.75500000000001</v>
          </cell>
          <cell r="D26">
            <v>-21.721000000000053</v>
          </cell>
          <cell r="E26">
            <v>100.62100000000001</v>
          </cell>
          <cell r="F26">
            <v>152.11699999999999</v>
          </cell>
          <cell r="G26">
            <v>32.943999999999875</v>
          </cell>
          <cell r="H26">
            <v>90.478999999999928</v>
          </cell>
          <cell r="I26">
            <v>3.8210000000000264</v>
          </cell>
          <cell r="J26">
            <v>179.56399999999982</v>
          </cell>
          <cell r="K26">
            <v>93.328999999999837</v>
          </cell>
          <cell r="L26">
            <v>149.97600000000017</v>
          </cell>
          <cell r="M26">
            <v>185.61200000000025</v>
          </cell>
          <cell r="N26">
            <v>70.775719999999865</v>
          </cell>
          <cell r="O26">
            <v>451.00071333333301</v>
          </cell>
        </row>
        <row r="28">
          <cell r="A28" t="str">
            <v>Other Sources (Uses) of Cash</v>
          </cell>
        </row>
        <row r="29">
          <cell r="A29" t="str">
            <v>Change in Debt</v>
          </cell>
          <cell r="C29">
            <v>12.716999999999999</v>
          </cell>
          <cell r="D29">
            <v>199.286</v>
          </cell>
          <cell r="E29">
            <v>-101.2</v>
          </cell>
          <cell r="F29">
            <v>-47.9</v>
          </cell>
          <cell r="G29">
            <v>-59.9</v>
          </cell>
          <cell r="H29">
            <v>-88.7</v>
          </cell>
          <cell r="I29">
            <v>96.644000000000005</v>
          </cell>
          <cell r="J29">
            <v>54.603000000000002</v>
          </cell>
          <cell r="K29">
            <v>-39.432000000000016</v>
          </cell>
          <cell r="L29">
            <v>155.565</v>
          </cell>
          <cell r="M29">
            <v>-76</v>
          </cell>
          <cell r="N29">
            <v>51.363</v>
          </cell>
          <cell r="O29">
            <v>86.341000000000008</v>
          </cell>
        </row>
        <row r="30">
          <cell r="A30" t="str">
            <v>Change in cash</v>
          </cell>
          <cell r="C30">
            <v>78.652999999999992</v>
          </cell>
          <cell r="D30">
            <v>-2.0579999999999998</v>
          </cell>
          <cell r="E30">
            <v>17.8</v>
          </cell>
          <cell r="F30">
            <v>115.851</v>
          </cell>
          <cell r="G30">
            <v>-1.5180000000000078</v>
          </cell>
          <cell r="H30">
            <v>9.1999999999999993</v>
          </cell>
          <cell r="I30">
            <v>82.66</v>
          </cell>
          <cell r="J30" t="str">
            <v>-</v>
          </cell>
          <cell r="K30" t="str">
            <v>-</v>
          </cell>
        </row>
        <row r="31">
          <cell r="A31" t="str">
            <v xml:space="preserve">  Net Debt</v>
          </cell>
          <cell r="C31">
            <v>65.935999999999993</v>
          </cell>
          <cell r="D31">
            <v>197.22800000000001</v>
          </cell>
          <cell r="E31">
            <v>-83.4</v>
          </cell>
          <cell r="F31">
            <v>67.950999999999993</v>
          </cell>
          <cell r="G31">
            <v>-61.418000000000006</v>
          </cell>
          <cell r="H31">
            <v>-79.5</v>
          </cell>
          <cell r="I31">
            <v>13.984000000000009</v>
          </cell>
          <cell r="J31">
            <v>54.603000000000002</v>
          </cell>
          <cell r="K31">
            <v>-39.432000000000016</v>
          </cell>
        </row>
        <row r="33">
          <cell r="A33" t="str">
            <v>Acquisitions</v>
          </cell>
          <cell r="C33" t="str">
            <v>-</v>
          </cell>
          <cell r="D33" t="str">
            <v>-</v>
          </cell>
          <cell r="E33" t="str">
            <v>-</v>
          </cell>
          <cell r="F33">
            <v>-11.579000000000001</v>
          </cell>
          <cell r="G33">
            <v>-31.541</v>
          </cell>
          <cell r="H33">
            <v>-63.99</v>
          </cell>
          <cell r="I33">
            <v>-17.739999999999998</v>
          </cell>
          <cell r="J33" t="str">
            <v>-</v>
          </cell>
          <cell r="K33">
            <v>-375</v>
          </cell>
          <cell r="L33" t="str">
            <v>-</v>
          </cell>
          <cell r="M33" t="str">
            <v>-</v>
          </cell>
        </row>
        <row r="34">
          <cell r="A34" t="str">
            <v>Stock Repurchase</v>
          </cell>
          <cell r="C34" t="str">
            <v>-</v>
          </cell>
          <cell r="D34" t="str">
            <v>-</v>
          </cell>
          <cell r="E34" t="str">
            <v>-</v>
          </cell>
          <cell r="F34" t="str">
            <v>-</v>
          </cell>
          <cell r="G34">
            <v>-3.266</v>
          </cell>
          <cell r="H34">
            <v>-15.1</v>
          </cell>
          <cell r="I34">
            <v>-52.036000000000001</v>
          </cell>
          <cell r="J34">
            <v>-52.558</v>
          </cell>
          <cell r="K34">
            <v>-80.885000000000005</v>
          </cell>
          <cell r="L34">
            <v>-138.15</v>
          </cell>
          <cell r="M34">
            <v>269.77100000000002</v>
          </cell>
          <cell r="N34">
            <v>-227.5</v>
          </cell>
          <cell r="O34">
            <v>-260</v>
          </cell>
        </row>
        <row r="35">
          <cell r="C35">
            <v>12.716999999999999</v>
          </cell>
          <cell r="D35">
            <v>199.286</v>
          </cell>
          <cell r="E35">
            <v>-101.2</v>
          </cell>
          <cell r="F35">
            <v>-59.478999999999999</v>
          </cell>
          <cell r="G35">
            <v>-94.707000000000008</v>
          </cell>
          <cell r="H35">
            <v>-167.79</v>
          </cell>
          <cell r="I35">
            <v>26.868000000000009</v>
          </cell>
          <cell r="J35">
            <v>2.0450000000000017</v>
          </cell>
          <cell r="K35">
            <v>-495.31700000000001</v>
          </cell>
          <cell r="L35">
            <v>17.414999999999992</v>
          </cell>
          <cell r="M35">
            <v>193.77100000000002</v>
          </cell>
          <cell r="N35">
            <v>-176.137</v>
          </cell>
          <cell r="O35">
            <v>-173.65899999999999</v>
          </cell>
        </row>
        <row r="37">
          <cell r="A37" t="str">
            <v>Inc. (Dec.) in Cash</v>
          </cell>
          <cell r="C37">
            <v>-79.038000000000011</v>
          </cell>
          <cell r="D37">
            <v>177.56499999999994</v>
          </cell>
          <cell r="E37">
            <v>-0.57899999999999352</v>
          </cell>
          <cell r="F37">
            <v>92.637999999999991</v>
          </cell>
          <cell r="G37">
            <v>-61.763000000000133</v>
          </cell>
          <cell r="H37">
            <v>-77.311000000000064</v>
          </cell>
          <cell r="I37">
            <v>30.689000000000036</v>
          </cell>
          <cell r="J37">
            <v>181.60899999999981</v>
          </cell>
          <cell r="K37">
            <v>-401.98800000000017</v>
          </cell>
          <cell r="L37">
            <v>167.39100000000016</v>
          </cell>
          <cell r="M37">
            <v>379.38300000000027</v>
          </cell>
          <cell r="N37">
            <v>-105.36128000000014</v>
          </cell>
          <cell r="O37">
            <v>277.34171333333302</v>
          </cell>
        </row>
        <row r="39">
          <cell r="A39" t="str">
            <v>Avg. Shares Out (000s)</v>
          </cell>
          <cell r="C39">
            <v>137054.443359375</v>
          </cell>
          <cell r="D39">
            <v>152248.53515625</v>
          </cell>
          <cell r="E39">
            <v>176414.794921875</v>
          </cell>
          <cell r="F39">
            <v>182757.568359375</v>
          </cell>
          <cell r="G39">
            <v>190833.984375</v>
          </cell>
          <cell r="H39">
            <v>202951.171875</v>
          </cell>
          <cell r="I39">
            <v>281917.4375</v>
          </cell>
          <cell r="J39">
            <v>278675.1875</v>
          </cell>
          <cell r="K39">
            <v>299944</v>
          </cell>
          <cell r="L39">
            <v>298019</v>
          </cell>
          <cell r="M39">
            <v>295407</v>
          </cell>
          <cell r="N39">
            <v>295064</v>
          </cell>
          <cell r="O39">
            <v>296828.66666666669</v>
          </cell>
        </row>
        <row r="41">
          <cell r="A41" t="str">
            <v>E = Morgan Stanley Research Estimate</v>
          </cell>
          <cell r="H41" t="str">
            <v>R = Restated for Fisher-Price  merger</v>
          </cell>
          <cell r="L41" t="str">
            <v>R = Restated for Tyco acquisition</v>
          </cell>
        </row>
        <row r="43">
          <cell r="A43" t="str">
            <v>1987 net income excludes an extra. items of $20.7 million related to early retirement of debt.</v>
          </cell>
        </row>
        <row r="44">
          <cell r="A44" t="str">
            <v>1989 net income excludes $11 million extraordinary item related to debt retirement.</v>
          </cell>
        </row>
        <row r="45">
          <cell r="A45" t="str">
            <v>1991 net income excludes extra. items of $5.2 million related to early retirement of debt and STAR preferred stock.</v>
          </cell>
        </row>
      </sheetData>
      <sheetData sheetId="1" refreshError="1">
        <row r="3">
          <cell r="A3" t="str">
            <v>Mattel, Inc.</v>
          </cell>
        </row>
        <row r="4">
          <cell r="A4" t="str">
            <v>Financial Summary Excluding Extraordinary Items 1990-1997E</v>
          </cell>
          <cell r="O4">
            <v>36077.757145601849</v>
          </cell>
          <cell r="P4">
            <v>36077.757145601849</v>
          </cell>
        </row>
        <row r="6">
          <cell r="P6" t="str">
            <v>1988-1993 *</v>
          </cell>
        </row>
        <row r="7">
          <cell r="A7" t="str">
            <v>($ Millions, except per share data)</v>
          </cell>
          <cell r="P7" t="str">
            <v>1990-1997E</v>
          </cell>
        </row>
        <row r="8">
          <cell r="B8">
            <v>1984</v>
          </cell>
          <cell r="C8" t="str">
            <v xml:space="preserve">     1985</v>
          </cell>
          <cell r="D8" t="str">
            <v xml:space="preserve">       1986</v>
          </cell>
          <cell r="E8" t="str">
            <v xml:space="preserve">     1987(a)</v>
          </cell>
          <cell r="F8" t="str">
            <v xml:space="preserve">      1988</v>
          </cell>
          <cell r="G8" t="str">
            <v xml:space="preserve">     1989(b)</v>
          </cell>
          <cell r="H8" t="str">
            <v xml:space="preserve">       1990</v>
          </cell>
          <cell r="I8" t="str">
            <v>1991(a)</v>
          </cell>
          <cell r="J8" t="str">
            <v xml:space="preserve">1992 </v>
          </cell>
          <cell r="K8" t="str">
            <v>1993 (b)</v>
          </cell>
          <cell r="L8" t="str">
            <v>1994R</v>
          </cell>
          <cell r="M8" t="str">
            <v>1995R</v>
          </cell>
          <cell r="N8" t="str">
            <v>1996R</v>
          </cell>
          <cell r="O8" t="str">
            <v>1997R</v>
          </cell>
          <cell r="P8" t="str">
            <v>CAGR</v>
          </cell>
        </row>
        <row r="9">
          <cell r="A9" t="str">
            <v>Operating Data</v>
          </cell>
          <cell r="F9" t="str">
            <v xml:space="preserve"> </v>
          </cell>
          <cell r="G9" t="str">
            <v xml:space="preserve"> </v>
          </cell>
          <cell r="H9" t="str">
            <v xml:space="preserve"> </v>
          </cell>
          <cell r="I9" t="str">
            <v xml:space="preserve"> </v>
          </cell>
        </row>
        <row r="10">
          <cell r="A10" t="str">
            <v xml:space="preserve"> Sales</v>
          </cell>
          <cell r="B10">
            <v>880.9</v>
          </cell>
          <cell r="C10">
            <v>1050.9000000000001</v>
          </cell>
          <cell r="D10">
            <v>1058.7</v>
          </cell>
          <cell r="E10">
            <v>1020.1</v>
          </cell>
          <cell r="F10">
            <v>990</v>
          </cell>
          <cell r="G10">
            <v>1237</v>
          </cell>
          <cell r="H10">
            <v>1497.3119999999999</v>
          </cell>
          <cell r="I10">
            <v>1649.173</v>
          </cell>
          <cell r="J10">
            <v>2563.5250000000001</v>
          </cell>
          <cell r="K10">
            <v>2704.4479999999999</v>
          </cell>
          <cell r="L10">
            <v>3971.2260000000001</v>
          </cell>
          <cell r="M10">
            <v>4369.8</v>
          </cell>
          <cell r="N10">
            <v>4535.3320000000003</v>
          </cell>
          <cell r="O10">
            <v>4834.616</v>
          </cell>
          <cell r="P10">
            <v>0.18228283094950018</v>
          </cell>
        </row>
        <row r="11">
          <cell r="A11" t="str">
            <v xml:space="preserve"> Deprec. &amp; Amort.</v>
          </cell>
          <cell r="B11">
            <v>7.2610000000000001</v>
          </cell>
          <cell r="C11">
            <v>7.2610000000000001</v>
          </cell>
          <cell r="D11">
            <v>41.9</v>
          </cell>
          <cell r="E11">
            <v>52.316000000000003</v>
          </cell>
          <cell r="F11">
            <v>35.162999999999997</v>
          </cell>
          <cell r="G11">
            <v>42.725000000000001</v>
          </cell>
          <cell r="H11">
            <v>50.26</v>
          </cell>
          <cell r="I11">
            <v>57.652999999999999</v>
          </cell>
          <cell r="J11">
            <v>87.825000000000003</v>
          </cell>
          <cell r="K11">
            <v>91.97</v>
          </cell>
          <cell r="L11">
            <v>156.328</v>
          </cell>
          <cell r="M11">
            <v>170.005</v>
          </cell>
          <cell r="N11">
            <v>181</v>
          </cell>
          <cell r="O11">
            <v>207</v>
          </cell>
          <cell r="P11">
            <v>0.22411190888171334</v>
          </cell>
        </row>
        <row r="12">
          <cell r="A12" t="str">
            <v xml:space="preserve"> Operating Profit</v>
          </cell>
          <cell r="B12">
            <v>136.904</v>
          </cell>
          <cell r="C12">
            <v>142.85600000000019</v>
          </cell>
          <cell r="D12">
            <v>72.539999999999992</v>
          </cell>
          <cell r="E12">
            <v>37.387999999999948</v>
          </cell>
          <cell r="F12">
            <v>99.738000000000028</v>
          </cell>
          <cell r="G12">
            <v>163.11599999999999</v>
          </cell>
          <cell r="H12">
            <v>191.69199999999989</v>
          </cell>
          <cell r="I12">
            <v>246.40099999999995</v>
          </cell>
          <cell r="J12">
            <v>364.74500000000006</v>
          </cell>
          <cell r="K12">
            <v>426.17499999999984</v>
          </cell>
          <cell r="L12">
            <v>560.19399999999985</v>
          </cell>
          <cell r="M12">
            <v>614.59200000000021</v>
          </cell>
          <cell r="N12">
            <v>668.50400000000036</v>
          </cell>
          <cell r="O12">
            <v>823.90899999999988</v>
          </cell>
          <cell r="P12">
            <v>0.23159493463880657</v>
          </cell>
        </row>
        <row r="13">
          <cell r="A13" t="str">
            <v xml:space="preserve"> EBITDA</v>
          </cell>
          <cell r="B13">
            <v>144.16499999999999</v>
          </cell>
          <cell r="C13">
            <v>150.11700000000019</v>
          </cell>
          <cell r="D13">
            <v>198.5</v>
          </cell>
          <cell r="E13">
            <v>76.399999999999991</v>
          </cell>
          <cell r="F13">
            <v>136.56299999999999</v>
          </cell>
          <cell r="G13">
            <v>195.625</v>
          </cell>
          <cell r="H13">
            <v>209.76</v>
          </cell>
          <cell r="I13">
            <v>254.55299999999997</v>
          </cell>
          <cell r="J13">
            <v>439.48600000000005</v>
          </cell>
          <cell r="K13">
            <v>508.7439999999998</v>
          </cell>
          <cell r="L13">
            <v>682.25599999999986</v>
          </cell>
          <cell r="M13">
            <v>786.51600000000019</v>
          </cell>
          <cell r="N13">
            <v>817.98200000000031</v>
          </cell>
          <cell r="O13">
            <v>1034.81864</v>
          </cell>
          <cell r="P13">
            <v>0.25608845547132636</v>
          </cell>
        </row>
        <row r="14">
          <cell r="A14" t="str">
            <v xml:space="preserve"> Pretax Income </v>
          </cell>
          <cell r="B14">
            <v>97.971999999999994</v>
          </cell>
          <cell r="C14">
            <v>91.325000000000188</v>
          </cell>
          <cell r="D14">
            <v>23.248999999999995</v>
          </cell>
          <cell r="E14">
            <v>-14.730000000000048</v>
          </cell>
          <cell r="F14">
            <v>57.524000000000029</v>
          </cell>
          <cell r="G14">
            <v>108.03399999999999</v>
          </cell>
          <cell r="H14">
            <v>143.48199999999989</v>
          </cell>
          <cell r="I14">
            <v>193.69499999999994</v>
          </cell>
          <cell r="J14">
            <v>282.94500000000005</v>
          </cell>
          <cell r="K14">
            <v>351.64599999999984</v>
          </cell>
          <cell r="L14">
            <v>438.8569999999998</v>
          </cell>
          <cell r="M14">
            <v>504.62800000000021</v>
          </cell>
          <cell r="N14">
            <v>536.75600000000031</v>
          </cell>
          <cell r="O14">
            <v>700.08199999999988</v>
          </cell>
          <cell r="P14">
            <v>0.2541108555927733</v>
          </cell>
        </row>
        <row r="15">
          <cell r="A15" t="str">
            <v xml:space="preserve"> Taxes</v>
          </cell>
          <cell r="B15">
            <v>45.4</v>
          </cell>
          <cell r="C15">
            <v>28.8</v>
          </cell>
          <cell r="D15">
            <v>46.6</v>
          </cell>
          <cell r="E15">
            <v>28.2</v>
          </cell>
          <cell r="F15">
            <v>21.6</v>
          </cell>
          <cell r="G15">
            <v>28.4</v>
          </cell>
          <cell r="H15">
            <v>47.9</v>
          </cell>
          <cell r="I15">
            <v>71.3</v>
          </cell>
          <cell r="J15">
            <v>98.103999999999999</v>
          </cell>
          <cell r="K15">
            <v>100.735</v>
          </cell>
          <cell r="L15">
            <v>137.48699999999999</v>
          </cell>
          <cell r="M15">
            <v>166.779</v>
          </cell>
          <cell r="N15">
            <v>164.53200000000001</v>
          </cell>
          <cell r="O15">
            <v>202.18800000000002</v>
          </cell>
          <cell r="P15">
            <v>0.22841665127414873</v>
          </cell>
        </row>
        <row r="16">
          <cell r="A16" t="str">
            <v xml:space="preserve"> Net Income </v>
          </cell>
          <cell r="B16">
            <v>52.571999999999996</v>
          </cell>
          <cell r="C16">
            <v>52.473000000000191</v>
          </cell>
          <cell r="D16">
            <v>-29.758000000000006</v>
          </cell>
          <cell r="E16">
            <v>-130.20100000000005</v>
          </cell>
          <cell r="F16">
            <v>35.924000000000028</v>
          </cell>
          <cell r="G16">
            <v>68.650999999999982</v>
          </cell>
          <cell r="H16">
            <v>90.165999999999883</v>
          </cell>
          <cell r="I16">
            <v>111.72399999999993</v>
          </cell>
          <cell r="J16">
            <v>179.86300000000006</v>
          </cell>
          <cell r="K16">
            <v>112.31399999999982</v>
          </cell>
          <cell r="L16">
            <v>217.82399999999978</v>
          </cell>
          <cell r="M16">
            <v>325.50700000000023</v>
          </cell>
          <cell r="N16">
            <v>349.73000000000025</v>
          </cell>
          <cell r="O16">
            <v>497.89399999999989</v>
          </cell>
          <cell r="P16">
            <v>0.27647831485474039</v>
          </cell>
        </row>
        <row r="18">
          <cell r="A18" t="str">
            <v>Operating Ratios</v>
          </cell>
        </row>
        <row r="19">
          <cell r="A19" t="str">
            <v xml:space="preserve"> Op. Profit Margin</v>
          </cell>
          <cell r="B19">
            <v>0.15541378135997275</v>
          </cell>
          <cell r="C19">
            <v>0.13593681606242286</v>
          </cell>
          <cell r="D19">
            <v>6.8517993765939353E-2</v>
          </cell>
          <cell r="E19">
            <v>3.6651308695225905E-2</v>
          </cell>
          <cell r="F19">
            <v>0.10074545454545457</v>
          </cell>
          <cell r="G19">
            <v>0.13186418755052545</v>
          </cell>
          <cell r="H19">
            <v>0.12802408582847122</v>
          </cell>
          <cell r="I19">
            <v>0.14940882490799931</v>
          </cell>
          <cell r="J19">
            <v>0.14228259915545979</v>
          </cell>
          <cell r="K19">
            <v>0.15758298920888841</v>
          </cell>
          <cell r="L19">
            <v>0.14106323840546969</v>
          </cell>
          <cell r="M19">
            <v>0.14064533845942612</v>
          </cell>
          <cell r="N19">
            <v>0.14739913197093407</v>
          </cell>
          <cell r="O19">
            <v>0.17041870543596427</v>
          </cell>
          <cell r="P19" t="str">
            <v xml:space="preserve"> </v>
          </cell>
        </row>
        <row r="20">
          <cell r="A20" t="str">
            <v xml:space="preserve"> Pretax Margin</v>
          </cell>
          <cell r="B20">
            <v>0.11121807242592803</v>
          </cell>
          <cell r="C20">
            <v>8.6901703301931851E-2</v>
          </cell>
          <cell r="D20">
            <v>2.1959950883158587E-2</v>
          </cell>
          <cell r="E20">
            <v>-1.4439760807763992E-2</v>
          </cell>
          <cell r="F20">
            <v>5.8105050505050534E-2</v>
          </cell>
          <cell r="G20">
            <v>8.7335489086499588E-2</v>
          </cell>
          <cell r="H20">
            <v>9.5826387553161863E-2</v>
          </cell>
          <cell r="I20">
            <v>0.11744977634244554</v>
          </cell>
          <cell r="J20">
            <v>0.11037341161096538</v>
          </cell>
          <cell r="K20">
            <v>0.13002505502046993</v>
          </cell>
          <cell r="L20">
            <v>0.11050919791520296</v>
          </cell>
          <cell r="M20">
            <v>0.115480800036615</v>
          </cell>
          <cell r="N20">
            <v>0.11834988044976648</v>
          </cell>
          <cell r="O20">
            <v>0.14480612317503599</v>
          </cell>
          <cell r="P20" t="str">
            <v xml:space="preserve"> </v>
          </cell>
        </row>
        <row r="21">
          <cell r="A21" t="str">
            <v xml:space="preserve"> Tax Rate</v>
          </cell>
          <cell r="B21">
            <v>0.46339770546686809</v>
          </cell>
          <cell r="C21">
            <v>0.31535724062414389</v>
          </cell>
          <cell r="D21">
            <v>2.0043872854746447</v>
          </cell>
          <cell r="E21">
            <v>-1.9144602851323766</v>
          </cell>
          <cell r="F21">
            <v>0.37549544537931978</v>
          </cell>
          <cell r="G21">
            <v>0.26288020438010257</v>
          </cell>
          <cell r="H21">
            <v>0.33383978478136656</v>
          </cell>
          <cell r="I21">
            <v>0.36810449417899288</v>
          </cell>
          <cell r="J21">
            <v>0.34672462846136171</v>
          </cell>
          <cell r="K21">
            <v>0.2864670719985441</v>
          </cell>
          <cell r="L21">
            <v>0.31328428166806055</v>
          </cell>
          <cell r="M21">
            <v>0.33049890216159217</v>
          </cell>
          <cell r="N21">
            <v>0.30653034153321046</v>
          </cell>
          <cell r="O21">
            <v>0.28880616842027085</v>
          </cell>
          <cell r="P21" t="str">
            <v xml:space="preserve"> </v>
          </cell>
        </row>
        <row r="22">
          <cell r="A22" t="str">
            <v xml:space="preserve"> Net Margin</v>
          </cell>
          <cell r="B22">
            <v>5.9679872857305027E-2</v>
          </cell>
          <cell r="C22">
            <v>4.9931487296603086E-2</v>
          </cell>
          <cell r="D22">
            <v>-2.8108057051100411E-2</v>
          </cell>
          <cell r="E22">
            <v>-0.12763552592883054</v>
          </cell>
          <cell r="F22">
            <v>3.6286868686868715E-2</v>
          </cell>
          <cell r="G22">
            <v>5.5497978981406612E-2</v>
          </cell>
          <cell r="H22">
            <v>6.0218578359086075E-2</v>
          </cell>
          <cell r="I22">
            <v>6.7745470002237448E-2</v>
          </cell>
          <cell r="J22">
            <v>7.0162374074760364E-2</v>
          </cell>
          <cell r="K22">
            <v>4.1529361999195338E-2</v>
          </cell>
          <cell r="L22">
            <v>5.4850567557726451E-2</v>
          </cell>
          <cell r="M22">
            <v>7.4490136848368402E-2</v>
          </cell>
          <cell r="N22">
            <v>7.7112326065655226E-2</v>
          </cell>
          <cell r="O22">
            <v>0.10298522157706008</v>
          </cell>
          <cell r="P22" t="str">
            <v xml:space="preserve"> </v>
          </cell>
        </row>
        <row r="23">
          <cell r="A23" t="str">
            <v xml:space="preserve"> Equity Turnover</v>
          </cell>
          <cell r="B23">
            <v>6.9822372644911743</v>
          </cell>
          <cell r="C23">
            <v>5.3040665014561075</v>
          </cell>
          <cell r="D23">
            <v>6.9481269524584564</v>
          </cell>
          <cell r="E23">
            <v>2.1</v>
          </cell>
          <cell r="F23">
            <v>2.7</v>
          </cell>
          <cell r="G23">
            <v>5.7884885353299023</v>
          </cell>
          <cell r="H23">
            <v>4.5649756097560976</v>
          </cell>
          <cell r="I23">
            <v>3.7629928284743563</v>
          </cell>
          <cell r="J23">
            <v>3.4642229729729732</v>
          </cell>
          <cell r="K23">
            <v>3.3069433082785835</v>
          </cell>
          <cell r="L23">
            <v>3.6577899768810616</v>
          </cell>
          <cell r="M23">
            <v>2.8160863244073706</v>
          </cell>
          <cell r="N23">
            <v>2.5113011352908052</v>
          </cell>
          <cell r="O23">
            <v>2.6533645798459995</v>
          </cell>
          <cell r="P23" t="str">
            <v xml:space="preserve"> </v>
          </cell>
        </row>
        <row r="24">
          <cell r="A24" t="str">
            <v xml:space="preserve"> ROIC</v>
          </cell>
          <cell r="F24">
            <v>8.6273517491194773E-2</v>
          </cell>
          <cell r="G24">
            <v>0.14793675493900679</v>
          </cell>
          <cell r="H24">
            <v>0.12073467908342939</v>
          </cell>
          <cell r="I24">
            <v>0.122654007389744</v>
          </cell>
          <cell r="J24">
            <v>0.16341108256972589</v>
          </cell>
          <cell r="K24">
            <v>0.16019283157448752</v>
          </cell>
          <cell r="L24">
            <v>0.16198825703103259</v>
          </cell>
          <cell r="M24">
            <v>0.14231939872069355</v>
          </cell>
          <cell r="N24">
            <v>0.12762035886302581</v>
          </cell>
          <cell r="O24">
            <v>0.15943798576060597</v>
          </cell>
        </row>
        <row r="26">
          <cell r="A26" t="str">
            <v xml:space="preserve"> NOPLAT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 t="str">
            <v xml:space="preserve"> Invested Capital</v>
          </cell>
          <cell r="E27">
            <v>2.1366513086952259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A28" t="str">
            <v xml:space="preserve"> ROIC</v>
          </cell>
          <cell r="F28" t="e">
            <v>#DIV/0!</v>
          </cell>
          <cell r="G28" t="e">
            <v>#DIV/0!</v>
          </cell>
          <cell r="H28" t="e">
            <v>#DIV/0!</v>
          </cell>
          <cell r="I28" t="e">
            <v>#DIV/0!</v>
          </cell>
          <cell r="J28" t="e">
            <v>#DIV/0!</v>
          </cell>
          <cell r="K28" t="e">
            <v>#DIV/0!</v>
          </cell>
          <cell r="L28" t="e">
            <v>#DIV/0!</v>
          </cell>
        </row>
        <row r="29">
          <cell r="A29" t="str">
            <v xml:space="preserve"> ROIC less goodwill</v>
          </cell>
          <cell r="F29" t="e">
            <v>#DIV/0!</v>
          </cell>
          <cell r="G29" t="e">
            <v>#DIV/0!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A30" t="str">
            <v xml:space="preserve"> Return on Avg. Equ.</v>
          </cell>
          <cell r="B30">
            <v>0.83339806440874098</v>
          </cell>
          <cell r="C30">
            <v>0.3236137578863636</v>
          </cell>
          <cell r="D30" t="str">
            <v>NM</v>
          </cell>
          <cell r="E30" t="str">
            <v>NM</v>
          </cell>
          <cell r="F30">
            <v>0.30521665250637237</v>
          </cell>
          <cell r="G30">
            <v>0.3984387695879279</v>
          </cell>
          <cell r="H30">
            <v>0.33290012922281659</v>
          </cell>
          <cell r="I30">
            <v>0.29160821182338637</v>
          </cell>
          <cell r="J30">
            <v>0.30530247542777034</v>
          </cell>
          <cell r="K30">
            <v>0.29066464502387651</v>
          </cell>
          <cell r="L30">
            <v>0.22886694450588077</v>
          </cell>
          <cell r="M30">
            <v>0.24683762680015095</v>
          </cell>
          <cell r="N30">
            <v>0.20831540189600206</v>
          </cell>
          <cell r="O30">
            <v>0.27447003739485709</v>
          </cell>
        </row>
        <row r="31">
          <cell r="A31" t="str">
            <v xml:space="preserve"> Return on Total Assets</v>
          </cell>
          <cell r="B31">
            <v>0.10254089679398783</v>
          </cell>
          <cell r="C31">
            <v>8.4817665376505674E-2</v>
          </cell>
          <cell r="D31" t="str">
            <v>NM</v>
          </cell>
          <cell r="E31" t="str">
            <v>NM</v>
          </cell>
          <cell r="F31">
            <v>4.8942779291553169E-2</v>
          </cell>
          <cell r="G31">
            <v>9.0110914221959687E-2</v>
          </cell>
          <cell r="H31">
            <v>0.1024555422987329</v>
          </cell>
          <cell r="I31">
            <v>0.11013801261829646</v>
          </cell>
          <cell r="J31">
            <v>0.12793896930682511</v>
          </cell>
          <cell r="K31">
            <v>0.12195647489765137</v>
          </cell>
          <cell r="L31">
            <v>9.7698069083492947E-2</v>
          </cell>
          <cell r="M31">
            <v>0.11223603333631597</v>
          </cell>
          <cell r="N31">
            <v>0.10104113714543843</v>
          </cell>
          <cell r="O31">
            <v>0.13483589104402935</v>
          </cell>
        </row>
        <row r="32">
          <cell r="A32" t="str">
            <v xml:space="preserve"> Return on Capital</v>
          </cell>
          <cell r="B32">
            <v>0.41173992113929242</v>
          </cell>
          <cell r="C32">
            <v>0.19871026032640235</v>
          </cell>
          <cell r="D32" t="str">
            <v>NM</v>
          </cell>
          <cell r="E32">
            <v>0.21309039261419585</v>
          </cell>
          <cell r="F32">
            <v>0.10327097895201862</v>
          </cell>
          <cell r="G32">
            <v>0.24035539541189929</v>
          </cell>
          <cell r="H32">
            <v>0.27883295862671736</v>
          </cell>
          <cell r="I32">
            <v>0.29862609493595027</v>
          </cell>
          <cell r="J32">
            <v>0.32198687449288599</v>
          </cell>
          <cell r="K32">
            <v>0.29379762481556326</v>
          </cell>
          <cell r="L32">
            <v>0.323396972599166</v>
          </cell>
          <cell r="M32">
            <v>0.26632509174793956</v>
          </cell>
          <cell r="N32">
            <v>0.22631217775391743</v>
          </cell>
          <cell r="O32">
            <v>0.27828485778688566</v>
          </cell>
        </row>
        <row r="33">
          <cell r="A33" t="str">
            <v xml:space="preserve"> Payout Ratio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6.3889513715971707E-2</v>
          </cell>
          <cell r="I33">
            <v>8.2908277247845136E-2</v>
          </cell>
          <cell r="J33">
            <v>0.13595846841174575</v>
          </cell>
          <cell r="K33">
            <v>0.14701676968663169</v>
          </cell>
          <cell r="L33">
            <v>0.16468374816983911</v>
          </cell>
          <cell r="M33">
            <v>0.17137250530910103</v>
          </cell>
          <cell r="N33">
            <v>0.1969240027510315</v>
          </cell>
          <cell r="O33">
            <v>0.16984962729975447</v>
          </cell>
        </row>
        <row r="34">
          <cell r="A34" t="str">
            <v xml:space="preserve"> Return on Capital Emp.</v>
          </cell>
        </row>
        <row r="35">
          <cell r="A35" t="str">
            <v xml:space="preserve"> Internal Growth</v>
          </cell>
          <cell r="B35">
            <v>0.83339806440874098</v>
          </cell>
          <cell r="C35">
            <v>0.3236137578863636</v>
          </cell>
          <cell r="D35" t="str">
            <v>NM</v>
          </cell>
          <cell r="E35" t="str">
            <v>NM</v>
          </cell>
          <cell r="F35">
            <v>0.30521665250637237</v>
          </cell>
          <cell r="G35">
            <v>0.3984387695879279</v>
          </cell>
          <cell r="H35">
            <v>0.31163130185078669</v>
          </cell>
          <cell r="I35">
            <v>0.26743147734978473</v>
          </cell>
          <cell r="J35">
            <v>0.26379401846629602</v>
          </cell>
          <cell r="K35">
            <v>0.24793206785035471</v>
          </cell>
          <cell r="L35">
            <v>0.19117627825247377</v>
          </cell>
          <cell r="M35">
            <v>0.20453644429085616</v>
          </cell>
          <cell r="N35">
            <v>0.16729309911995152</v>
          </cell>
          <cell r="O35">
            <v>0.22785140383839092</v>
          </cell>
        </row>
        <row r="36">
          <cell r="A36" t="str">
            <v>Per Share Data</v>
          </cell>
          <cell r="P36" t="str">
            <v xml:space="preserve"> </v>
          </cell>
        </row>
        <row r="37">
          <cell r="A37" t="str">
            <v xml:space="preserve"> FD Earnings</v>
          </cell>
          <cell r="B37">
            <v>0.496</v>
          </cell>
          <cell r="C37">
            <v>0.3904853333333333</v>
          </cell>
          <cell r="D37">
            <v>-0.10649599999999999</v>
          </cell>
          <cell r="E37">
            <v>-0.62805333333333324</v>
          </cell>
          <cell r="F37">
            <v>0.20363371459808069</v>
          </cell>
          <cell r="G37">
            <v>0.43573571652806992</v>
          </cell>
          <cell r="H37">
            <v>0.50086466680995156</v>
          </cell>
          <cell r="I37">
            <v>0.60307609396502748</v>
          </cell>
          <cell r="J37">
            <v>0.66196685687454171</v>
          </cell>
          <cell r="K37">
            <v>0.8162334151116345</v>
          </cell>
          <cell r="L37">
            <v>0.91083668951537533</v>
          </cell>
          <cell r="M37">
            <v>1.1086959349593504</v>
          </cell>
          <cell r="N37">
            <v>1.2187442701102766</v>
          </cell>
          <cell r="O37">
            <v>1.648517011496585</v>
          </cell>
          <cell r="P37">
            <v>0.1855242280922397</v>
          </cell>
        </row>
        <row r="38">
          <cell r="A38" t="str">
            <v xml:space="preserve"> Cash Earnings</v>
          </cell>
          <cell r="B38">
            <v>0.56000000000000005</v>
          </cell>
          <cell r="C38">
            <v>0.52</v>
          </cell>
          <cell r="D38">
            <v>0.13534037675350696</v>
          </cell>
          <cell r="E38">
            <v>6.1544106091948152E-2</v>
          </cell>
          <cell r="F38">
            <v>0.40295373203523421</v>
          </cell>
          <cell r="G38">
            <v>0.60941935811374937</v>
          </cell>
          <cell r="H38">
            <v>0.73585425813912964</v>
          </cell>
          <cell r="I38">
            <v>0.83457019949764666</v>
          </cell>
          <cell r="J38">
            <v>0.94952622432232503</v>
          </cell>
          <cell r="K38">
            <v>0.73305414031523641</v>
          </cell>
          <cell r="L38">
            <v>1.247406182487397</v>
          </cell>
          <cell r="M38">
            <v>1.7040994030581949</v>
          </cell>
          <cell r="N38">
            <v>1.8727518305253441</v>
          </cell>
          <cell r="O38">
            <v>2.3889529051324452</v>
          </cell>
          <cell r="P38">
            <v>0.18320336819127095</v>
          </cell>
        </row>
        <row r="39">
          <cell r="A39" t="str">
            <v xml:space="preserve"> EBITDA</v>
          </cell>
          <cell r="B39">
            <v>1.308731914893617</v>
          </cell>
          <cell r="C39">
            <v>0.872354730793787</v>
          </cell>
          <cell r="D39">
            <v>1.4483295479848586</v>
          </cell>
          <cell r="E39">
            <v>0.5018110678148201</v>
          </cell>
          <cell r="F39">
            <v>0.77410174163950751</v>
          </cell>
          <cell r="G39">
            <v>1.0704071068363223</v>
          </cell>
          <cell r="H39">
            <v>1.0991752893856119</v>
          </cell>
          <cell r="I39">
            <v>1.2542573548517479</v>
          </cell>
          <cell r="J39">
            <v>1.5589174046745513</v>
          </cell>
          <cell r="K39">
            <v>1.8255805425805978</v>
          </cell>
          <cell r="L39">
            <v>2.2746112607686761</v>
          </cell>
          <cell r="M39">
            <v>2.557775609756098</v>
          </cell>
          <cell r="N39">
            <v>2.6782552322078748</v>
          </cell>
          <cell r="O39">
            <v>3.5001120908632752</v>
          </cell>
          <cell r="P39">
            <v>0.17993826450580569</v>
          </cell>
        </row>
        <row r="40">
          <cell r="A40" t="str">
            <v xml:space="preserve"> Dividends Paid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3.2000000000000001E-2</v>
          </cell>
          <cell r="I40">
            <v>0.05</v>
          </cell>
          <cell r="J40">
            <v>0.09</v>
          </cell>
          <cell r="K40">
            <v>0.12</v>
          </cell>
          <cell r="L40">
            <v>0.15</v>
          </cell>
          <cell r="M40">
            <v>0.19</v>
          </cell>
          <cell r="N40">
            <v>0.24</v>
          </cell>
          <cell r="O40">
            <v>0.28000000000000003</v>
          </cell>
        </row>
        <row r="41">
          <cell r="A41" t="str">
            <v xml:space="preserve"> Price Range</v>
          </cell>
          <cell r="B41" t="str">
            <v xml:space="preserve"> 6-2</v>
          </cell>
          <cell r="C41" t="str">
            <v xml:space="preserve"> 7-4</v>
          </cell>
          <cell r="D41" t="str">
            <v xml:space="preserve"> 6-3</v>
          </cell>
          <cell r="E41" t="str">
            <v xml:space="preserve"> 6-2</v>
          </cell>
          <cell r="F41" t="str">
            <v xml:space="preserve"> 5-2</v>
          </cell>
          <cell r="G41" t="str">
            <v xml:space="preserve"> 9-4</v>
          </cell>
          <cell r="H41" t="str">
            <v>7-4</v>
          </cell>
          <cell r="I41" t="str">
            <v>11-5</v>
          </cell>
          <cell r="J41" t="str">
            <v>14-10</v>
          </cell>
          <cell r="K41" t="str">
            <v>16-11</v>
          </cell>
          <cell r="L41" t="str">
            <v>19-13</v>
          </cell>
          <cell r="M41" t="str">
            <v>25-16</v>
          </cell>
          <cell r="N41" t="str">
            <v>32-21</v>
          </cell>
          <cell r="O41" t="str">
            <v>42-23</v>
          </cell>
          <cell r="P41" t="str">
            <v xml:space="preserve"> </v>
          </cell>
        </row>
        <row r="42">
          <cell r="A42" t="str">
            <v xml:space="preserve"> P/E Range</v>
          </cell>
          <cell r="B42" t="str">
            <v xml:space="preserve">      11.7-4.2</v>
          </cell>
          <cell r="C42" t="str">
            <v>16.6-9.6</v>
          </cell>
          <cell r="D42" t="str">
            <v>NM</v>
          </cell>
          <cell r="E42" t="str">
            <v>NM</v>
          </cell>
          <cell r="F42" t="str">
            <v>14.3-8.2</v>
          </cell>
          <cell r="G42" t="str">
            <v>13.1-5.9</v>
          </cell>
          <cell r="H42" t="str">
            <v>22.7-9.9</v>
          </cell>
          <cell r="I42" t="str">
            <v>18.9-8.3</v>
          </cell>
          <cell r="J42" t="str">
            <v>20.9-15.3</v>
          </cell>
          <cell r="K42" t="str">
            <v>19.3-12.9</v>
          </cell>
          <cell r="L42" t="str">
            <v>17.8-12.5</v>
          </cell>
          <cell r="M42" t="str">
            <v>19.7-12.5</v>
          </cell>
          <cell r="N42" t="str">
            <v>26.2-17.8</v>
          </cell>
          <cell r="O42" t="str">
            <v>27.5-17.2</v>
          </cell>
          <cell r="P42" t="str">
            <v xml:space="preserve"> </v>
          </cell>
        </row>
        <row r="43">
          <cell r="A43" t="str">
            <v xml:space="preserve"> Average P/E</v>
          </cell>
          <cell r="B43">
            <v>8</v>
          </cell>
          <cell r="C43">
            <v>13.1</v>
          </cell>
          <cell r="D43" t="str">
            <v>NM</v>
          </cell>
          <cell r="E43" t="str">
            <v>NM</v>
          </cell>
          <cell r="F43">
            <v>11.3</v>
          </cell>
          <cell r="G43">
            <v>9.5</v>
          </cell>
          <cell r="H43">
            <v>11.6</v>
          </cell>
          <cell r="I43">
            <v>10.7</v>
          </cell>
          <cell r="J43">
            <v>16</v>
          </cell>
          <cell r="K43">
            <v>14.8</v>
          </cell>
          <cell r="L43">
            <v>15</v>
          </cell>
          <cell r="M43">
            <v>16.100000000000001</v>
          </cell>
        </row>
        <row r="44">
          <cell r="A44" t="str">
            <v xml:space="preserve"> Book Value</v>
          </cell>
          <cell r="B44">
            <v>1.1453095035460992</v>
          </cell>
          <cell r="C44">
            <v>1.1513720309285664</v>
          </cell>
          <cell r="D44">
            <v>1.1117625686929415</v>
          </cell>
          <cell r="E44">
            <v>0.68637770401372655</v>
          </cell>
          <cell r="F44">
            <v>0.74200125934998173</v>
          </cell>
          <cell r="G44">
            <v>1.1693086197107838</v>
          </cell>
          <cell r="H44">
            <v>1.718771428863848</v>
          </cell>
          <cell r="I44">
            <v>2.1594405982042324</v>
          </cell>
          <cell r="J44">
            <v>2.624881974531994</v>
          </cell>
          <cell r="K44">
            <v>2.9346315591875216</v>
          </cell>
          <cell r="L44">
            <v>3.8958976209534266</v>
          </cell>
          <cell r="M44">
            <v>5.5682316532037852</v>
          </cell>
          <cell r="N44">
            <v>6.4805518431740543</v>
          </cell>
          <cell r="O44">
            <v>6.5383287846536389</v>
          </cell>
          <cell r="P44">
            <v>0.2102989636138782</v>
          </cell>
        </row>
        <row r="45">
          <cell r="A45" t="str">
            <v xml:space="preserve"> Tangible Book Value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1.3979182003336508</v>
          </cell>
          <cell r="I45">
            <v>1.5859671911539686</v>
          </cell>
          <cell r="J45">
            <v>2.202869058073075</v>
          </cell>
          <cell r="K45">
            <v>2.4880255979014998</v>
          </cell>
          <cell r="L45">
            <v>2.3927031537387951</v>
          </cell>
          <cell r="M45">
            <v>3.548351978407037</v>
          </cell>
          <cell r="N45">
            <v>4.5132318599380747</v>
          </cell>
          <cell r="O45">
            <v>4.5427461252522461</v>
          </cell>
        </row>
        <row r="46">
          <cell r="A46" t="str">
            <v xml:space="preserve"> Avg. Shs. Outst.-FD</v>
          </cell>
          <cell r="B46">
            <v>110.15625</v>
          </cell>
          <cell r="C46">
            <v>172.08251953125</v>
          </cell>
          <cell r="D46">
            <v>137.054443359375</v>
          </cell>
          <cell r="E46">
            <v>152.24853515625</v>
          </cell>
          <cell r="F46">
            <v>176.414794921875</v>
          </cell>
          <cell r="G46">
            <v>182.757568359375</v>
          </cell>
          <cell r="H46">
            <v>190.833984375</v>
          </cell>
          <cell r="I46">
            <v>202.951171875</v>
          </cell>
          <cell r="J46">
            <v>281.91743750000001</v>
          </cell>
          <cell r="K46">
            <v>278.67518749999999</v>
          </cell>
          <cell r="L46">
            <v>299.94400000000002</v>
          </cell>
          <cell r="M46">
            <v>307.5</v>
          </cell>
          <cell r="N46">
            <v>305.416</v>
          </cell>
          <cell r="O46">
            <v>295.65300000000002</v>
          </cell>
          <cell r="P46">
            <v>6.4537436623624503E-2</v>
          </cell>
        </row>
        <row r="47">
          <cell r="P47" t="str">
            <v xml:space="preserve"> </v>
          </cell>
        </row>
        <row r="48">
          <cell r="A48" t="str">
            <v>Balance Sheet Data</v>
          </cell>
          <cell r="P48" t="str">
            <v xml:space="preserve"> </v>
          </cell>
        </row>
        <row r="49">
          <cell r="A49" t="str">
            <v xml:space="preserve"> Cash</v>
          </cell>
          <cell r="B49">
            <v>85.286000000000001</v>
          </cell>
          <cell r="C49">
            <v>167.48099999999999</v>
          </cell>
          <cell r="D49">
            <v>88.828000000000003</v>
          </cell>
          <cell r="E49">
            <v>87</v>
          </cell>
          <cell r="F49">
            <v>105</v>
          </cell>
          <cell r="G49">
            <v>220.34800000000001</v>
          </cell>
          <cell r="H49">
            <v>197.922</v>
          </cell>
          <cell r="I49">
            <v>207.13300000000001</v>
          </cell>
          <cell r="J49">
            <v>295.18599999999998</v>
          </cell>
          <cell r="K49">
            <v>523.58100000000002</v>
          </cell>
          <cell r="L49">
            <v>259.68099999999998</v>
          </cell>
          <cell r="M49">
            <v>511.06099999999998</v>
          </cell>
          <cell r="N49">
            <v>550.27099999999996</v>
          </cell>
          <cell r="O49">
            <v>694.947</v>
          </cell>
        </row>
        <row r="50">
          <cell r="A50" t="str">
            <v xml:space="preserve"> Working Capital</v>
          </cell>
          <cell r="B50">
            <v>249.89699999999999</v>
          </cell>
          <cell r="C50">
            <v>393.47800000000001</v>
          </cell>
          <cell r="D50">
            <v>334.9</v>
          </cell>
          <cell r="E50">
            <v>223.75</v>
          </cell>
          <cell r="F50">
            <v>271.39999999999998</v>
          </cell>
          <cell r="G50">
            <v>267</v>
          </cell>
          <cell r="H50">
            <v>296.10000000000002</v>
          </cell>
          <cell r="I50">
            <v>308.68799999999999</v>
          </cell>
          <cell r="J50">
            <v>661.9</v>
          </cell>
          <cell r="K50">
            <v>687.42100000000005</v>
          </cell>
          <cell r="L50">
            <v>627.64199999999983</v>
          </cell>
          <cell r="M50">
            <v>947.0319999999997</v>
          </cell>
          <cell r="N50">
            <v>997.20500000000038</v>
          </cell>
          <cell r="O50">
            <v>1288.3139999999999</v>
          </cell>
          <cell r="P50">
            <v>0.23374722376707194</v>
          </cell>
        </row>
        <row r="51">
          <cell r="A51" t="str">
            <v xml:space="preserve"> Current Ratio</v>
          </cell>
          <cell r="B51">
            <v>2.2799999999999998</v>
          </cell>
          <cell r="C51">
            <v>2.7</v>
          </cell>
          <cell r="D51">
            <v>2.33</v>
          </cell>
          <cell r="E51">
            <v>1.69</v>
          </cell>
          <cell r="F51">
            <v>2.2599999999999998</v>
          </cell>
          <cell r="G51">
            <v>1.79</v>
          </cell>
          <cell r="H51">
            <v>1.89</v>
          </cell>
          <cell r="I51">
            <v>1.77</v>
          </cell>
          <cell r="J51">
            <v>2.2999999999999998</v>
          </cell>
          <cell r="K51">
            <v>1.8775635780112827</v>
          </cell>
          <cell r="L51">
            <v>1.6852877175091521</v>
          </cell>
          <cell r="M51">
            <v>1.8868104743105207</v>
          </cell>
          <cell r="N51">
            <v>1.8733033417784932</v>
          </cell>
          <cell r="O51">
            <v>2.0979119191561089</v>
          </cell>
          <cell r="P51" t="str">
            <v xml:space="preserve"> </v>
          </cell>
        </row>
        <row r="52">
          <cell r="A52" t="str">
            <v xml:space="preserve"> Long-Term Debt</v>
          </cell>
          <cell r="B52">
            <v>160.65200000000002</v>
          </cell>
          <cell r="C52">
            <v>270.67</v>
          </cell>
          <cell r="D52">
            <v>274.21900000000005</v>
          </cell>
          <cell r="E52">
            <v>256.59399999999999</v>
          </cell>
          <cell r="F52">
            <v>258.23300000000006</v>
          </cell>
          <cell r="G52">
            <v>186.90299999999999</v>
          </cell>
          <cell r="H52">
            <v>168.113</v>
          </cell>
          <cell r="I52">
            <v>193.45999999999998</v>
          </cell>
          <cell r="J52">
            <v>385.77299999999997</v>
          </cell>
          <cell r="K52">
            <v>328.11199999999997</v>
          </cell>
          <cell r="L52">
            <v>375.00400000000002</v>
          </cell>
          <cell r="M52">
            <v>594.5</v>
          </cell>
          <cell r="N52">
            <v>519.79999999999995</v>
          </cell>
          <cell r="O52">
            <v>675.53600000000006</v>
          </cell>
          <cell r="P52">
            <v>0.21981075194503463</v>
          </cell>
        </row>
        <row r="53">
          <cell r="A53" t="str">
            <v xml:space="preserve"> Total Debt</v>
          </cell>
          <cell r="B53">
            <v>176.11</v>
          </cell>
          <cell r="C53">
            <v>298.19499999999999</v>
          </cell>
          <cell r="D53">
            <v>311.82700000000006</v>
          </cell>
          <cell r="E53">
            <v>366.11700000000002</v>
          </cell>
          <cell r="F53">
            <v>269.6040000000001</v>
          </cell>
          <cell r="G53">
            <v>227.98899999999998</v>
          </cell>
          <cell r="H53">
            <v>169.24699999999999</v>
          </cell>
          <cell r="I53">
            <v>199.16499999999999</v>
          </cell>
          <cell r="J53">
            <v>394.68699999999995</v>
          </cell>
          <cell r="K53">
            <v>432.97399999999993</v>
          </cell>
          <cell r="L53">
            <v>378.09900000000005</v>
          </cell>
          <cell r="M53">
            <v>704.59399999999994</v>
          </cell>
          <cell r="N53">
            <v>655.31999999999994</v>
          </cell>
          <cell r="O53">
            <v>706.66300000000001</v>
          </cell>
        </row>
        <row r="54">
          <cell r="A54" t="str">
            <v xml:space="preserve"> Net Debt</v>
          </cell>
          <cell r="B54">
            <v>142.70299999999997</v>
          </cell>
          <cell r="C54">
            <v>130.714</v>
          </cell>
          <cell r="D54">
            <v>222.99900000000005</v>
          </cell>
          <cell r="E54">
            <v>279.11700000000002</v>
          </cell>
          <cell r="F54">
            <v>164.6040000000001</v>
          </cell>
          <cell r="G54">
            <v>7.6409999999999627</v>
          </cell>
          <cell r="H54">
            <v>-28.675000000000011</v>
          </cell>
          <cell r="I54">
            <v>-7.9680000000000177</v>
          </cell>
          <cell r="J54">
            <v>99.500999999999976</v>
          </cell>
          <cell r="K54">
            <v>-90.607000000000085</v>
          </cell>
          <cell r="L54">
            <v>118.41800000000006</v>
          </cell>
          <cell r="M54">
            <v>193.53299999999996</v>
          </cell>
          <cell r="N54">
            <v>105.04899999999998</v>
          </cell>
          <cell r="O54">
            <v>11.716000000000008</v>
          </cell>
        </row>
        <row r="55">
          <cell r="A55" t="str">
            <v xml:space="preserve"> Common Equity</v>
          </cell>
          <cell r="B55">
            <v>126.163</v>
          </cell>
          <cell r="C55">
            <v>198.131</v>
          </cell>
          <cell r="D55">
            <v>152.37200000000001</v>
          </cell>
          <cell r="E55">
            <v>104.5</v>
          </cell>
          <cell r="F55">
            <v>130.9</v>
          </cell>
          <cell r="G55">
            <v>213.7</v>
          </cell>
          <cell r="H55">
            <v>328</v>
          </cell>
          <cell r="I55">
            <v>438.26100000000002</v>
          </cell>
          <cell r="J55">
            <v>740</v>
          </cell>
          <cell r="K55">
            <v>817.80899999999997</v>
          </cell>
          <cell r="L55">
            <v>1085.69</v>
          </cell>
          <cell r="M55">
            <v>1551.7279999999998</v>
          </cell>
          <cell r="N55">
            <v>1805.9690000000001</v>
          </cell>
          <cell r="O55">
            <v>1822.07</v>
          </cell>
          <cell r="P55">
            <v>0.27756927638664608</v>
          </cell>
        </row>
        <row r="56">
          <cell r="A56" t="str">
            <v xml:space="preserve"> Net Plant</v>
          </cell>
          <cell r="B56">
            <v>44.43</v>
          </cell>
          <cell r="C56">
            <v>64.537000000000006</v>
          </cell>
          <cell r="D56">
            <v>79.53</v>
          </cell>
          <cell r="E56">
            <v>186.6</v>
          </cell>
          <cell r="F56">
            <v>175.1</v>
          </cell>
          <cell r="G56">
            <v>164.9</v>
          </cell>
          <cell r="H56">
            <v>209.4</v>
          </cell>
          <cell r="I56">
            <v>209</v>
          </cell>
          <cell r="J56">
            <v>324.10000000000002</v>
          </cell>
          <cell r="K56">
            <v>326.89999999999998</v>
          </cell>
          <cell r="L56">
            <v>415.92099999999999</v>
          </cell>
          <cell r="M56">
            <v>532.33500000000004</v>
          </cell>
          <cell r="N56">
            <v>616.28099999999995</v>
          </cell>
          <cell r="O56">
            <v>601.59699999999998</v>
          </cell>
          <cell r="P56">
            <v>0.16272114150612119</v>
          </cell>
        </row>
        <row r="57">
          <cell r="A57" t="str">
            <v xml:space="preserve"> Total Assets</v>
          </cell>
          <cell r="B57">
            <v>512.69299999999998</v>
          </cell>
          <cell r="C57">
            <v>724.62</v>
          </cell>
          <cell r="D57">
            <v>705.96100000000001</v>
          </cell>
          <cell r="E57">
            <v>774.6</v>
          </cell>
          <cell r="F57">
            <v>693.4</v>
          </cell>
          <cell r="G57">
            <v>830.3</v>
          </cell>
          <cell r="H57">
            <v>929.8</v>
          </cell>
          <cell r="I57">
            <v>1099</v>
          </cell>
          <cell r="J57">
            <v>1712.7</v>
          </cell>
          <cell r="K57">
            <v>2000.1</v>
          </cell>
          <cell r="L57">
            <v>2459.0259999999998</v>
          </cell>
          <cell r="M57">
            <v>3341.3749999999995</v>
          </cell>
          <cell r="N57">
            <v>3581.152</v>
          </cell>
          <cell r="O57">
            <v>3804.0329999999994</v>
          </cell>
          <cell r="P57">
            <v>0.22294751564699791</v>
          </cell>
        </row>
        <row r="59">
          <cell r="A59" t="str">
            <v>Goodwill</v>
          </cell>
          <cell r="B59" t="str">
            <v>(e)</v>
          </cell>
          <cell r="C59" t="str">
            <v>(e)</v>
          </cell>
          <cell r="D59" t="str">
            <v>(e)</v>
          </cell>
          <cell r="E59" t="str">
            <v>(e)</v>
          </cell>
          <cell r="F59" t="str">
            <v>(e)</v>
          </cell>
          <cell r="G59" t="str">
            <v>(e)</v>
          </cell>
          <cell r="H59">
            <v>61.229700000000001</v>
          </cell>
          <cell r="I59">
            <v>116.38709999999999</v>
          </cell>
          <cell r="J59">
            <v>118.97280000000001</v>
          </cell>
          <cell r="K59">
            <v>124.458</v>
          </cell>
          <cell r="L59">
            <v>418.90300000000002</v>
          </cell>
          <cell r="M59">
            <v>621.11300000000006</v>
          </cell>
          <cell r="N59">
            <v>600.851</v>
          </cell>
          <cell r="O59">
            <v>590</v>
          </cell>
        </row>
        <row r="60">
          <cell r="A60" t="str">
            <v>Estimated GW Amortization</v>
          </cell>
          <cell r="F60" t="str">
            <v>(e)</v>
          </cell>
          <cell r="G60" t="str">
            <v>(e)</v>
          </cell>
          <cell r="H60">
            <v>4.95</v>
          </cell>
          <cell r="I60">
            <v>16.470000000000002</v>
          </cell>
          <cell r="J60">
            <v>7.0199999999999978</v>
          </cell>
          <cell r="K60">
            <v>12.15</v>
          </cell>
          <cell r="L60">
            <v>17.574999999999999</v>
          </cell>
          <cell r="M60">
            <v>24.509999999999994</v>
          </cell>
          <cell r="N60">
            <v>24.509999999999994</v>
          </cell>
          <cell r="O60">
            <v>24.509999999999994</v>
          </cell>
        </row>
        <row r="62">
          <cell r="A62" t="str">
            <v>Note:  (1) All per share information has been restated to reflect a 3Q91 five-for-four, a 2Q92 three-for-two,1Q94 5:4 stock split.</v>
          </cell>
        </row>
        <row r="63">
          <cell r="A63" t="str">
            <v xml:space="preserve">                and a 1Q96 5:4 stock split.</v>
          </cell>
        </row>
        <row r="64">
          <cell r="A64" t="str">
            <v>Notes:(a) Depreciation and amortization have been restated for 1986 and 1987, but not for 1985 or 1984.</v>
          </cell>
        </row>
        <row r="65">
          <cell r="A65" t="str">
            <v>Mattel's earnings per share in 1984 exclude an extraordinary gain of $26.5 million or $0.30 a share.</v>
          </cell>
        </row>
        <row r="66">
          <cell r="A66" t="str">
            <v>(b) Mattel's 1985 earnings per share exclude an extraordinary credit of $19 million or $0.21 per share.</v>
          </cell>
        </row>
        <row r="67">
          <cell r="A67" t="str">
            <v>(a) Mattel's earnings per share in 1987 exclude an extraordinary charge of $20.7 million, or $0.27 a share, but include</v>
          </cell>
        </row>
        <row r="68">
          <cell r="A68" t="str">
            <v xml:space="preserve">  a $65.2 million charge for restructuring costs.</v>
          </cell>
        </row>
        <row r="69">
          <cell r="A69" t="str">
            <v>(b) Mattel's 1989 earnings per share exclude an extraordinary charge of $11.0 million, or $0.12 a share, related to the early retirement of debt</v>
          </cell>
        </row>
        <row r="70">
          <cell r="A70" t="str">
            <v>but include a pretax charge of $15.5 million from the sale of office facilities.</v>
          </cell>
        </row>
        <row r="71">
          <cell r="A71" t="str">
            <v xml:space="preserve">(a) Mattel's 1991 earnings exclude an extraordinary charge of $5.236 million, or $0.05 per share, </v>
          </cell>
        </row>
        <row r="72">
          <cell r="A72" t="str">
            <v xml:space="preserve">related to the early retirement of high-cost debt (except for ROE calculation). </v>
          </cell>
        </row>
        <row r="73">
          <cell r="A73" t="str">
            <v>(b) Mattel's 1993 earnings exclude a $115 million restructuring charge for acquisition of Fisher-Price.</v>
          </cell>
        </row>
        <row r="74">
          <cell r="A74" t="str">
            <v>(g) Includes all long-term liabilities, and, beginning in December 1990, a mortgage note in the amount of $45 million.</v>
          </cell>
        </row>
        <row r="75">
          <cell r="A75" t="str">
            <v>(e) Goodwill included in other assets</v>
          </cell>
        </row>
        <row r="76">
          <cell r="A76" t="str">
            <v xml:space="preserve">          (2) All income statement data has been restated from 1994-96 while the balance sheet data has only been restated</v>
          </cell>
        </row>
        <row r="77">
          <cell r="A77" t="str">
            <v xml:space="preserve">               for 1995 and 1996, for the Tyco acquisition.</v>
          </cell>
        </row>
        <row r="78">
          <cell r="A78" t="str">
            <v xml:space="preserve">       (3) All restructuring and extraordinary charges have been excluded. For details,see the footnotes of annual earnings model.</v>
          </cell>
        </row>
        <row r="80">
          <cell r="A80" t="str">
            <v xml:space="preserve">FD = Fully Diluted         E = Morgan Stanley Research Estimate                              </v>
          </cell>
          <cell r="L80" t="str">
            <v>R= Restated for Tyco Acquisition</v>
          </cell>
        </row>
      </sheetData>
      <sheetData sheetId="2" refreshError="1">
        <row r="5">
          <cell r="A5" t="str">
            <v>Mattel</v>
          </cell>
        </row>
        <row r="64">
          <cell r="J64">
            <v>6.5941015465538988E-2</v>
          </cell>
          <cell r="K64">
            <v>8.9499499794542092E-3</v>
          </cell>
        </row>
        <row r="70">
          <cell r="I70">
            <v>9.1799088541089008E-2</v>
          </cell>
        </row>
        <row r="87">
          <cell r="A87" t="str">
            <v>Mattel</v>
          </cell>
        </row>
        <row r="88">
          <cell r="A88" t="str">
            <v>Second-Quarter Income Statement Comparison 1993-1997</v>
          </cell>
        </row>
        <row r="89">
          <cell r="A89" t="str">
            <v>($ Millions, Except Per Share Amounts)</v>
          </cell>
        </row>
        <row r="90">
          <cell r="A90" t="str">
            <v xml:space="preserve"> </v>
          </cell>
          <cell r="B90" t="str">
            <v xml:space="preserve"> </v>
          </cell>
        </row>
        <row r="91">
          <cell r="A91" t="str">
            <v xml:space="preserve"> </v>
          </cell>
          <cell r="B91" t="str">
            <v xml:space="preserve">     2Q88</v>
          </cell>
          <cell r="G91" t="str">
            <v>2Q93</v>
          </cell>
          <cell r="H91" t="str">
            <v>2Q94</v>
          </cell>
          <cell r="I91" t="str">
            <v>2Q95</v>
          </cell>
          <cell r="J91" t="str">
            <v>2Q96</v>
          </cell>
          <cell r="K91" t="str">
            <v>2Q97</v>
          </cell>
          <cell r="R91" t="str">
            <v>1H93</v>
          </cell>
          <cell r="S91" t="str">
            <v>1H94</v>
          </cell>
          <cell r="T91" t="str">
            <v>1H95</v>
          </cell>
          <cell r="U91" t="str">
            <v>1H96</v>
          </cell>
          <cell r="V91" t="str">
            <v>1H97</v>
          </cell>
        </row>
        <row r="92">
          <cell r="A92" t="str">
            <v>Net Sales</v>
          </cell>
          <cell r="B92">
            <v>207.09</v>
          </cell>
          <cell r="G92">
            <v>576.61800000000005</v>
          </cell>
          <cell r="H92">
            <v>650.26300000000003</v>
          </cell>
          <cell r="I92">
            <v>763.47400000000005</v>
          </cell>
          <cell r="J92">
            <v>921.58299999999997</v>
          </cell>
          <cell r="K92">
            <v>972.65599999999995</v>
          </cell>
          <cell r="R92">
            <v>1053.8020000000001</v>
          </cell>
          <cell r="S92">
            <v>1137.5340000000001</v>
          </cell>
          <cell r="T92">
            <v>1307.0440000000001</v>
          </cell>
          <cell r="U92">
            <v>1605.5819999999999</v>
          </cell>
          <cell r="V92">
            <v>1666.1759999999999</v>
          </cell>
        </row>
        <row r="93">
          <cell r="A93" t="str">
            <v xml:space="preserve"> % Change</v>
          </cell>
          <cell r="B93">
            <v>0</v>
          </cell>
          <cell r="G93">
            <v>0</v>
          </cell>
          <cell r="H93">
            <v>0.12771887107235624</v>
          </cell>
          <cell r="I93">
            <v>0.17410032556058086</v>
          </cell>
          <cell r="J93">
            <v>0.20709153160421945</v>
          </cell>
          <cell r="K93">
            <v>5.5418774000822513E-2</v>
          </cell>
          <cell r="R93">
            <v>0</v>
          </cell>
          <cell r="S93">
            <v>7.9457051704210135E-2</v>
          </cell>
          <cell r="T93">
            <v>0.14901532613530666</v>
          </cell>
          <cell r="U93">
            <v>0.22840700083547283</v>
          </cell>
          <cell r="V93">
            <v>3.7739586019275295E-2</v>
          </cell>
        </row>
        <row r="95">
          <cell r="A95" t="str">
            <v>Cost of Goods Sold</v>
          </cell>
          <cell r="B95">
            <v>104.59099999999999</v>
          </cell>
          <cell r="G95">
            <v>297.60500000000002</v>
          </cell>
          <cell r="H95">
            <v>335.75799999999998</v>
          </cell>
          <cell r="I95">
            <v>396.78500000000003</v>
          </cell>
          <cell r="J95">
            <v>485.55900000000003</v>
          </cell>
          <cell r="K95">
            <v>513.81899999999996</v>
          </cell>
          <cell r="R95">
            <v>548.08600000000001</v>
          </cell>
          <cell r="S95">
            <v>584.92499999999995</v>
          </cell>
          <cell r="T95">
            <v>681.33</v>
          </cell>
          <cell r="U95">
            <v>846.68399999999997</v>
          </cell>
          <cell r="V95">
            <v>884.52800000000002</v>
          </cell>
        </row>
        <row r="96">
          <cell r="A96" t="str">
            <v xml:space="preserve"> % Change</v>
          </cell>
          <cell r="B96">
            <v>0</v>
          </cell>
          <cell r="G96">
            <v>0</v>
          </cell>
          <cell r="H96">
            <v>0.12820013104618533</v>
          </cell>
          <cell r="I96">
            <v>0.18175888586422384</v>
          </cell>
          <cell r="J96">
            <v>0.22373325604546546</v>
          </cell>
          <cell r="K96">
            <v>5.8200960130488699E-2</v>
          </cell>
          <cell r="R96">
            <v>2.43717362619289E-2</v>
          </cell>
          <cell r="S96">
            <v>6.7213904387267487E-2</v>
          </cell>
          <cell r="T96">
            <v>0.16481600205154523</v>
          </cell>
          <cell r="U96">
            <v>0.24269296816520614</v>
          </cell>
          <cell r="V96">
            <v>4.4696722744258732E-2</v>
          </cell>
        </row>
        <row r="97">
          <cell r="A97" t="str">
            <v xml:space="preserve"> % of Sales</v>
          </cell>
          <cell r="B97">
            <v>0.50505094403399486</v>
          </cell>
          <cell r="G97">
            <v>0.51612159176439165</v>
          </cell>
          <cell r="H97">
            <v>0.51634184937479133</v>
          </cell>
          <cell r="I97">
            <v>0.51970990498694125</v>
          </cell>
          <cell r="J97">
            <v>0.52687495320551703</v>
          </cell>
          <cell r="K97">
            <v>0.52826384662203285</v>
          </cell>
          <cell r="R97">
            <v>0.52010339703283914</v>
          </cell>
          <cell r="S97">
            <v>0.51420441059344146</v>
          </cell>
          <cell r="T97">
            <v>0.5212754888129244</v>
          </cell>
          <cell r="U97">
            <v>0.52733775042321107</v>
          </cell>
          <cell r="V97">
            <v>0.53087308903741259</v>
          </cell>
        </row>
        <row r="99">
          <cell r="A99" t="str">
            <v>Gross Profit</v>
          </cell>
          <cell r="B99">
            <v>102.49900000000001</v>
          </cell>
          <cell r="G99">
            <v>279.01300000000003</v>
          </cell>
          <cell r="H99">
            <v>314.50500000000005</v>
          </cell>
          <cell r="I99">
            <v>366.68900000000002</v>
          </cell>
          <cell r="J99">
            <v>436.02399999999994</v>
          </cell>
          <cell r="K99">
            <v>458.83699999999999</v>
          </cell>
          <cell r="R99">
            <v>505.71600000000007</v>
          </cell>
          <cell r="S99">
            <v>552.60900000000004</v>
          </cell>
          <cell r="T99">
            <v>625.71400000000006</v>
          </cell>
          <cell r="U99">
            <v>758.89799999999991</v>
          </cell>
          <cell r="V99">
            <v>781.64799999999991</v>
          </cell>
        </row>
        <row r="100">
          <cell r="A100" t="str">
            <v xml:space="preserve"> % Change</v>
          </cell>
          <cell r="B100">
            <v>0</v>
          </cell>
          <cell r="G100">
            <v>0</v>
          </cell>
          <cell r="H100">
            <v>0.12720554239408211</v>
          </cell>
          <cell r="I100">
            <v>0.16592423013942526</v>
          </cell>
          <cell r="J100">
            <v>0.18908393761470865</v>
          </cell>
          <cell r="K100">
            <v>5.2320514467093737E-2</v>
          </cell>
          <cell r="R100">
            <v>0</v>
          </cell>
          <cell r="S100">
            <v>9.2725956861163139E-2</v>
          </cell>
          <cell r="T100">
            <v>0.13229064311294247</v>
          </cell>
          <cell r="U100">
            <v>0.21285123874485756</v>
          </cell>
          <cell r="V100">
            <v>2.9977678159647247E-2</v>
          </cell>
        </row>
        <row r="101">
          <cell r="A101" t="str">
            <v xml:space="preserve"> % of Sales</v>
          </cell>
          <cell r="B101">
            <v>0.49494905596600514</v>
          </cell>
          <cell r="G101">
            <v>0.48387840823560835</v>
          </cell>
          <cell r="H101">
            <v>0.48365815062520862</v>
          </cell>
          <cell r="I101">
            <v>0.48029009501305875</v>
          </cell>
          <cell r="J101">
            <v>0.47312504679448292</v>
          </cell>
          <cell r="K101">
            <v>0.47173615337796715</v>
          </cell>
          <cell r="R101">
            <v>0.4798966029671608</v>
          </cell>
          <cell r="S101">
            <v>0.48579558940655837</v>
          </cell>
          <cell r="T101">
            <v>0.4787245111870756</v>
          </cell>
          <cell r="U101">
            <v>0.47266224957678898</v>
          </cell>
          <cell r="V101">
            <v>0.46912691096258735</v>
          </cell>
        </row>
        <row r="102">
          <cell r="A102"/>
        </row>
        <row r="103">
          <cell r="A103" t="str">
            <v>Advertising and Promotion Exp.</v>
          </cell>
          <cell r="B103">
            <v>32.844000000000001</v>
          </cell>
          <cell r="G103">
            <v>83.39</v>
          </cell>
          <cell r="H103">
            <v>94.01</v>
          </cell>
          <cell r="I103">
            <v>106.718</v>
          </cell>
          <cell r="J103">
            <v>129.524</v>
          </cell>
          <cell r="K103">
            <v>131.71299999999999</v>
          </cell>
          <cell r="R103">
            <v>151.87900000000002</v>
          </cell>
          <cell r="S103">
            <v>165.64</v>
          </cell>
          <cell r="T103">
            <v>185.31799999999998</v>
          </cell>
          <cell r="U103">
            <v>229.62799999999999</v>
          </cell>
          <cell r="V103">
            <v>234.339</v>
          </cell>
        </row>
        <row r="104">
          <cell r="A104" t="str">
            <v xml:space="preserve"> % Change</v>
          </cell>
          <cell r="B104">
            <v>0</v>
          </cell>
          <cell r="G104">
            <v>0</v>
          </cell>
          <cell r="H104">
            <v>0.12735339968821213</v>
          </cell>
          <cell r="I104">
            <v>0.13517710881821077</v>
          </cell>
          <cell r="J104">
            <v>0.2137034052362301</v>
          </cell>
          <cell r="K104">
            <v>1.690034279361341E-2</v>
          </cell>
          <cell r="R104">
            <v>0</v>
          </cell>
          <cell r="S104">
            <v>9.0605021102324601E-2</v>
          </cell>
          <cell r="T104">
            <v>0.11879980680994917</v>
          </cell>
          <cell r="U104">
            <v>0.23910251567575735</v>
          </cell>
          <cell r="V104">
            <v>2.0515790757224872E-2</v>
          </cell>
        </row>
        <row r="105">
          <cell r="A105" t="str">
            <v xml:space="preserve"> % of Sales</v>
          </cell>
          <cell r="B105">
            <v>0.15859771114008403</v>
          </cell>
          <cell r="G105">
            <v>0.14461914126856948</v>
          </cell>
          <cell r="H105">
            <v>0.14457227306489837</v>
          </cell>
          <cell r="I105">
            <v>0.13977948168503446</v>
          </cell>
          <cell r="J105">
            <v>0.14054512724301554</v>
          </cell>
          <cell r="K105">
            <v>0.13541580990607163</v>
          </cell>
          <cell r="R105">
            <v>0.14412479763750685</v>
          </cell>
          <cell r="S105">
            <v>0.14561323002213558</v>
          </cell>
          <cell r="T105">
            <v>0.14178405623682139</v>
          </cell>
          <cell r="U105">
            <v>0.1430185440544301</v>
          </cell>
          <cell r="V105">
            <v>0.14064480583083661</v>
          </cell>
        </row>
        <row r="107">
          <cell r="A107" t="str">
            <v>Other Selling &amp; Admin.</v>
          </cell>
          <cell r="B107">
            <v>51.973999999999997</v>
          </cell>
          <cell r="G107">
            <v>113.652</v>
          </cell>
          <cell r="H107">
            <v>118.608</v>
          </cell>
          <cell r="I107">
            <v>141.49799999999999</v>
          </cell>
          <cell r="J107">
            <v>183.21600000000001</v>
          </cell>
          <cell r="K107">
            <v>192.70699999999999</v>
          </cell>
          <cell r="R107">
            <v>231.08199999999999</v>
          </cell>
          <cell r="S107">
            <v>235.405</v>
          </cell>
          <cell r="T107">
            <v>273.416</v>
          </cell>
          <cell r="U107">
            <v>352.79700000000003</v>
          </cell>
          <cell r="V107">
            <v>377.99299999999999</v>
          </cell>
        </row>
        <row r="108">
          <cell r="A108" t="str">
            <v xml:space="preserve"> % Change</v>
          </cell>
          <cell r="B108">
            <v>0</v>
          </cell>
          <cell r="G108">
            <v>0</v>
          </cell>
          <cell r="H108">
            <v>4.3606799704360766E-2</v>
          </cell>
          <cell r="I108">
            <v>0.19298866855524066</v>
          </cell>
          <cell r="J108">
            <v>0.29483102234660574</v>
          </cell>
          <cell r="K108">
            <v>5.1802244345471982E-2</v>
          </cell>
          <cell r="R108">
            <v>0</v>
          </cell>
          <cell r="S108">
            <v>1.8707644905271659E-2</v>
          </cell>
          <cell r="T108">
            <v>0.16147065695291096</v>
          </cell>
          <cell r="U108">
            <v>0.29033048541416751</v>
          </cell>
          <cell r="V108">
            <v>7.1417840854655745E-2</v>
          </cell>
        </row>
        <row r="109">
          <cell r="A109" t="str">
            <v xml:space="preserve"> % of Sales</v>
          </cell>
          <cell r="B109">
            <v>0.25097300690521029</v>
          </cell>
          <cell r="G109">
            <v>0.19710102702308979</v>
          </cell>
          <cell r="H109">
            <v>0.18240004428977197</v>
          </cell>
          <cell r="I109">
            <v>0.18533440562481496</v>
          </cell>
          <cell r="J109">
            <v>0.1988057505401033</v>
          </cell>
          <cell r="K109">
            <v>0.19812451678702439</v>
          </cell>
          <cell r="R109">
            <v>0.21928407803363437</v>
          </cell>
          <cell r="S109">
            <v>0.20694326499251889</v>
          </cell>
          <cell r="T109">
            <v>0.2091865308283424</v>
          </cell>
          <cell r="U109">
            <v>0.2197315366016809</v>
          </cell>
          <cell r="V109">
            <v>0.22686258834600906</v>
          </cell>
        </row>
        <row r="111">
          <cell r="A111" t="str">
            <v>Operating Profit</v>
          </cell>
          <cell r="B111">
            <v>17.681000000000004</v>
          </cell>
          <cell r="G111">
            <v>81.971000000000046</v>
          </cell>
          <cell r="H111">
            <v>101.88700000000006</v>
          </cell>
          <cell r="I111">
            <v>118.47300000000001</v>
          </cell>
          <cell r="J111">
            <v>123.28399999999993</v>
          </cell>
          <cell r="K111">
            <v>134.41700000000003</v>
          </cell>
          <cell r="R111">
            <v>122.75500000000007</v>
          </cell>
          <cell r="S111">
            <v>151.56400000000008</v>
          </cell>
          <cell r="T111">
            <v>166.98000000000005</v>
          </cell>
          <cell r="U111">
            <v>176.47299999999998</v>
          </cell>
          <cell r="V111">
            <v>169.316</v>
          </cell>
        </row>
        <row r="112">
          <cell r="A112" t="str">
            <v xml:space="preserve"> % Change</v>
          </cell>
          <cell r="B112">
            <v>0</v>
          </cell>
          <cell r="G112">
            <v>0</v>
          </cell>
          <cell r="H112">
            <v>0.24296397506435197</v>
          </cell>
          <cell r="I112">
            <v>0.16278818691295216</v>
          </cell>
          <cell r="J112">
            <v>4.0608408666952922E-2</v>
          </cell>
          <cell r="K112">
            <v>9.0303689043185642E-2</v>
          </cell>
          <cell r="R112">
            <v>0</v>
          </cell>
          <cell r="S112">
            <v>0.23468697812716388</v>
          </cell>
          <cell r="T112">
            <v>0.10171280779076808</v>
          </cell>
          <cell r="U112">
            <v>5.685111989459779E-2</v>
          </cell>
          <cell r="V112">
            <v>-4.055577907101926E-2</v>
          </cell>
        </row>
        <row r="113">
          <cell r="A113" t="str">
            <v xml:space="preserve"> % of Sales</v>
          </cell>
          <cell r="B113">
            <v>8.5378337920710826E-2</v>
          </cell>
          <cell r="G113">
            <v>0.14215823994394911</v>
          </cell>
          <cell r="H113">
            <v>0.15668583327053831</v>
          </cell>
          <cell r="I113">
            <v>0.15517620770320928</v>
          </cell>
          <cell r="J113">
            <v>0.13377416901136407</v>
          </cell>
          <cell r="K113">
            <v>0.13819582668487115</v>
          </cell>
          <cell r="R113">
            <v>0.11648772729601961</v>
          </cell>
          <cell r="S113">
            <v>0.13323909439190396</v>
          </cell>
          <cell r="T113">
            <v>0.12775392412191175</v>
          </cell>
          <cell r="U113">
            <v>0.10991216892067798</v>
          </cell>
          <cell r="V113">
            <v>0.10161951678574173</v>
          </cell>
        </row>
        <row r="115">
          <cell r="A115" t="str">
            <v>Restruct./Nonrecurring Expenses</v>
          </cell>
          <cell r="B115">
            <v>0</v>
          </cell>
          <cell r="G115">
            <v>0</v>
          </cell>
          <cell r="H115">
            <v>0</v>
          </cell>
          <cell r="K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250</v>
          </cell>
        </row>
        <row r="116">
          <cell r="A116" t="str">
            <v xml:space="preserve">Interest Expense </v>
          </cell>
          <cell r="B116">
            <v>13.516999999999999</v>
          </cell>
          <cell r="G116">
            <v>14.929</v>
          </cell>
          <cell r="H116">
            <v>11.49</v>
          </cell>
          <cell r="I116">
            <v>17.992999999999999</v>
          </cell>
          <cell r="J116">
            <v>21.99</v>
          </cell>
          <cell r="K116">
            <v>18.513999999999999</v>
          </cell>
          <cell r="R116">
            <v>28.137999999999998</v>
          </cell>
          <cell r="S116">
            <v>19.613</v>
          </cell>
          <cell r="T116">
            <v>29.07</v>
          </cell>
          <cell r="U116">
            <v>41.882999999999996</v>
          </cell>
          <cell r="V116">
            <v>38.15</v>
          </cell>
        </row>
        <row r="117">
          <cell r="A117" t="str">
            <v>Other Expense (Income)</v>
          </cell>
          <cell r="B117">
            <v>-1.2789999999999999</v>
          </cell>
          <cell r="G117">
            <v>3.819</v>
          </cell>
          <cell r="H117">
            <v>1.3149999999999999</v>
          </cell>
          <cell r="I117">
            <v>-0.73</v>
          </cell>
          <cell r="J117">
            <v>8.7040000000000006</v>
          </cell>
          <cell r="K117">
            <v>7.9589999999999996</v>
          </cell>
          <cell r="R117">
            <v>4.3789999999999996</v>
          </cell>
          <cell r="S117">
            <v>4.5999999999999996</v>
          </cell>
          <cell r="T117">
            <v>-4.1440000000000001</v>
          </cell>
          <cell r="U117">
            <v>13.202999999999999</v>
          </cell>
          <cell r="V117">
            <v>15.840999999999999</v>
          </cell>
        </row>
        <row r="119">
          <cell r="A119" t="str">
            <v>Pretax Income (Loss) Before</v>
          </cell>
        </row>
        <row r="120">
          <cell r="A120" t="str">
            <v xml:space="preserve"> Restruct. &amp; Extra. Items</v>
          </cell>
          <cell r="B120">
            <v>5.4430000000000049</v>
          </cell>
          <cell r="G120">
            <v>63.223000000000042</v>
          </cell>
          <cell r="H120">
            <v>89.082000000000065</v>
          </cell>
          <cell r="I120">
            <v>101.21000000000002</v>
          </cell>
          <cell r="J120">
            <v>92.589999999999947</v>
          </cell>
          <cell r="K120">
            <v>107.94400000000003</v>
          </cell>
          <cell r="R120">
            <v>90.238000000000056</v>
          </cell>
          <cell r="S120">
            <v>127.35100000000008</v>
          </cell>
          <cell r="T120">
            <v>142.05400000000006</v>
          </cell>
          <cell r="U120">
            <v>121.387</v>
          </cell>
          <cell r="V120">
            <v>115.325</v>
          </cell>
        </row>
        <row r="121">
          <cell r="A121" t="str">
            <v xml:space="preserve"> % Change</v>
          </cell>
          <cell r="B121">
            <v>0</v>
          </cell>
          <cell r="G121">
            <v>0</v>
          </cell>
          <cell r="H121">
            <v>0.40901254290369016</v>
          </cell>
          <cell r="I121">
            <v>0.13614422666756409</v>
          </cell>
          <cell r="J121">
            <v>-8.5169449659125318E-2</v>
          </cell>
          <cell r="K121">
            <v>0.16582784317961008</v>
          </cell>
          <cell r="R121">
            <v>0</v>
          </cell>
          <cell r="S121">
            <v>0.41127906203594944</v>
          </cell>
          <cell r="T121">
            <v>0.11545256809919024</v>
          </cell>
          <cell r="U121">
            <v>-0.14548692750644154</v>
          </cell>
          <cell r="V121">
            <v>-4.9939449858716345E-2</v>
          </cell>
        </row>
        <row r="122">
          <cell r="A122" t="str">
            <v xml:space="preserve"> % of Sales</v>
          </cell>
          <cell r="B122">
            <v>2.628325848664834E-2</v>
          </cell>
          <cell r="G122">
            <v>0.10964451335199393</v>
          </cell>
          <cell r="H122">
            <v>0.13699380096976155</v>
          </cell>
          <cell r="I122">
            <v>0.13256509062522104</v>
          </cell>
          <cell r="J122">
            <v>0.10046843311996852</v>
          </cell>
          <cell r="K122">
            <v>0.1109785988057443</v>
          </cell>
          <cell r="R122">
            <v>8.5630887016726151E-2</v>
          </cell>
          <cell r="S122">
            <v>0.11195357677221082</v>
          </cell>
          <cell r="T122">
            <v>0.10868341081095972</v>
          </cell>
          <cell r="U122">
            <v>7.5603114633821258E-2</v>
          </cell>
          <cell r="V122">
            <v>6.9215377006990861E-2</v>
          </cell>
        </row>
        <row r="124">
          <cell r="A124" t="str">
            <v xml:space="preserve">Taxes </v>
          </cell>
          <cell r="B124">
            <v>2.2000000000000002</v>
          </cell>
          <cell r="G124">
            <v>22.452999999999999</v>
          </cell>
          <cell r="H124">
            <v>32</v>
          </cell>
          <cell r="I124">
            <v>33.713999999999999</v>
          </cell>
          <cell r="J124">
            <v>29.22</v>
          </cell>
          <cell r="K124">
            <v>32.329228000000008</v>
          </cell>
          <cell r="R124">
            <v>30.988</v>
          </cell>
          <cell r="S124">
            <v>46.2</v>
          </cell>
          <cell r="T124">
            <v>47.599999999999994</v>
          </cell>
          <cell r="U124">
            <v>37.482999999999997</v>
          </cell>
          <cell r="V124">
            <v>34.329228000000008</v>
          </cell>
        </row>
        <row r="125">
          <cell r="A125" t="str">
            <v>Tax Rate</v>
          </cell>
          <cell r="B125">
            <v>0.40418886643395152</v>
          </cell>
          <cell r="G125">
            <v>0.35513974344779564</v>
          </cell>
          <cell r="H125">
            <v>0.35921959542893039</v>
          </cell>
          <cell r="I125">
            <v>0.33310937654381967</v>
          </cell>
          <cell r="J125">
            <v>0.32300000000000001</v>
          </cell>
          <cell r="K125">
            <v>0.29949999999999999</v>
          </cell>
          <cell r="R125">
            <v>0.34340300095303511</v>
          </cell>
          <cell r="S125">
            <v>0.36277689221128984</v>
          </cell>
          <cell r="T125">
            <v>0.33508384135610386</v>
          </cell>
          <cell r="U125">
            <v>0.3087892443177605</v>
          </cell>
          <cell r="V125">
            <v>0.29767377411662699</v>
          </cell>
        </row>
        <row r="127">
          <cell r="A127" t="str">
            <v>Net Income (Loss) Before</v>
          </cell>
        </row>
        <row r="128">
          <cell r="A128" t="str">
            <v xml:space="preserve"> Restruct. &amp; Extra. Items</v>
          </cell>
          <cell r="B128">
            <v>3.2430000000000048</v>
          </cell>
          <cell r="G128">
            <v>40.770000000000039</v>
          </cell>
          <cell r="H128">
            <v>57.082000000000065</v>
          </cell>
          <cell r="I128">
            <v>67.496000000000024</v>
          </cell>
          <cell r="J128">
            <v>63.369999999999948</v>
          </cell>
          <cell r="K128">
            <v>75.614772000000016</v>
          </cell>
          <cell r="R128">
            <v>59.250000000000057</v>
          </cell>
          <cell r="S128">
            <v>81.151000000000082</v>
          </cell>
          <cell r="T128">
            <v>94.454000000000065</v>
          </cell>
          <cell r="U128">
            <v>83.903999999999996</v>
          </cell>
          <cell r="V128">
            <v>80.995771999999988</v>
          </cell>
        </row>
        <row r="129">
          <cell r="A129" t="str">
            <v xml:space="preserve"> % Change</v>
          </cell>
          <cell r="B129">
            <v>0</v>
          </cell>
          <cell r="G129">
            <v>0</v>
          </cell>
          <cell r="H129">
            <v>0.40009811135638973</v>
          </cell>
          <cell r="I129">
            <v>0.18243929785221158</v>
          </cell>
          <cell r="J129">
            <v>-6.1129548417685142E-2</v>
          </cell>
          <cell r="K129">
            <v>0.19322663721003752</v>
          </cell>
          <cell r="R129">
            <v>0</v>
          </cell>
          <cell r="S129">
            <v>0.36963713080168792</v>
          </cell>
          <cell r="T129">
            <v>0.1639289719165502</v>
          </cell>
          <cell r="U129">
            <v>-0.11169458148940292</v>
          </cell>
          <cell r="V129">
            <v>-3.4661374904653042E-2</v>
          </cell>
        </row>
        <row r="130">
          <cell r="A130" t="str">
            <v xml:space="preserve"> % of Sales</v>
          </cell>
          <cell r="B130">
            <v>1.5659858032739411E-2</v>
          </cell>
          <cell r="G130">
            <v>7.0705389009708394E-2</v>
          </cell>
          <cell r="H130">
            <v>8.7782943209132394E-2</v>
          </cell>
          <cell r="I130">
            <v>8.8406415935578714E-2</v>
          </cell>
          <cell r="J130">
            <v>6.8762119092908566E-2</v>
          </cell>
          <cell r="K130">
            <v>7.7740508463423882E-2</v>
          </cell>
          <cell r="R130">
            <v>5.6224983440912098E-2</v>
          </cell>
          <cell r="S130">
            <v>7.1339406118850132E-2</v>
          </cell>
          <cell r="T130">
            <v>7.2265356024739838E-2</v>
          </cell>
          <cell r="U130">
            <v>5.2257685997974569E-2</v>
          </cell>
          <cell r="V130">
            <v>4.8611774506414684E-2</v>
          </cell>
        </row>
        <row r="132">
          <cell r="A132" t="str">
            <v>Cum Acctg Changes</v>
          </cell>
          <cell r="B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R132">
            <v>4.0220000000000002</v>
          </cell>
          <cell r="S132" t="str">
            <v>--</v>
          </cell>
          <cell r="T132" t="str">
            <v>--</v>
          </cell>
          <cell r="U132" t="str">
            <v>--</v>
          </cell>
          <cell r="V132" t="str">
            <v>--</v>
          </cell>
        </row>
        <row r="133">
          <cell r="A133" t="str">
            <v>Extraordinary Item</v>
          </cell>
          <cell r="B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210</v>
          </cell>
        </row>
        <row r="135">
          <cell r="A135" t="str">
            <v>Net Income After Charges</v>
          </cell>
        </row>
        <row r="136">
          <cell r="A136" t="str">
            <v xml:space="preserve"> Avail. to Cmn Stockholders</v>
          </cell>
          <cell r="B136">
            <v>3.2430000000000048</v>
          </cell>
          <cell r="G136">
            <v>40.770000000000039</v>
          </cell>
          <cell r="H136">
            <v>57.082000000000065</v>
          </cell>
          <cell r="I136">
            <v>67.496000000000024</v>
          </cell>
          <cell r="J136">
            <v>63.369999999999948</v>
          </cell>
          <cell r="K136">
            <v>75.614772000000016</v>
          </cell>
          <cell r="R136">
            <v>55.228000000000058</v>
          </cell>
          <cell r="S136">
            <v>81.151000000000082</v>
          </cell>
          <cell r="T136">
            <v>94.454000000000065</v>
          </cell>
          <cell r="U136">
            <v>83.903999999999996</v>
          </cell>
          <cell r="V136">
            <v>-129.00422800000001</v>
          </cell>
        </row>
        <row r="137">
          <cell r="A137" t="str">
            <v xml:space="preserve"> % Change</v>
          </cell>
          <cell r="B137">
            <v>0</v>
          </cell>
          <cell r="G137">
            <v>0</v>
          </cell>
          <cell r="H137">
            <v>0.40009811135638973</v>
          </cell>
          <cell r="I137">
            <v>0.18243929785221158</v>
          </cell>
          <cell r="J137">
            <v>-6.1129548417685142E-2</v>
          </cell>
          <cell r="K137">
            <v>0.19322663721003752</v>
          </cell>
          <cell r="R137">
            <v>0</v>
          </cell>
          <cell r="S137">
            <v>0.46938147316578549</v>
          </cell>
          <cell r="T137">
            <v>0.1639289719165502</v>
          </cell>
          <cell r="U137">
            <v>-0.11169458148940292</v>
          </cell>
          <cell r="V137">
            <v>-2.5375217868039668</v>
          </cell>
        </row>
        <row r="138">
          <cell r="A138" t="str">
            <v xml:space="preserve"> % of Sales</v>
          </cell>
          <cell r="B138">
            <v>1.5659858032739411E-2</v>
          </cell>
          <cell r="G138">
            <v>7.0705389009708394E-2</v>
          </cell>
          <cell r="H138">
            <v>8.7782943209132394E-2</v>
          </cell>
          <cell r="I138">
            <v>8.8406415935578714E-2</v>
          </cell>
          <cell r="J138">
            <v>6.8762119092908566E-2</v>
          </cell>
          <cell r="K138">
            <v>7.7740508463423882E-2</v>
          </cell>
          <cell r="R138">
            <v>5.2408327181007484E-2</v>
          </cell>
          <cell r="S138">
            <v>7.1339406118850132E-2</v>
          </cell>
          <cell r="T138">
            <v>7.2265356024739838E-2</v>
          </cell>
          <cell r="U138">
            <v>5.2257685997974569E-2</v>
          </cell>
          <cell r="V138">
            <v>-7.7425330817392654E-2</v>
          </cell>
        </row>
        <row r="140">
          <cell r="A140" t="str">
            <v>Preferred and Preference Stock</v>
          </cell>
        </row>
        <row r="141">
          <cell r="A141" t="str">
            <v xml:space="preserve"> Dividends</v>
          </cell>
          <cell r="B141">
            <v>0</v>
          </cell>
          <cell r="G141">
            <v>1.2230000000000001</v>
          </cell>
          <cell r="H141">
            <v>1.2</v>
          </cell>
          <cell r="I141">
            <v>1.099</v>
          </cell>
          <cell r="J141">
            <v>0.88900000000000001</v>
          </cell>
          <cell r="K141">
            <v>2.8380000000000001</v>
          </cell>
          <cell r="R141">
            <v>2.4470000000000001</v>
          </cell>
          <cell r="S141">
            <v>2.4</v>
          </cell>
          <cell r="T141">
            <v>2.198</v>
          </cell>
          <cell r="U141">
            <v>1.716</v>
          </cell>
          <cell r="V141">
            <v>5.6379999999999999</v>
          </cell>
        </row>
        <row r="143">
          <cell r="A143" t="str">
            <v>Net Inc. Avail. to Com. Stkhldrs.</v>
          </cell>
          <cell r="B143">
            <v>3.2430000000000048</v>
          </cell>
          <cell r="G143">
            <v>39.54700000000004</v>
          </cell>
          <cell r="H143">
            <v>55.882000000000062</v>
          </cell>
          <cell r="I143">
            <v>66.39700000000002</v>
          </cell>
          <cell r="J143">
            <v>62.480999999999945</v>
          </cell>
          <cell r="K143">
            <v>72.776772000000022</v>
          </cell>
          <cell r="R143">
            <v>52.781000000000063</v>
          </cell>
          <cell r="S143">
            <v>78.75100000000009</v>
          </cell>
          <cell r="T143">
            <v>92.256000000000057</v>
          </cell>
          <cell r="U143">
            <v>82.187999999999988</v>
          </cell>
          <cell r="V143">
            <v>-134.64222800000002</v>
          </cell>
        </row>
        <row r="144">
          <cell r="A144" t="str">
            <v xml:space="preserve"> % Change</v>
          </cell>
          <cell r="B144">
            <v>0</v>
          </cell>
          <cell r="G144">
            <v>0</v>
          </cell>
          <cell r="H144">
            <v>0.41305282322300063</v>
          </cell>
          <cell r="I144">
            <v>0.18816434630113354</v>
          </cell>
          <cell r="J144">
            <v>-5.8978568308810209E-2</v>
          </cell>
          <cell r="K144">
            <v>0.16478244586354385</v>
          </cell>
          <cell r="R144">
            <v>0</v>
          </cell>
          <cell r="S144">
            <v>0.49203311797806015</v>
          </cell>
          <cell r="T144">
            <v>0.17148988584271874</v>
          </cell>
          <cell r="U144">
            <v>-0.10913111342351789</v>
          </cell>
          <cell r="V144">
            <v>-2.6382224655667499</v>
          </cell>
        </row>
        <row r="145">
          <cell r="A145" t="str">
            <v xml:space="preserve"> % of Sales</v>
          </cell>
          <cell r="B145">
            <v>1.5659858032739411E-2</v>
          </cell>
          <cell r="G145">
            <v>6.858440076445764E-2</v>
          </cell>
          <cell r="H145">
            <v>8.5937536043108803E-2</v>
          </cell>
          <cell r="I145">
            <v>8.696694320959196E-2</v>
          </cell>
          <cell r="J145">
            <v>6.7797474562790269E-2</v>
          </cell>
          <cell r="K145">
            <v>7.4822724580941288E-2</v>
          </cell>
          <cell r="R145">
            <v>5.0086259088519526E-2</v>
          </cell>
          <cell r="S145">
            <v>6.9229579071922315E-2</v>
          </cell>
          <cell r="T145">
            <v>7.0583698789023208E-2</v>
          </cell>
          <cell r="U145">
            <v>5.1188914673931316E-2</v>
          </cell>
          <cell r="V145">
            <v>-8.0809127006990875E-2</v>
          </cell>
        </row>
        <row r="147">
          <cell r="A147" t="str">
            <v>Primary EPS Before Restruct. &amp; Extra.</v>
          </cell>
          <cell r="B147">
            <v>3.5999999999999997E-2</v>
          </cell>
          <cell r="G147">
            <v>0.14828549466619187</v>
          </cell>
          <cell r="H147">
            <v>0.19893646845227259</v>
          </cell>
          <cell r="I147">
            <v>0.23654816457584629</v>
          </cell>
          <cell r="J147">
            <v>0.2097269028853769</v>
          </cell>
          <cell r="K147">
            <v>0.24610359939942383</v>
          </cell>
          <cell r="R147">
            <v>0.21318146217307887</v>
          </cell>
          <cell r="S147">
            <v>0.28255408486207906</v>
          </cell>
          <cell r="T147">
            <v>0.32894999946281867</v>
          </cell>
          <cell r="U147">
            <v>0.27566791835091586</v>
          </cell>
          <cell r="V147">
            <v>0.25505354937887803</v>
          </cell>
        </row>
        <row r="148">
          <cell r="A148" t="str">
            <v xml:space="preserve"> % Change</v>
          </cell>
          <cell r="B148">
            <v>0</v>
          </cell>
          <cell r="G148">
            <v>0</v>
          </cell>
          <cell r="H148">
            <v>0.34157740040657392</v>
          </cell>
          <cell r="I148">
            <v>0.18906385750281496</v>
          </cell>
          <cell r="J148">
            <v>-0.11338604862380774</v>
          </cell>
          <cell r="K148">
            <v>0.17344792686862909</v>
          </cell>
          <cell r="R148">
            <v>0</v>
          </cell>
          <cell r="S148">
            <v>0.32541583110391459</v>
          </cell>
          <cell r="T148">
            <v>0.1642018894307844</v>
          </cell>
          <cell r="U148">
            <v>-0.16197623103484848</v>
          </cell>
          <cell r="V148">
            <v>-7.4779717187824724E-2</v>
          </cell>
        </row>
        <row r="150">
          <cell r="A150" t="str">
            <v>Primary EPS After Restruct. &amp; Extra.</v>
          </cell>
          <cell r="B150" t="e">
            <v>#REF!</v>
          </cell>
          <cell r="G150">
            <v>0.14828549466619187</v>
          </cell>
          <cell r="H150">
            <v>0.19893646845227259</v>
          </cell>
          <cell r="I150">
            <v>0.23654816457584629</v>
          </cell>
          <cell r="J150">
            <v>0.2097269028853769</v>
          </cell>
          <cell r="K150">
            <v>0.24610359939942383</v>
          </cell>
          <cell r="R150">
            <v>0.19805561717350195</v>
          </cell>
          <cell r="S150">
            <v>0.28255408486207906</v>
          </cell>
          <cell r="T150">
            <v>0.32894999946281867</v>
          </cell>
          <cell r="U150">
            <v>0.27566791835091586</v>
          </cell>
          <cell r="V150">
            <v>-0.47314850241709372</v>
          </cell>
        </row>
        <row r="151">
          <cell r="A151" t="str">
            <v xml:space="preserve"> % Change</v>
          </cell>
          <cell r="B151">
            <v>0</v>
          </cell>
          <cell r="G151">
            <v>0</v>
          </cell>
          <cell r="H151">
            <v>0.34157740040657392</v>
          </cell>
          <cell r="I151">
            <v>0.18906385750281496</v>
          </cell>
          <cell r="J151">
            <v>-0.11338604862380774</v>
          </cell>
          <cell r="K151">
            <v>0.17344792686862909</v>
          </cell>
          <cell r="R151">
            <v>0.11350758433356356</v>
          </cell>
          <cell r="S151">
            <v>0.42664009682974169</v>
          </cell>
          <cell r="T151">
            <v>0.1642018894307844</v>
          </cell>
          <cell r="U151">
            <v>-0.16197623103484848</v>
          </cell>
          <cell r="V151">
            <v>-2.7163712964770599</v>
          </cell>
        </row>
        <row r="153">
          <cell r="A153" t="str">
            <v>Fully Dil. EPS Before Restruct. &amp; Extra.</v>
          </cell>
          <cell r="B153">
            <v>3.5999999999999997E-2</v>
          </cell>
          <cell r="G153">
            <v>0.14038942828236228</v>
          </cell>
          <cell r="H153">
            <v>0.19711029298295915</v>
          </cell>
          <cell r="I153">
            <v>0.2353502055862754</v>
          </cell>
          <cell r="J153">
            <v>0.20664644774223831</v>
          </cell>
          <cell r="K153">
            <v>0.23822183960720139</v>
          </cell>
          <cell r="R153">
            <v>0.20150614719008164</v>
          </cell>
          <cell r="S153">
            <v>0.27763494087028318</v>
          </cell>
          <cell r="T153">
            <v>0.32714929412736438</v>
          </cell>
          <cell r="U153">
            <v>0.2757858030586306</v>
          </cell>
          <cell r="V153">
            <v>0.24673999142238282</v>
          </cell>
        </row>
        <row r="154">
          <cell r="A154" t="str">
            <v xml:space="preserve"> % Change</v>
          </cell>
          <cell r="G154">
            <v>0</v>
          </cell>
          <cell r="H154">
            <v>0.40402518476330984</v>
          </cell>
          <cell r="I154">
            <v>0.19400261662957496</v>
          </cell>
          <cell r="J154">
            <v>-0.1219618983231131</v>
          </cell>
          <cell r="K154">
            <v>0.15279910305716382</v>
          </cell>
          <cell r="R154">
            <v>0</v>
          </cell>
          <cell r="S154">
            <v>0.37779886490702896</v>
          </cell>
          <cell r="T154">
            <v>0.17834337818529589</v>
          </cell>
          <cell r="U154">
            <v>-0.15700321532326822</v>
          </cell>
          <cell r="V154">
            <v>-0.10532018441164204</v>
          </cell>
        </row>
        <row r="156">
          <cell r="A156" t="str">
            <v>Restruct. Chg/Extra Items</v>
          </cell>
          <cell r="B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R156">
            <v>1.4244983973507588E-2</v>
          </cell>
          <cell r="S156">
            <v>0</v>
          </cell>
          <cell r="T156">
            <v>0</v>
          </cell>
          <cell r="U156">
            <v>0</v>
          </cell>
          <cell r="V156">
            <v>-0.72820205179597164</v>
          </cell>
        </row>
        <row r="158">
          <cell r="A158" t="str">
            <v>Fully Dil. EPS After Restruct. &amp; Extra.</v>
          </cell>
          <cell r="B158" t="e">
            <v>#REF!</v>
          </cell>
          <cell r="G158">
            <v>0.14038942828236228</v>
          </cell>
          <cell r="H158">
            <v>0.19711029298295915</v>
          </cell>
          <cell r="I158">
            <v>0.2353502055862754</v>
          </cell>
          <cell r="J158">
            <v>0.20664644774223831</v>
          </cell>
          <cell r="K158">
            <v>0.23822183960720139</v>
          </cell>
          <cell r="R158">
            <v>0.18726116321657404</v>
          </cell>
          <cell r="S158">
            <v>0.27763494087028318</v>
          </cell>
          <cell r="T158">
            <v>0.32714929412736438</v>
          </cell>
          <cell r="U158">
            <v>0.27178580305863059</v>
          </cell>
          <cell r="V158">
            <v>-0.44632931550831029</v>
          </cell>
        </row>
        <row r="159">
          <cell r="A159" t="str">
            <v xml:space="preserve"> % Change</v>
          </cell>
          <cell r="B159">
            <v>0</v>
          </cell>
          <cell r="G159">
            <v>0</v>
          </cell>
          <cell r="H159">
            <v>0.40402518476330984</v>
          </cell>
          <cell r="I159">
            <v>0.19400261662957496</v>
          </cell>
          <cell r="J159">
            <v>-0.1219618983231131</v>
          </cell>
          <cell r="K159">
            <v>0.15279910305716382</v>
          </cell>
          <cell r="R159">
            <v>-0.21887329506428088</v>
          </cell>
          <cell r="S159">
            <v>0.48260822533281345</v>
          </cell>
          <cell r="T159">
            <v>0.17834337818529589</v>
          </cell>
          <cell r="U159">
            <v>-0.16923004897935034</v>
          </cell>
          <cell r="V159">
            <v>-2.6422098229024367</v>
          </cell>
        </row>
        <row r="161">
          <cell r="A161" t="str">
            <v>Dividends Per Common Share</v>
          </cell>
          <cell r="B161">
            <v>0</v>
          </cell>
          <cell r="G161">
            <v>3.0720000000000004E-2</v>
          </cell>
          <cell r="H161">
            <v>3.8400000000000004E-2</v>
          </cell>
          <cell r="I161">
            <v>4.8000000000000001E-2</v>
          </cell>
          <cell r="J161">
            <v>0.06</v>
          </cell>
          <cell r="K161">
            <v>7.0000000000000007E-2</v>
          </cell>
          <cell r="R161">
            <v>5.6320000000000009E-2</v>
          </cell>
          <cell r="S161">
            <v>7.0400000000000004E-2</v>
          </cell>
          <cell r="T161">
            <v>9.6000000000000002E-2</v>
          </cell>
          <cell r="U161">
            <v>0.12</v>
          </cell>
          <cell r="V161">
            <v>0.13</v>
          </cell>
        </row>
        <row r="163">
          <cell r="A163" t="str">
            <v>Avg. Shares Outstanding (000)s:</v>
          </cell>
        </row>
        <row r="164">
          <cell r="A164" t="str">
            <v xml:space="preserve">  Primary</v>
          </cell>
          <cell r="B164">
            <v>89961</v>
          </cell>
          <cell r="G164">
            <v>266695</v>
          </cell>
          <cell r="H164">
            <v>280903.75</v>
          </cell>
          <cell r="I164">
            <v>280691.25</v>
          </cell>
          <cell r="J164">
            <v>297916</v>
          </cell>
          <cell r="K164">
            <v>295716</v>
          </cell>
          <cell r="R164">
            <v>266298.75</v>
          </cell>
          <cell r="S164">
            <v>277199.375</v>
          </cell>
          <cell r="T164">
            <v>280275</v>
          </cell>
          <cell r="U164">
            <v>298345</v>
          </cell>
          <cell r="V164">
            <v>292048.75</v>
          </cell>
        </row>
        <row r="165">
          <cell r="A165" t="str">
            <v xml:space="preserve">  Fully Diluted</v>
          </cell>
          <cell r="B165">
            <v>89961</v>
          </cell>
          <cell r="G165">
            <v>281695</v>
          </cell>
          <cell r="H165">
            <v>283506.25</v>
          </cell>
          <cell r="I165">
            <v>282120</v>
          </cell>
          <cell r="J165">
            <v>302357</v>
          </cell>
          <cell r="K165">
            <v>305500</v>
          </cell>
          <cell r="R165">
            <v>282020</v>
          </cell>
          <cell r="S165">
            <v>283753.125</v>
          </cell>
          <cell r="T165">
            <v>282123.75</v>
          </cell>
          <cell r="U165">
            <v>302798</v>
          </cell>
          <cell r="V165">
            <v>304250</v>
          </cell>
        </row>
        <row r="167">
          <cell r="A167" t="str">
            <v xml:space="preserve">E = Morgan Stanley Research Estimates </v>
          </cell>
        </row>
        <row r="169">
          <cell r="A169" t="str">
            <v>Note:  All data are pro forma for merger with Fisher Price.</v>
          </cell>
        </row>
        <row r="171">
          <cell r="A171" t="str">
            <v>Mattel</v>
          </cell>
        </row>
        <row r="172">
          <cell r="A172" t="str">
            <v>Third-Quarter Income Statement Comparison 1993-1997E</v>
          </cell>
        </row>
        <row r="173">
          <cell r="A173" t="str">
            <v>($ Millions, Except Per Share Amounts)</v>
          </cell>
        </row>
        <row r="174">
          <cell r="A174" t="str">
            <v xml:space="preserve"> </v>
          </cell>
          <cell r="B174" t="str">
            <v xml:space="preserve"> </v>
          </cell>
          <cell r="R174" t="str">
            <v>9MTD</v>
          </cell>
        </row>
        <row r="175">
          <cell r="A175" t="str">
            <v xml:space="preserve"> </v>
          </cell>
          <cell r="B175" t="str">
            <v xml:space="preserve">     3Q88</v>
          </cell>
          <cell r="G175" t="str">
            <v>3Q93</v>
          </cell>
          <cell r="H175" t="str">
            <v>3Q94</v>
          </cell>
          <cell r="I175" t="str">
            <v>3Q95</v>
          </cell>
          <cell r="J175" t="str">
            <v>3Q96</v>
          </cell>
          <cell r="K175" t="str">
            <v>3Q97E</v>
          </cell>
          <cell r="R175">
            <v>1993</v>
          </cell>
          <cell r="S175">
            <v>1994</v>
          </cell>
          <cell r="T175">
            <v>1995</v>
          </cell>
          <cell r="U175">
            <v>1996</v>
          </cell>
          <cell r="V175" t="str">
            <v>1997E</v>
          </cell>
        </row>
        <row r="176">
          <cell r="A176" t="str">
            <v>Net Sales</v>
          </cell>
          <cell r="B176">
            <v>306.63299999999998</v>
          </cell>
          <cell r="G176">
            <v>896.73199999999997</v>
          </cell>
          <cell r="H176">
            <v>1037.002</v>
          </cell>
          <cell r="I176">
            <v>1176.4839999999999</v>
          </cell>
          <cell r="J176">
            <v>1497.9159999999999</v>
          </cell>
          <cell r="K176">
            <v>1603</v>
          </cell>
          <cell r="R176">
            <v>1950.5340000000001</v>
          </cell>
          <cell r="S176">
            <v>2174.5360000000001</v>
          </cell>
          <cell r="T176">
            <v>2483.5280000000002</v>
          </cell>
          <cell r="U176">
            <v>3103.4979999999996</v>
          </cell>
          <cell r="V176">
            <v>3269.1759999999999</v>
          </cell>
        </row>
        <row r="177">
          <cell r="A177" t="str">
            <v xml:space="preserve"> % Change</v>
          </cell>
          <cell r="B177">
            <v>0</v>
          </cell>
          <cell r="G177">
            <v>0</v>
          </cell>
          <cell r="H177">
            <v>0.15642354683450566</v>
          </cell>
          <cell r="I177">
            <v>0.13450504434899835</v>
          </cell>
          <cell r="J177">
            <v>0.27321408535942693</v>
          </cell>
          <cell r="K177">
            <v>7.0153466549526255E-2</v>
          </cell>
          <cell r="R177">
            <v>0</v>
          </cell>
          <cell r="S177">
            <v>0.11484137164489305</v>
          </cell>
          <cell r="T177">
            <v>0.14209560108455332</v>
          </cell>
          <cell r="U177">
            <v>0.24963278046392046</v>
          </cell>
          <cell r="V177">
            <v>5.3384277998568264E-2</v>
          </cell>
        </row>
        <row r="179">
          <cell r="A179" t="str">
            <v>Cost of Goods Sold</v>
          </cell>
          <cell r="B179">
            <v>154.53</v>
          </cell>
          <cell r="G179">
            <v>434.15600000000001</v>
          </cell>
          <cell r="H179">
            <v>508.12200000000001</v>
          </cell>
          <cell r="I179">
            <v>592.5</v>
          </cell>
          <cell r="J179">
            <v>747.14300000000003</v>
          </cell>
          <cell r="K179">
            <v>800</v>
          </cell>
          <cell r="R179">
            <v>982.24199999999996</v>
          </cell>
          <cell r="S179">
            <v>1093.047</v>
          </cell>
          <cell r="T179">
            <v>1273.83</v>
          </cell>
          <cell r="U179">
            <v>1593.827</v>
          </cell>
          <cell r="V179">
            <v>1684.528</v>
          </cell>
        </row>
        <row r="180">
          <cell r="A180" t="str">
            <v xml:space="preserve"> % Change</v>
          </cell>
          <cell r="B180">
            <v>0</v>
          </cell>
          <cell r="G180">
            <v>0</v>
          </cell>
          <cell r="H180">
            <v>0.17036733340089749</v>
          </cell>
          <cell r="I180">
            <v>0.16605854499509953</v>
          </cell>
          <cell r="J180">
            <v>0.26100084388185651</v>
          </cell>
          <cell r="K180">
            <v>7.0745493165297546E-2</v>
          </cell>
          <cell r="R180">
            <v>0</v>
          </cell>
          <cell r="S180">
            <v>0.11280824888367635</v>
          </cell>
          <cell r="T180">
            <v>0.16539361985349199</v>
          </cell>
          <cell r="U180">
            <v>0.25120856001193248</v>
          </cell>
          <cell r="V180">
            <v>5.690768195042506E-2</v>
          </cell>
        </row>
        <row r="181">
          <cell r="A181" t="str">
            <v xml:space="preserve"> % of Sales</v>
          </cell>
          <cell r="B181">
            <v>0.5039574996820303</v>
          </cell>
          <cell r="G181">
            <v>0.48415357096657641</v>
          </cell>
          <cell r="H181">
            <v>0.48999134042171572</v>
          </cell>
          <cell r="I181">
            <v>0.50361925874045044</v>
          </cell>
          <cell r="J181">
            <v>0.49878831656781825</v>
          </cell>
          <cell r="K181">
            <v>0.49906425452276981</v>
          </cell>
          <cell r="R181">
            <v>0.50357594381846194</v>
          </cell>
          <cell r="S181">
            <v>0.50265757844432102</v>
          </cell>
          <cell r="T181">
            <v>0.51291147110078883</v>
          </cell>
          <cell r="U181">
            <v>0.51355824943338135</v>
          </cell>
          <cell r="V181">
            <v>0.51527602062415734</v>
          </cell>
        </row>
        <row r="183">
          <cell r="A183" t="str">
            <v>Gross Profit</v>
          </cell>
          <cell r="B183">
            <v>152.10299999999998</v>
          </cell>
          <cell r="G183">
            <v>462.57599999999996</v>
          </cell>
          <cell r="H183">
            <v>528.87999999999988</v>
          </cell>
          <cell r="I183">
            <v>583.98399999999992</v>
          </cell>
          <cell r="J183">
            <v>750.77299999999991</v>
          </cell>
          <cell r="K183">
            <v>803</v>
          </cell>
          <cell r="R183">
            <v>968.29200000000003</v>
          </cell>
          <cell r="S183">
            <v>1081.489</v>
          </cell>
          <cell r="T183">
            <v>1209.6979999999999</v>
          </cell>
          <cell r="U183">
            <v>1509.6709999999998</v>
          </cell>
          <cell r="V183">
            <v>1584.6479999999999</v>
          </cell>
        </row>
        <row r="184">
          <cell r="A184" t="str">
            <v xml:space="preserve"> % Change</v>
          </cell>
          <cell r="B184">
            <v>0</v>
          </cell>
          <cell r="G184">
            <v>0</v>
          </cell>
          <cell r="H184">
            <v>0.14333644633530462</v>
          </cell>
          <cell r="I184">
            <v>0.10418998638632582</v>
          </cell>
          <cell r="J184">
            <v>0.28560542754596008</v>
          </cell>
          <cell r="K184">
            <v>6.9564302392334465E-2</v>
          </cell>
          <cell r="R184">
            <v>0</v>
          </cell>
          <cell r="S184">
            <v>0.11690378522181333</v>
          </cell>
          <cell r="T184">
            <v>0.11854859365190018</v>
          </cell>
          <cell r="U184">
            <v>0.24797346114484764</v>
          </cell>
          <cell r="V184">
            <v>4.9664463316841934E-2</v>
          </cell>
        </row>
        <row r="185">
          <cell r="A185" t="str">
            <v xml:space="preserve"> % of Sales</v>
          </cell>
          <cell r="B185">
            <v>0.49604250031796965</v>
          </cell>
          <cell r="G185">
            <v>0.51584642903342359</v>
          </cell>
          <cell r="H185">
            <v>0.51000865957828423</v>
          </cell>
          <cell r="I185">
            <v>0.49638074125954962</v>
          </cell>
          <cell r="J185">
            <v>0.5012116834321817</v>
          </cell>
          <cell r="K185">
            <v>0.50093574547723019</v>
          </cell>
          <cell r="R185">
            <v>0.49642405618153795</v>
          </cell>
          <cell r="S185">
            <v>0.49734242155567898</v>
          </cell>
          <cell r="T185">
            <v>0.487088528899211</v>
          </cell>
          <cell r="U185">
            <v>0.4864417505666187</v>
          </cell>
          <cell r="V185">
            <v>0.48472397937584272</v>
          </cell>
        </row>
        <row r="186">
          <cell r="A186"/>
        </row>
        <row r="187">
          <cell r="A187" t="str">
            <v>Advertising and Promotion Exp.</v>
          </cell>
          <cell r="B187">
            <v>48.7</v>
          </cell>
          <cell r="G187">
            <v>139.392</v>
          </cell>
          <cell r="H187">
            <v>161.298</v>
          </cell>
          <cell r="I187">
            <v>182.35499999999999</v>
          </cell>
          <cell r="J187">
            <v>240.303</v>
          </cell>
          <cell r="K187">
            <v>242</v>
          </cell>
          <cell r="R187">
            <v>291.27100000000002</v>
          </cell>
          <cell r="S187">
            <v>326.93799999999999</v>
          </cell>
          <cell r="T187">
            <v>367.673</v>
          </cell>
          <cell r="U187">
            <v>469.93099999999998</v>
          </cell>
          <cell r="V187">
            <v>476.339</v>
          </cell>
        </row>
        <row r="188">
          <cell r="A188" t="str">
            <v xml:space="preserve"> % Change</v>
          </cell>
          <cell r="B188">
            <v>0</v>
          </cell>
          <cell r="G188">
            <v>0</v>
          </cell>
          <cell r="H188">
            <v>0.15715392561983466</v>
          </cell>
          <cell r="I188">
            <v>0.13054718595394843</v>
          </cell>
          <cell r="J188">
            <v>0.31777576704779142</v>
          </cell>
          <cell r="K188">
            <v>7.0619176622848112E-3</v>
          </cell>
          <cell r="R188">
            <v>0</v>
          </cell>
          <cell r="S188">
            <v>0.12245297334784433</v>
          </cell>
          <cell r="T188">
            <v>0.12459548905297035</v>
          </cell>
          <cell r="U188">
            <v>0.27812213570210487</v>
          </cell>
          <cell r="V188">
            <v>1.3636044440566764E-2</v>
          </cell>
        </row>
        <row r="189">
          <cell r="A189" t="str">
            <v xml:space="preserve"> % of Sales</v>
          </cell>
          <cell r="B189">
            <v>0.15882178369581879</v>
          </cell>
          <cell r="G189">
            <v>0.15544443601878821</v>
          </cell>
          <cell r="H189">
            <v>0.15554261226111427</v>
          </cell>
          <cell r="I189">
            <v>0.1549999830001938</v>
          </cell>
          <cell r="J189">
            <v>0.16042488363833488</v>
          </cell>
          <cell r="K189">
            <v>0.15096693699313787</v>
          </cell>
          <cell r="R189">
            <v>0.14932885045838729</v>
          </cell>
          <cell r="S189">
            <v>0.15034839616359535</v>
          </cell>
          <cell r="T189">
            <v>0.14804463650097763</v>
          </cell>
          <cell r="U189">
            <v>0.15141978502966655</v>
          </cell>
          <cell r="V189">
            <v>0.14570613512395783</v>
          </cell>
        </row>
        <row r="191">
          <cell r="A191" t="str">
            <v>Other Selling &amp; Admin.</v>
          </cell>
          <cell r="B191">
            <v>57.984999999999999</v>
          </cell>
          <cell r="G191">
            <v>137.523</v>
          </cell>
          <cell r="H191">
            <v>140.601</v>
          </cell>
          <cell r="I191">
            <v>159.35900000000001</v>
          </cell>
          <cell r="J191">
            <v>204.584</v>
          </cell>
          <cell r="K191">
            <v>208</v>
          </cell>
          <cell r="R191">
            <v>368.60500000000002</v>
          </cell>
          <cell r="S191">
            <v>376.00599999999997</v>
          </cell>
          <cell r="T191">
            <v>432.77499999999998</v>
          </cell>
          <cell r="U191">
            <v>557.38100000000009</v>
          </cell>
          <cell r="V191">
            <v>585.99299999999994</v>
          </cell>
        </row>
        <row r="192">
          <cell r="A192" t="str">
            <v xml:space="preserve"> % Change</v>
          </cell>
          <cell r="B192">
            <v>0</v>
          </cell>
          <cell r="G192">
            <v>0</v>
          </cell>
          <cell r="H192">
            <v>2.2381710695665413E-2</v>
          </cell>
          <cell r="I192">
            <v>0.13341299137274998</v>
          </cell>
          <cell r="J192">
            <v>0.28379319649345192</v>
          </cell>
          <cell r="K192">
            <v>1.6697297931411947E-2</v>
          </cell>
          <cell r="R192">
            <v>0</v>
          </cell>
          <cell r="S192">
            <v>2.0078403711289772E-2</v>
          </cell>
          <cell r="T192">
            <v>0.15097897373978086</v>
          </cell>
          <cell r="U192">
            <v>0.28792328577205262</v>
          </cell>
          <cell r="V192">
            <v>5.1332930257758758E-2</v>
          </cell>
        </row>
        <row r="193">
          <cell r="A193" t="str">
            <v xml:space="preserve"> % of Sales</v>
          </cell>
          <cell r="B193">
            <v>0.18910228188094563</v>
          </cell>
          <cell r="G193">
            <v>0.15336020126414582</v>
          </cell>
          <cell r="H193">
            <v>0.13558411652050817</v>
          </cell>
          <cell r="I193">
            <v>0.13545360582889357</v>
          </cell>
          <cell r="J193">
            <v>0.13657908721183298</v>
          </cell>
          <cell r="K193">
            <v>0.12975670617592014</v>
          </cell>
          <cell r="R193">
            <v>0.18897645465293095</v>
          </cell>
          <cell r="S193">
            <v>0.1729132099905451</v>
          </cell>
          <cell r="T193">
            <v>0.17425815211263973</v>
          </cell>
          <cell r="U193">
            <v>0.17959766689071499</v>
          </cell>
          <cell r="V193">
            <v>0.17924792057692823</v>
          </cell>
        </row>
        <row r="195">
          <cell r="A195" t="str">
            <v>Operating Profit</v>
          </cell>
          <cell r="B195">
            <v>45.417999999999978</v>
          </cell>
          <cell r="G195">
            <v>185.66099999999997</v>
          </cell>
          <cell r="H195">
            <v>226.98099999999988</v>
          </cell>
          <cell r="I195">
            <v>242.2699999999999</v>
          </cell>
          <cell r="J195">
            <v>305.88599999999991</v>
          </cell>
          <cell r="K195">
            <v>353</v>
          </cell>
          <cell r="R195">
            <v>308.41600000000005</v>
          </cell>
          <cell r="S195">
            <v>378.54499999999996</v>
          </cell>
          <cell r="T195">
            <v>409.24999999999994</v>
          </cell>
          <cell r="U195">
            <v>482.35899999999992</v>
          </cell>
          <cell r="V195">
            <v>522.31600000000003</v>
          </cell>
        </row>
        <row r="196">
          <cell r="A196" t="str">
            <v xml:space="preserve"> % Change</v>
          </cell>
          <cell r="B196">
            <v>0</v>
          </cell>
          <cell r="G196">
            <v>0</v>
          </cell>
          <cell r="H196">
            <v>0.2225561641917253</v>
          </cell>
          <cell r="I196">
            <v>6.7358060806851805E-2</v>
          </cell>
          <cell r="J196">
            <v>0.26258306847731894</v>
          </cell>
          <cell r="K196">
            <v>0.15402470201316865</v>
          </cell>
          <cell r="R196">
            <v>0</v>
          </cell>
          <cell r="S196">
            <v>0.22738444179290274</v>
          </cell>
          <cell r="T196">
            <v>8.1113209790117491E-2</v>
          </cell>
          <cell r="U196">
            <v>0.17864141722663396</v>
          </cell>
          <cell r="V196">
            <v>8.2836642417784434E-2</v>
          </cell>
        </row>
        <row r="197">
          <cell r="A197" t="str">
            <v xml:space="preserve"> % of Sales</v>
          </cell>
          <cell r="B197">
            <v>0.14811843474120523</v>
          </cell>
          <cell r="G197">
            <v>0.20704179175048953</v>
          </cell>
          <cell r="H197">
            <v>0.21888193079666182</v>
          </cell>
          <cell r="I197">
            <v>0.20592715243046222</v>
          </cell>
          <cell r="J197">
            <v>0.20420771258201389</v>
          </cell>
          <cell r="K197">
            <v>0.22021210230817218</v>
          </cell>
          <cell r="R197">
            <v>0.15811875107021978</v>
          </cell>
          <cell r="S197">
            <v>0.17408081540153852</v>
          </cell>
          <cell r="T197">
            <v>0.16478574028559367</v>
          </cell>
          <cell r="U197">
            <v>0.15542429864623725</v>
          </cell>
          <cell r="V197">
            <v>0.15976992367495663</v>
          </cell>
        </row>
        <row r="199">
          <cell r="A199" t="str">
            <v>Restruct./Nonrecurring Expenses</v>
          </cell>
          <cell r="B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250</v>
          </cell>
        </row>
        <row r="200">
          <cell r="A200" t="str">
            <v xml:space="preserve">Interest Expense </v>
          </cell>
          <cell r="B200">
            <v>13.885999999999999</v>
          </cell>
          <cell r="G200">
            <v>16.913</v>
          </cell>
          <cell r="H200">
            <v>18.274000000000001</v>
          </cell>
          <cell r="I200">
            <v>22.734000000000002</v>
          </cell>
          <cell r="J200">
            <v>28.251000000000001</v>
          </cell>
          <cell r="K200">
            <v>25</v>
          </cell>
          <cell r="R200">
            <v>45.051000000000002</v>
          </cell>
          <cell r="S200">
            <v>37.887</v>
          </cell>
          <cell r="T200">
            <v>51.804000000000002</v>
          </cell>
          <cell r="U200">
            <v>70.134</v>
          </cell>
          <cell r="V200">
            <v>63.15</v>
          </cell>
        </row>
        <row r="201">
          <cell r="A201" t="str">
            <v>Other Expense (Income)</v>
          </cell>
          <cell r="B201">
            <v>-2.9009999999999998</v>
          </cell>
          <cell r="G201">
            <v>5.3780000000000001</v>
          </cell>
          <cell r="H201">
            <v>5.9669999999999996</v>
          </cell>
          <cell r="I201">
            <v>-9.0250000000000004</v>
          </cell>
          <cell r="J201">
            <v>9.4589999999999996</v>
          </cell>
          <cell r="K201">
            <v>9</v>
          </cell>
          <cell r="R201">
            <v>9.7569999999999997</v>
          </cell>
          <cell r="S201">
            <v>10.567</v>
          </cell>
          <cell r="T201">
            <v>-13.169</v>
          </cell>
          <cell r="U201">
            <v>22.661999999999999</v>
          </cell>
          <cell r="V201">
            <v>24.841000000000001</v>
          </cell>
        </row>
        <row r="203">
          <cell r="A203" t="str">
            <v>Pretax Income (Loss) Before</v>
          </cell>
        </row>
        <row r="204">
          <cell r="A204" t="str">
            <v xml:space="preserve"> Restruct. &amp; Extra. Items</v>
          </cell>
          <cell r="B204">
            <v>34.432999999999979</v>
          </cell>
          <cell r="G204">
            <v>163.36999999999995</v>
          </cell>
          <cell r="H204">
            <v>202.73999999999987</v>
          </cell>
          <cell r="I204">
            <v>228.56099999999989</v>
          </cell>
          <cell r="J204">
            <v>268.17599999999993</v>
          </cell>
          <cell r="K204">
            <v>319</v>
          </cell>
          <cell r="R204">
            <v>253.608</v>
          </cell>
          <cell r="S204">
            <v>330.09099999999995</v>
          </cell>
          <cell r="T204">
            <v>370.61499999999995</v>
          </cell>
          <cell r="U204">
            <v>389.56299999999993</v>
          </cell>
          <cell r="V204">
            <v>434.32499999999999</v>
          </cell>
        </row>
        <row r="205">
          <cell r="A205" t="str">
            <v xml:space="preserve"> % Change</v>
          </cell>
          <cell r="B205">
            <v>0</v>
          </cell>
          <cell r="G205">
            <v>0</v>
          </cell>
          <cell r="H205">
            <v>0.24098671726755172</v>
          </cell>
          <cell r="I205">
            <v>0.12736016572950604</v>
          </cell>
          <cell r="J205">
            <v>0.17332353288618818</v>
          </cell>
          <cell r="K205">
            <v>0.18951733190143827</v>
          </cell>
          <cell r="R205">
            <v>0</v>
          </cell>
          <cell r="S205">
            <v>0.30157960316709231</v>
          </cell>
          <cell r="T205">
            <v>0.12276614630510974</v>
          </cell>
          <cell r="U205">
            <v>5.1125831388368015E-2</v>
          </cell>
          <cell r="V205">
            <v>0.11490310938153803</v>
          </cell>
        </row>
        <row r="206">
          <cell r="A206" t="str">
            <v xml:space="preserve"> % of Sales</v>
          </cell>
          <cell r="B206">
            <v>0.11229384965088553</v>
          </cell>
          <cell r="G206">
            <v>0.18218375166716472</v>
          </cell>
          <cell r="H206">
            <v>0.19550589102046079</v>
          </cell>
          <cell r="I206">
            <v>0.19427463526915786</v>
          </cell>
          <cell r="J206">
            <v>0.17903273614808837</v>
          </cell>
          <cell r="K206">
            <v>0.19900187149095447</v>
          </cell>
          <cell r="R206">
            <v>0.13001977919892707</v>
          </cell>
          <cell r="S206">
            <v>0.15179836066176874</v>
          </cell>
          <cell r="T206">
            <v>0.14922924162723347</v>
          </cell>
          <cell r="U206">
            <v>0.12552384438462663</v>
          </cell>
          <cell r="V206">
            <v>0.13285457864611755</v>
          </cell>
        </row>
        <row r="208">
          <cell r="A208" t="str">
            <v xml:space="preserve">Taxes </v>
          </cell>
          <cell r="B208">
            <v>12.5</v>
          </cell>
          <cell r="G208">
            <v>58.713999999999999</v>
          </cell>
          <cell r="H208">
            <v>71</v>
          </cell>
          <cell r="I208">
            <v>76.2</v>
          </cell>
          <cell r="J208">
            <v>86.801000000000002</v>
          </cell>
          <cell r="K208">
            <v>95.5</v>
          </cell>
          <cell r="R208">
            <v>89.701999999999998</v>
          </cell>
          <cell r="S208">
            <v>117.2</v>
          </cell>
          <cell r="T208">
            <v>123.8</v>
          </cell>
          <cell r="U208">
            <v>124.28399999999999</v>
          </cell>
          <cell r="V208">
            <v>129.829228</v>
          </cell>
        </row>
        <row r="209">
          <cell r="A209" t="str">
            <v>Tax Rate</v>
          </cell>
          <cell r="B209">
            <v>0.36302384340603511</v>
          </cell>
          <cell r="G209">
            <v>0.35939278937381414</v>
          </cell>
          <cell r="H209">
            <v>0.35020222945644691</v>
          </cell>
          <cell r="I209">
            <v>0.33339021092837379</v>
          </cell>
          <cell r="J209">
            <v>0.32367176779428442</v>
          </cell>
          <cell r="K209">
            <v>0.29937304075235111</v>
          </cell>
          <cell r="R209">
            <v>0.35370335320652346</v>
          </cell>
          <cell r="S209">
            <v>0.35505360642974215</v>
          </cell>
          <cell r="T209">
            <v>0.33403936699809778</v>
          </cell>
          <cell r="U209">
            <v>0.31903440521815474</v>
          </cell>
          <cell r="V209">
            <v>0.2989218396362171</v>
          </cell>
        </row>
        <row r="211">
          <cell r="A211" t="str">
            <v>Net Income (Loss) Before</v>
          </cell>
        </row>
        <row r="212">
          <cell r="A212" t="str">
            <v xml:space="preserve"> Restruct. &amp; Extra. Items</v>
          </cell>
          <cell r="B212">
            <v>21.932999999999979</v>
          </cell>
          <cell r="G212">
            <v>104.65599999999995</v>
          </cell>
          <cell r="H212">
            <v>131.73999999999987</v>
          </cell>
          <cell r="I212">
            <v>152.36099999999988</v>
          </cell>
          <cell r="J212">
            <v>181.37499999999994</v>
          </cell>
          <cell r="K212">
            <v>223.5</v>
          </cell>
          <cell r="R212">
            <v>163.90600000000001</v>
          </cell>
          <cell r="S212">
            <v>212.89099999999996</v>
          </cell>
          <cell r="T212">
            <v>246.81499999999994</v>
          </cell>
          <cell r="U212">
            <v>265.27899999999994</v>
          </cell>
          <cell r="V212">
            <v>304.49577199999999</v>
          </cell>
        </row>
        <row r="213">
          <cell r="A213" t="str">
            <v xml:space="preserve"> % Change</v>
          </cell>
          <cell r="B213">
            <v>0</v>
          </cell>
          <cell r="G213">
            <v>0</v>
          </cell>
          <cell r="H213">
            <v>0.25879070478520028</v>
          </cell>
          <cell r="I213">
            <v>0.1565280097161077</v>
          </cell>
          <cell r="J213">
            <v>0.19042930933769209</v>
          </cell>
          <cell r="K213">
            <v>0.23225361819434909</v>
          </cell>
          <cell r="R213">
            <v>0</v>
          </cell>
          <cell r="S213">
            <v>0.29886032237990046</v>
          </cell>
          <cell r="T213">
            <v>0.15934915050424858</v>
          </cell>
          <cell r="U213">
            <v>7.4809067520207551E-2</v>
          </cell>
          <cell r="V213">
            <v>0.14783217668944792</v>
          </cell>
        </row>
        <row r="214">
          <cell r="A214" t="str">
            <v xml:space="preserve"> % of Sales</v>
          </cell>
          <cell r="B214">
            <v>7.1528504759761607E-2</v>
          </cell>
          <cell r="G214">
            <v>0.11670822497691613</v>
          </cell>
          <cell r="H214">
            <v>0.12703929211322629</v>
          </cell>
          <cell r="I214">
            <v>0.12950537363874043</v>
          </cell>
          <cell r="J214">
            <v>0.12108489394598893</v>
          </cell>
          <cell r="K214">
            <v>0.13942607610729882</v>
          </cell>
          <cell r="R214">
            <v>8.4031347313094765E-2</v>
          </cell>
          <cell r="S214">
            <v>9.7901805258685054E-2</v>
          </cell>
          <cell r="T214">
            <v>9.9380800216466225E-2</v>
          </cell>
          <cell r="U214">
            <v>8.5477419350681066E-2</v>
          </cell>
          <cell r="V214">
            <v>9.3141443593125609E-2</v>
          </cell>
        </row>
        <row r="216">
          <cell r="A216" t="str">
            <v>Extraordinary Item</v>
          </cell>
        </row>
        <row r="217">
          <cell r="A217" t="str">
            <v>Cum Acctg Changes</v>
          </cell>
          <cell r="B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R217">
            <v>4.0220000000000002</v>
          </cell>
          <cell r="S217" t="str">
            <v>--</v>
          </cell>
          <cell r="T217" t="str">
            <v>--</v>
          </cell>
          <cell r="U217" t="str">
            <v>--</v>
          </cell>
          <cell r="V217" t="str">
            <v>--</v>
          </cell>
        </row>
        <row r="218">
          <cell r="A218" t="str">
            <v>Extraordinary Item</v>
          </cell>
          <cell r="B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210</v>
          </cell>
        </row>
        <row r="220">
          <cell r="A220" t="str">
            <v>Net Income After Charges</v>
          </cell>
        </row>
        <row r="221">
          <cell r="A221" t="str">
            <v xml:space="preserve"> Avail. to Cmn Stockholders</v>
          </cell>
          <cell r="B221">
            <v>21.932999999999979</v>
          </cell>
          <cell r="G221">
            <v>104.65599999999995</v>
          </cell>
          <cell r="H221">
            <v>131.73999999999987</v>
          </cell>
          <cell r="I221">
            <v>152.36099999999988</v>
          </cell>
          <cell r="J221">
            <v>181.37499999999994</v>
          </cell>
          <cell r="K221">
            <v>223.5</v>
          </cell>
          <cell r="R221">
            <v>159.88400000000001</v>
          </cell>
          <cell r="S221">
            <v>212.89099999999996</v>
          </cell>
          <cell r="T221">
            <v>246.81499999999994</v>
          </cell>
          <cell r="U221">
            <v>265.27899999999994</v>
          </cell>
          <cell r="V221">
            <v>94.495771999999988</v>
          </cell>
        </row>
        <row r="222">
          <cell r="A222" t="str">
            <v xml:space="preserve"> % Change</v>
          </cell>
          <cell r="B222">
            <v>0</v>
          </cell>
          <cell r="G222">
            <v>0</v>
          </cell>
          <cell r="H222">
            <v>0.25879070478520028</v>
          </cell>
          <cell r="I222">
            <v>0.1565280097161077</v>
          </cell>
          <cell r="J222">
            <v>0.19042930933769209</v>
          </cell>
          <cell r="K222">
            <v>0.23225361819434909</v>
          </cell>
          <cell r="R222">
            <v>0</v>
          </cell>
          <cell r="S222">
            <v>0.33153411223136731</v>
          </cell>
          <cell r="T222">
            <v>0.15934915050424858</v>
          </cell>
          <cell r="U222">
            <v>7.4809067520207551E-2</v>
          </cell>
          <cell r="V222">
            <v>-0.64378721270812989</v>
          </cell>
        </row>
        <row r="223">
          <cell r="A223" t="str">
            <v xml:space="preserve"> % of Sales</v>
          </cell>
          <cell r="B223">
            <v>7.1528504759761607E-2</v>
          </cell>
          <cell r="G223">
            <v>0.11670822497691613</v>
          </cell>
          <cell r="H223">
            <v>0.12703929211322629</v>
          </cell>
          <cell r="I223">
            <v>0.12950537363874043</v>
          </cell>
          <cell r="J223">
            <v>0.12108489394598893</v>
          </cell>
          <cell r="K223">
            <v>0.13942607610729882</v>
          </cell>
          <cell r="R223">
            <v>8.196934788114435E-2</v>
          </cell>
          <cell r="S223">
            <v>9.7901805258685054E-2</v>
          </cell>
          <cell r="T223">
            <v>9.9380800216466225E-2</v>
          </cell>
          <cell r="U223">
            <v>8.5477419350681066E-2</v>
          </cell>
          <cell r="V223">
            <v>2.8905073327346091E-2</v>
          </cell>
        </row>
        <row r="225">
          <cell r="A225" t="str">
            <v>Preferred and Preference Stock</v>
          </cell>
        </row>
        <row r="226">
          <cell r="A226" t="str">
            <v xml:space="preserve"> Dividends</v>
          </cell>
          <cell r="B226">
            <v>0</v>
          </cell>
          <cell r="G226">
            <v>1.224</v>
          </cell>
          <cell r="H226">
            <v>1.1519999999999999</v>
          </cell>
          <cell r="I226">
            <v>1.1000000000000001</v>
          </cell>
          <cell r="J226">
            <v>2.8380000000000001</v>
          </cell>
          <cell r="K226">
            <v>2.8380000000000001</v>
          </cell>
          <cell r="R226">
            <v>3.6710000000000003</v>
          </cell>
          <cell r="S226">
            <v>3.5469999999999997</v>
          </cell>
          <cell r="T226">
            <v>3.298</v>
          </cell>
          <cell r="U226">
            <v>4.5540000000000003</v>
          </cell>
          <cell r="V226">
            <v>8.4759999999999991</v>
          </cell>
        </row>
        <row r="228">
          <cell r="A228" t="str">
            <v>Net Inc. Avail. to Com. Stkhldrs.</v>
          </cell>
          <cell r="B228">
            <v>21.932999999999979</v>
          </cell>
          <cell r="G228">
            <v>103.43199999999995</v>
          </cell>
          <cell r="H228">
            <v>130.58799999999988</v>
          </cell>
          <cell r="I228">
            <v>151.26099999999988</v>
          </cell>
          <cell r="J228">
            <v>178.53699999999995</v>
          </cell>
          <cell r="K228">
            <v>220.66200000000001</v>
          </cell>
          <cell r="R228">
            <v>156.21300000000002</v>
          </cell>
          <cell r="S228">
            <v>209.33899999999997</v>
          </cell>
          <cell r="T228">
            <v>243.51699999999994</v>
          </cell>
          <cell r="U228">
            <v>260.72499999999991</v>
          </cell>
          <cell r="V228">
            <v>86.019771999999989</v>
          </cell>
        </row>
        <row r="229">
          <cell r="A229" t="str">
            <v xml:space="preserve"> % Change</v>
          </cell>
          <cell r="B229">
            <v>0</v>
          </cell>
          <cell r="G229">
            <v>0</v>
          </cell>
          <cell r="H229">
            <v>0.26254930775775343</v>
          </cell>
          <cell r="I229">
            <v>0.15830704199467038</v>
          </cell>
          <cell r="J229">
            <v>0.18032407560441954</v>
          </cell>
          <cell r="K229">
            <v>0.23594549029052847</v>
          </cell>
          <cell r="R229">
            <v>0</v>
          </cell>
          <cell r="S229">
            <v>0.34008693258563594</v>
          </cell>
          <cell r="T229">
            <v>0.16326628100831653</v>
          </cell>
          <cell r="U229">
            <v>7.0664471063621725E-2</v>
          </cell>
          <cell r="V229">
            <v>-0.67007470706683281</v>
          </cell>
        </row>
        <row r="230">
          <cell r="A230" t="str">
            <v xml:space="preserve"> % of Sales</v>
          </cell>
          <cell r="B230">
            <v>7.1528504759761607E-2</v>
          </cell>
          <cell r="G230">
            <v>0.11534326866889991</v>
          </cell>
          <cell r="H230">
            <v>0.12592839743799905</v>
          </cell>
          <cell r="I230">
            <v>0.12857038429761891</v>
          </cell>
          <cell r="J230">
            <v>0.11919026167021379</v>
          </cell>
          <cell r="K230">
            <v>0.13765564566437929</v>
          </cell>
          <cell r="R230">
            <v>8.0087299170381043E-2</v>
          </cell>
          <cell r="S230">
            <v>9.6268353340666676E-2</v>
          </cell>
          <cell r="T230">
            <v>9.8052850622179388E-2</v>
          </cell>
          <cell r="U230">
            <v>8.401004286131325E-2</v>
          </cell>
          <cell r="V230">
            <v>2.631237106842825E-2</v>
          </cell>
        </row>
        <row r="232">
          <cell r="A232" t="str">
            <v>Primary EPS Before Restruct. &amp; Extra.</v>
          </cell>
          <cell r="B232">
            <v>0.24199999999999999</v>
          </cell>
          <cell r="G232">
            <v>0.38800155677784476</v>
          </cell>
          <cell r="H232">
            <v>0.46240162882308633</v>
          </cell>
          <cell r="I232">
            <v>0.53656966251779159</v>
          </cell>
          <cell r="J232">
            <v>0.6073492742234512</v>
          </cell>
          <cell r="K232">
            <v>0.74547972972972976</v>
          </cell>
          <cell r="R232">
            <v>0.60118301895092363</v>
          </cell>
          <cell r="S232">
            <v>0.74495571368516544</v>
          </cell>
          <cell r="T232">
            <v>0.86803849146885759</v>
          </cell>
          <cell r="U232">
            <v>0.88301719257436706</v>
          </cell>
          <cell r="V232">
            <v>1.0005332791086077</v>
          </cell>
        </row>
        <row r="233">
          <cell r="A233" t="str">
            <v xml:space="preserve"> % Change</v>
          </cell>
          <cell r="G233">
            <v>0</v>
          </cell>
          <cell r="H233">
            <v>0.1917519936339851</v>
          </cell>
          <cell r="I233">
            <v>0.16039743173803078</v>
          </cell>
          <cell r="J233">
            <v>0.13191131860406413</v>
          </cell>
          <cell r="K233">
            <v>0.22743166307869611</v>
          </cell>
          <cell r="R233">
            <v>0</v>
          </cell>
          <cell r="S233">
            <v>0.23914962698901254</v>
          </cell>
          <cell r="T233">
            <v>0.16522160381161877</v>
          </cell>
          <cell r="U233">
            <v>1.725580288514994E-2</v>
          </cell>
          <cell r="V233">
            <v>0.13308470947392514</v>
          </cell>
        </row>
        <row r="235">
          <cell r="A235" t="str">
            <v>Primary EPS After Restruct. &amp; Extra.</v>
          </cell>
          <cell r="B235" t="e">
            <v>#REF!</v>
          </cell>
          <cell r="G235">
            <v>0.38800155677784476</v>
          </cell>
          <cell r="H235">
            <v>0.46240162882308633</v>
          </cell>
          <cell r="I235">
            <v>0.53656966251779159</v>
          </cell>
          <cell r="J235">
            <v>0.6073492742234512</v>
          </cell>
          <cell r="K235">
            <v>0.74547972972972976</v>
          </cell>
          <cell r="R235">
            <v>0.58605717395134671</v>
          </cell>
          <cell r="S235">
            <v>0.74495571368516544</v>
          </cell>
          <cell r="T235">
            <v>0.86551966198061026</v>
          </cell>
          <cell r="U235">
            <v>0.88301719257436706</v>
          </cell>
          <cell r="V235">
            <v>0.27233122731263604</v>
          </cell>
        </row>
        <row r="236">
          <cell r="A236" t="str">
            <v xml:space="preserve"> % Change</v>
          </cell>
          <cell r="B236">
            <v>0</v>
          </cell>
          <cell r="G236">
            <v>0</v>
          </cell>
          <cell r="H236">
            <v>0.1917519936339851</v>
          </cell>
          <cell r="I236">
            <v>0.16039743173803078</v>
          </cell>
          <cell r="J236">
            <v>0.13191131860406413</v>
          </cell>
          <cell r="K236">
            <v>0.22743166307869611</v>
          </cell>
          <cell r="R236">
            <v>0</v>
          </cell>
          <cell r="S236">
            <v>0.27113146429465962</v>
          </cell>
          <cell r="T236">
            <v>0.16184042363946194</v>
          </cell>
          <cell r="U236">
            <v>2.0216213868228472E-2</v>
          </cell>
          <cell r="V236">
            <v>-0.69159011896622791</v>
          </cell>
        </row>
        <row r="238">
          <cell r="A238" t="str">
            <v>Fully Dil. EPS Before Restruct. &amp; Extra.</v>
          </cell>
          <cell r="B238" t="str">
            <v>NA</v>
          </cell>
          <cell r="G238">
            <v>0.37159435719989337</v>
          </cell>
          <cell r="H238">
            <v>0.46246873491596774</v>
          </cell>
          <cell r="I238">
            <v>0.53838284790501634</v>
          </cell>
          <cell r="J238">
            <v>0.59321729005586288</v>
          </cell>
          <cell r="K238">
            <v>0.73519736842105265</v>
          </cell>
          <cell r="R238">
            <v>0.57310050438997506</v>
          </cell>
          <cell r="S238">
            <v>0.74010367578625091</v>
          </cell>
          <cell r="T238">
            <v>0.86553214203238071</v>
          </cell>
          <cell r="U238">
            <v>0.86900309311449342</v>
          </cell>
          <cell r="V238">
            <v>0.99</v>
          </cell>
        </row>
        <row r="239">
          <cell r="A239" t="str">
            <v xml:space="preserve"> % Change</v>
          </cell>
          <cell r="G239">
            <v>0</v>
          </cell>
          <cell r="H239">
            <v>0.24455263099485092</v>
          </cell>
          <cell r="I239">
            <v>0.16414971922986843</v>
          </cell>
          <cell r="J239">
            <v>0.10185027692509374</v>
          </cell>
          <cell r="K239">
            <v>0.23933907649896646</v>
          </cell>
          <cell r="R239">
            <v>0</v>
          </cell>
          <cell r="S239">
            <v>0.2914029391302646</v>
          </cell>
          <cell r="T239">
            <v>0.16947418361742428</v>
          </cell>
          <cell r="U239">
            <v>4.0101931673646174E-3</v>
          </cell>
          <cell r="V239">
            <v>0.13923645133627272</v>
          </cell>
        </row>
        <row r="241">
          <cell r="A241" t="str">
            <v>Restruct. Chg/Extra Items</v>
          </cell>
          <cell r="B241">
            <v>0</v>
          </cell>
          <cell r="G241">
            <v>0</v>
          </cell>
          <cell r="H241">
            <v>0</v>
          </cell>
          <cell r="I241">
            <v>0</v>
          </cell>
          <cell r="R241">
            <v>1.4244983973507588E-2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</row>
        <row r="243">
          <cell r="A243" t="str">
            <v>Fully Dil. EPS After Restruct. &amp; Extra.</v>
          </cell>
          <cell r="B243" t="str">
            <v>NA</v>
          </cell>
          <cell r="G243">
            <v>0.37159435719989337</v>
          </cell>
          <cell r="H243">
            <v>0.46246873491596774</v>
          </cell>
          <cell r="I243">
            <v>0.53838284790501634</v>
          </cell>
          <cell r="J243">
            <v>0.59321729005586288</v>
          </cell>
          <cell r="K243">
            <v>0.73519736842105265</v>
          </cell>
          <cell r="R243">
            <v>0.55885552041646736</v>
          </cell>
          <cell r="S243">
            <v>0.74010367578625091</v>
          </cell>
          <cell r="T243">
            <v>0.86553214203238071</v>
          </cell>
          <cell r="U243">
            <v>0.86500309311449342</v>
          </cell>
          <cell r="V243">
            <v>0.28886805291274237</v>
          </cell>
        </row>
        <row r="244">
          <cell r="A244" t="str">
            <v xml:space="preserve"> % Change</v>
          </cell>
          <cell r="G244">
            <v>0</v>
          </cell>
          <cell r="H244">
            <v>0.24455263099485092</v>
          </cell>
          <cell r="I244">
            <v>0.16414971922986843</v>
          </cell>
          <cell r="J244">
            <v>0.10185027692509374</v>
          </cell>
          <cell r="K244">
            <v>0.23933907649896646</v>
          </cell>
          <cell r="R244">
            <v>0</v>
          </cell>
          <cell r="S244">
            <v>0.32432023796546683</v>
          </cell>
          <cell r="T244">
            <v>0.16947418361742428</v>
          </cell>
          <cell r="U244">
            <v>-6.1124121473410398E-4</v>
          </cell>
          <cell r="V244">
            <v>-0.66604968790035612</v>
          </cell>
        </row>
        <row r="246">
          <cell r="A246" t="str">
            <v>Dividends Per Common Share</v>
          </cell>
          <cell r="B246">
            <v>0</v>
          </cell>
          <cell r="G246">
            <v>3.2000000000000001E-2</v>
          </cell>
          <cell r="H246">
            <v>3.8400000000000004E-2</v>
          </cell>
          <cell r="I246">
            <v>4.8000000000000001E-2</v>
          </cell>
          <cell r="J246">
            <v>0.06</v>
          </cell>
          <cell r="K246">
            <v>7.0000000000000007E-2</v>
          </cell>
          <cell r="R246">
            <v>8.832000000000001E-2</v>
          </cell>
          <cell r="S246">
            <v>0.10880000000000001</v>
          </cell>
          <cell r="T246">
            <v>0.14400000000000002</v>
          </cell>
          <cell r="U246">
            <v>0.18</v>
          </cell>
          <cell r="V246">
            <v>0.2</v>
          </cell>
        </row>
        <row r="248">
          <cell r="A248" t="str">
            <v>Avg. Shares Outstanding (000)s:</v>
          </cell>
        </row>
        <row r="249">
          <cell r="A249" t="str">
            <v xml:space="preserve">  Primary</v>
          </cell>
          <cell r="B249">
            <v>90591</v>
          </cell>
          <cell r="G249">
            <v>266576.25</v>
          </cell>
          <cell r="H249">
            <v>282412.5</v>
          </cell>
          <cell r="I249">
            <v>281903.75</v>
          </cell>
          <cell r="J249">
            <v>293961</v>
          </cell>
          <cell r="K249">
            <v>296000</v>
          </cell>
          <cell r="R249">
            <v>266124.85875000001</v>
          </cell>
          <cell r="S249">
            <v>278658.14624999999</v>
          </cell>
          <cell r="T249">
            <v>280537.09875</v>
          </cell>
          <cell r="U249">
            <v>296417</v>
          </cell>
          <cell r="V249">
            <v>293365.83333333331</v>
          </cell>
        </row>
        <row r="250">
          <cell r="A250" t="str">
            <v xml:space="preserve">  Fully Diluted</v>
          </cell>
          <cell r="B250" t="str">
            <v>NA</v>
          </cell>
          <cell r="G250">
            <v>281775</v>
          </cell>
          <cell r="H250">
            <v>284862.5</v>
          </cell>
          <cell r="I250">
            <v>282997.5</v>
          </cell>
          <cell r="J250">
            <v>305748</v>
          </cell>
          <cell r="K250">
            <v>304000</v>
          </cell>
          <cell r="R250">
            <v>281656.39500000002</v>
          </cell>
          <cell r="S250">
            <v>283838.79375000001</v>
          </cell>
          <cell r="T250">
            <v>282132.58500000002</v>
          </cell>
          <cell r="U250">
            <v>302822</v>
          </cell>
          <cell r="V250">
            <v>304166.66666666663</v>
          </cell>
        </row>
        <row r="252">
          <cell r="A252" t="str">
            <v>E = Morgan Stanley Research Estimates</v>
          </cell>
        </row>
        <row r="253">
          <cell r="A253" t="str">
            <v>Note: All restated is proforma for Fisher Price merger.</v>
          </cell>
        </row>
        <row r="258">
          <cell r="A258" t="str">
            <v>Mattel Inc.</v>
          </cell>
        </row>
        <row r="259">
          <cell r="A259" t="str">
            <v>Fourth-Quarter Income Statement Comparison 1993-1997E</v>
          </cell>
        </row>
        <row r="260">
          <cell r="A260" t="str">
            <v>($ Millions, Except Per Share Amounts)</v>
          </cell>
          <cell r="B260" t="str">
            <v xml:space="preserve"> </v>
          </cell>
          <cell r="R260" t="str">
            <v>Full Yr</v>
          </cell>
          <cell r="S260" t="str">
            <v>Full Yr</v>
          </cell>
          <cell r="T260" t="str">
            <v>Full Yr</v>
          </cell>
          <cell r="U260" t="str">
            <v>Full Yr</v>
          </cell>
          <cell r="V260" t="str">
            <v>Full Yr</v>
          </cell>
        </row>
        <row r="261">
          <cell r="A261" t="str">
            <v xml:space="preserve"> </v>
          </cell>
          <cell r="B261" t="str">
            <v xml:space="preserve">     4Q88</v>
          </cell>
          <cell r="G261" t="str">
            <v>4Q93</v>
          </cell>
          <cell r="H261" t="str">
            <v>4Q94</v>
          </cell>
          <cell r="I261" t="str">
            <v>4Q95</v>
          </cell>
          <cell r="J261" t="str">
            <v>4Q96</v>
          </cell>
          <cell r="K261" t="str">
            <v>4Q97E</v>
          </cell>
          <cell r="R261">
            <v>1993</v>
          </cell>
          <cell r="S261">
            <v>1994</v>
          </cell>
          <cell r="T261">
            <v>1995</v>
          </cell>
          <cell r="U261">
            <v>1996</v>
          </cell>
          <cell r="V261" t="str">
            <v>1997E</v>
          </cell>
        </row>
        <row r="262">
          <cell r="A262" t="str">
            <v>Net Sales</v>
          </cell>
          <cell r="B262">
            <v>287.613</v>
          </cell>
          <cell r="G262">
            <v>753.91399999999999</v>
          </cell>
          <cell r="H262">
            <v>1030.4090000000001</v>
          </cell>
          <cell r="I262">
            <v>1155.2840000000001</v>
          </cell>
          <cell r="J262">
            <v>1431.8340000000001</v>
          </cell>
          <cell r="K262">
            <v>1565.44</v>
          </cell>
          <cell r="R262">
            <v>2704.4480000000003</v>
          </cell>
          <cell r="S262">
            <v>3204.9450000000002</v>
          </cell>
          <cell r="T262">
            <v>3638.8120000000004</v>
          </cell>
          <cell r="U262">
            <v>4535.3319999999994</v>
          </cell>
          <cell r="V262">
            <v>4834.616</v>
          </cell>
        </row>
        <row r="263">
          <cell r="A263" t="str">
            <v xml:space="preserve"> % Change</v>
          </cell>
          <cell r="B263">
            <v>0</v>
          </cell>
          <cell r="G263">
            <v>0</v>
          </cell>
          <cell r="H263">
            <v>0.36674607448594942</v>
          </cell>
          <cell r="I263">
            <v>0.12118974116103409</v>
          </cell>
          <cell r="J263">
            <v>0.23937836930140111</v>
          </cell>
          <cell r="K263">
            <v>9.3311096118684045E-2</v>
          </cell>
          <cell r="R263">
            <v>0</v>
          </cell>
          <cell r="S263">
            <v>0.18506438282414739</v>
          </cell>
          <cell r="T263">
            <v>0.13537424199167236</v>
          </cell>
          <cell r="U263">
            <v>0.24637711428894904</v>
          </cell>
          <cell r="V263">
            <v>6.5989435834025167E-2</v>
          </cell>
        </row>
        <row r="265">
          <cell r="A265" t="str">
            <v>Cost of Goods Sold</v>
          </cell>
          <cell r="B265">
            <v>152.65799999999999</v>
          </cell>
          <cell r="G265">
            <v>369.36500000000001</v>
          </cell>
          <cell r="H265">
            <v>510.47500000000002</v>
          </cell>
          <cell r="I265">
            <v>574.78499999999997</v>
          </cell>
          <cell r="J265">
            <v>707.54700000000003</v>
          </cell>
          <cell r="K265">
            <v>750.08799999999997</v>
          </cell>
          <cell r="R265">
            <v>1351.607</v>
          </cell>
          <cell r="S265">
            <v>1603.5219999999999</v>
          </cell>
          <cell r="T265">
            <v>1848.6149999999998</v>
          </cell>
          <cell r="U265">
            <v>2301.3739999999998</v>
          </cell>
          <cell r="V265">
            <v>2434.616</v>
          </cell>
        </row>
        <row r="266">
          <cell r="A266" t="str">
            <v xml:space="preserve"> % Change</v>
          </cell>
          <cell r="B266">
            <v>0</v>
          </cell>
          <cell r="G266">
            <v>0</v>
          </cell>
          <cell r="H266">
            <v>0.38203403137817604</v>
          </cell>
          <cell r="I266">
            <v>0.12598070424604524</v>
          </cell>
          <cell r="J266">
            <v>0.23097680002087739</v>
          </cell>
          <cell r="K266">
            <v>6.0124627763243899E-2</v>
          </cell>
          <cell r="R266">
            <v>0</v>
          </cell>
          <cell r="S266">
            <v>0.18638184028345517</v>
          </cell>
          <cell r="T266">
            <v>0.15284667126487811</v>
          </cell>
          <cell r="U266">
            <v>0.24491795208845546</v>
          </cell>
          <cell r="V266">
            <v>5.789671735232961E-2</v>
          </cell>
        </row>
        <row r="267">
          <cell r="A267" t="str">
            <v xml:space="preserve"> % of Sales</v>
          </cell>
          <cell r="B267">
            <v>0.5307757298870357</v>
          </cell>
          <cell r="G267">
            <v>0.48992988590210557</v>
          </cell>
          <cell r="H267">
            <v>0.49541007502845952</v>
          </cell>
          <cell r="I267">
            <v>0.49752701500237162</v>
          </cell>
          <cell r="J267">
            <v>0.49415435029479676</v>
          </cell>
          <cell r="K267">
            <v>0.4791547424366312</v>
          </cell>
          <cell r="R267">
            <v>0.49977185732541346</v>
          </cell>
          <cell r="S267">
            <v>0.50032746271776896</v>
          </cell>
          <cell r="T267">
            <v>0.50802707037351735</v>
          </cell>
          <cell r="U267">
            <v>0.50743231146032974</v>
          </cell>
          <cell r="V267">
            <v>0.50358001545520881</v>
          </cell>
        </row>
        <row r="269">
          <cell r="A269" t="str">
            <v>Gross Profit</v>
          </cell>
          <cell r="B269">
            <v>134.95500000000001</v>
          </cell>
          <cell r="G269">
            <v>384.54899999999998</v>
          </cell>
          <cell r="H269">
            <v>519.93400000000008</v>
          </cell>
          <cell r="I269">
            <v>580.49900000000014</v>
          </cell>
          <cell r="J269">
            <v>724.28699999999981</v>
          </cell>
          <cell r="K269">
            <v>815.35200000000009</v>
          </cell>
          <cell r="R269">
            <v>1352.8409999999999</v>
          </cell>
          <cell r="S269">
            <v>1601.4230000000002</v>
          </cell>
          <cell r="T269">
            <v>1790.1970000000001</v>
          </cell>
          <cell r="U269">
            <v>2233.9579999999996</v>
          </cell>
          <cell r="V269">
            <v>2400</v>
          </cell>
        </row>
        <row r="270">
          <cell r="A270" t="str">
            <v xml:space="preserve"> % Change</v>
          </cell>
          <cell r="B270">
            <v>0</v>
          </cell>
          <cell r="G270">
            <v>0</v>
          </cell>
          <cell r="H270">
            <v>0.35206176586078786</v>
          </cell>
          <cell r="I270">
            <v>0.11648593859989931</v>
          </cell>
          <cell r="J270">
            <v>0.2476972397885262</v>
          </cell>
          <cell r="K270">
            <v>0.1257305460404512</v>
          </cell>
          <cell r="R270">
            <v>0</v>
          </cell>
          <cell r="S270">
            <v>0.18374812708958443</v>
          </cell>
          <cell r="T270">
            <v>0.11787891144313517</v>
          </cell>
          <cell r="U270">
            <v>0.24788389210796324</v>
          </cell>
          <cell r="V270">
            <v>7.4326374981087559E-2</v>
          </cell>
        </row>
        <row r="271">
          <cell r="A271" t="str">
            <v xml:space="preserve"> % of Sales</v>
          </cell>
          <cell r="B271">
            <v>0.46922427011296436</v>
          </cell>
          <cell r="G271">
            <v>0.51007011409789449</v>
          </cell>
          <cell r="H271">
            <v>0.50458992497154043</v>
          </cell>
          <cell r="I271">
            <v>0.50247298499762838</v>
          </cell>
          <cell r="J271">
            <v>0.50584564970520307</v>
          </cell>
          <cell r="K271">
            <v>0.52084525756336886</v>
          </cell>
          <cell r="R271">
            <v>0.50022814267458637</v>
          </cell>
          <cell r="S271">
            <v>0.4996725372822311</v>
          </cell>
          <cell r="T271">
            <v>0.49197292962648248</v>
          </cell>
          <cell r="U271">
            <v>0.49256768853967031</v>
          </cell>
          <cell r="V271">
            <v>0.49641998454479114</v>
          </cell>
        </row>
        <row r="272">
          <cell r="A272"/>
        </row>
        <row r="273">
          <cell r="A273" t="str">
            <v>Advertising and Promotion Exp.</v>
          </cell>
          <cell r="B273">
            <v>49.070999999999998</v>
          </cell>
          <cell r="G273">
            <v>135.42699999999999</v>
          </cell>
          <cell r="H273">
            <v>189.547</v>
          </cell>
          <cell r="I273">
            <v>216.82400000000001</v>
          </cell>
          <cell r="J273">
            <v>301.37799999999999</v>
          </cell>
          <cell r="K273">
            <v>302.8</v>
          </cell>
          <cell r="R273">
            <v>426.69799999999998</v>
          </cell>
          <cell r="S273">
            <v>516.48500000000001</v>
          </cell>
          <cell r="T273">
            <v>584.49700000000007</v>
          </cell>
          <cell r="U273">
            <v>771.30899999999997</v>
          </cell>
          <cell r="V273">
            <v>779.13900000000001</v>
          </cell>
        </row>
        <row r="274">
          <cell r="A274" t="str">
            <v xml:space="preserve"> % Change</v>
          </cell>
          <cell r="B274">
            <v>0</v>
          </cell>
          <cell r="G274">
            <v>0</v>
          </cell>
          <cell r="H274">
            <v>0.39962489016222769</v>
          </cell>
          <cell r="I274">
            <v>0.1439062607163395</v>
          </cell>
          <cell r="J274">
            <v>0.38996605541821916</v>
          </cell>
          <cell r="K274">
            <v>4.7183271506214819E-3</v>
          </cell>
          <cell r="R274">
            <v>0</v>
          </cell>
          <cell r="S274">
            <v>0.21042282832354497</v>
          </cell>
          <cell r="T274">
            <v>0.13168243027387061</v>
          </cell>
          <cell r="U274">
            <v>0.31961156344686092</v>
          </cell>
          <cell r="V274">
            <v>1.0151573493891607E-2</v>
          </cell>
        </row>
        <row r="275">
          <cell r="A275" t="str">
            <v xml:space="preserve"> % of Sales</v>
          </cell>
          <cell r="B275">
            <v>0.17061468014310896</v>
          </cell>
          <cell r="G275">
            <v>0.17963189435399793</v>
          </cell>
          <cell r="H275">
            <v>0.18395316811091517</v>
          </cell>
          <cell r="I275">
            <v>0.18768025870694996</v>
          </cell>
          <cell r="J275">
            <v>0.21048389687631386</v>
          </cell>
          <cell r="K275">
            <v>0.19342804578904332</v>
          </cell>
          <cell r="R275">
            <v>0.1577763743285136</v>
          </cell>
          <cell r="S275">
            <v>0.16115253147869932</v>
          </cell>
          <cell r="T275">
            <v>0.16062852381491541</v>
          </cell>
          <cell r="U275">
            <v>0.17006671176443094</v>
          </cell>
          <cell r="V275">
            <v>0.16115840430760167</v>
          </cell>
        </row>
        <row r="277">
          <cell r="A277" t="str">
            <v>Other Selling &amp; Admin.</v>
          </cell>
          <cell r="B277">
            <v>58.786000000000001</v>
          </cell>
          <cell r="G277">
            <v>131.363</v>
          </cell>
          <cell r="H277">
            <v>160.43700000000001</v>
          </cell>
          <cell r="I277">
            <v>170.286</v>
          </cell>
          <cell r="J277">
            <v>214.95400000000001</v>
          </cell>
          <cell r="K277">
            <v>217.11480000000006</v>
          </cell>
          <cell r="R277">
            <v>499.96800000000002</v>
          </cell>
          <cell r="S277">
            <v>536.44299999999998</v>
          </cell>
          <cell r="T277">
            <v>603.06099999999992</v>
          </cell>
          <cell r="U277">
            <v>772.33500000000004</v>
          </cell>
          <cell r="V277">
            <v>803.1078</v>
          </cell>
        </row>
        <row r="278">
          <cell r="A278" t="str">
            <v xml:space="preserve"> % Change</v>
          </cell>
          <cell r="B278">
            <v>0</v>
          </cell>
          <cell r="G278">
            <v>0</v>
          </cell>
          <cell r="H278">
            <v>0.22132563963977692</v>
          </cell>
          <cell r="I278">
            <v>6.1388582434226402E-2</v>
          </cell>
          <cell r="J278">
            <v>0.26231164041671073</v>
          </cell>
          <cell r="K278">
            <v>1.0052383300613421E-2</v>
          </cell>
          <cell r="R278">
            <v>0</v>
          </cell>
          <cell r="S278">
            <v>7.2954669098822311E-2</v>
          </cell>
          <cell r="T278">
            <v>0.12418467572510022</v>
          </cell>
          <cell r="U278">
            <v>0.28069133968205562</v>
          </cell>
          <cell r="V278">
            <v>3.9843850142748882E-2</v>
          </cell>
        </row>
        <row r="279">
          <cell r="A279" t="str">
            <v xml:space="preserve"> % of Sales</v>
          </cell>
          <cell r="B279">
            <v>0.20439270825727626</v>
          </cell>
          <cell r="G279">
            <v>0.17424135909400806</v>
          </cell>
          <cell r="H279">
            <v>0.15570225027149412</v>
          </cell>
          <cell r="I279">
            <v>0.14739752303329742</v>
          </cell>
          <cell r="J279">
            <v>0.15012494465140511</v>
          </cell>
          <cell r="K279">
            <v>0.13869250817661491</v>
          </cell>
          <cell r="R279">
            <v>0.18486877913718436</v>
          </cell>
          <cell r="S279">
            <v>0.16737978342842075</v>
          </cell>
          <cell r="T279">
            <v>0.16573018886383795</v>
          </cell>
          <cell r="U279">
            <v>0.1702929355557653</v>
          </cell>
          <cell r="V279">
            <v>0.1661161506932505</v>
          </cell>
        </row>
        <row r="281">
          <cell r="A281" t="str">
            <v>Operating Profit</v>
          </cell>
          <cell r="B281">
            <v>27.098000000000013</v>
          </cell>
          <cell r="G281">
            <v>117.75899999999999</v>
          </cell>
          <cell r="H281">
            <v>169.95000000000005</v>
          </cell>
          <cell r="I281">
            <v>193.38900000000012</v>
          </cell>
          <cell r="J281">
            <v>207.95500000000004</v>
          </cell>
          <cell r="K281">
            <v>295.43719999999985</v>
          </cell>
          <cell r="R281">
            <v>426.17500000000007</v>
          </cell>
          <cell r="S281">
            <v>548.495</v>
          </cell>
          <cell r="T281">
            <v>602.63900000000012</v>
          </cell>
          <cell r="U281">
            <v>690.31399999999996</v>
          </cell>
          <cell r="V281">
            <v>817.75319999999988</v>
          </cell>
        </row>
        <row r="282">
          <cell r="A282" t="str">
            <v xml:space="preserve"> % Change</v>
          </cell>
          <cell r="B282">
            <v>0</v>
          </cell>
          <cell r="G282">
            <v>0</v>
          </cell>
          <cell r="H282">
            <v>0.44320179349349154</v>
          </cell>
          <cell r="I282">
            <v>0.13791703442188918</v>
          </cell>
          <cell r="J282">
            <v>7.5319692433384988E-2</v>
          </cell>
          <cell r="K282">
            <v>0.42067851217811447</v>
          </cell>
          <cell r="R282">
            <v>0</v>
          </cell>
          <cell r="S282">
            <v>0.28701824367923945</v>
          </cell>
          <cell r="T282">
            <v>9.871375308799557E-2</v>
          </cell>
          <cell r="U282">
            <v>0.14548510799997971</v>
          </cell>
          <cell r="V282">
            <v>0.18461048160692073</v>
          </cell>
        </row>
        <row r="283">
          <cell r="A283" t="str">
            <v xml:space="preserve"> % of Sales</v>
          </cell>
          <cell r="B283">
            <v>9.4216881712579095E-2</v>
          </cell>
          <cell r="G283">
            <v>0.15619686064988844</v>
          </cell>
          <cell r="H283">
            <v>0.16493450658913114</v>
          </cell>
          <cell r="I283">
            <v>0.16739520325738097</v>
          </cell>
          <cell r="J283">
            <v>0.14523680817748427</v>
          </cell>
          <cell r="K283">
            <v>0.18872470359771043</v>
          </cell>
          <cell r="R283">
            <v>0.15758298920888847</v>
          </cell>
          <cell r="S283">
            <v>0.17114022237511095</v>
          </cell>
          <cell r="T283">
            <v>0.1656142169477291</v>
          </cell>
          <cell r="U283">
            <v>0.15220804121947412</v>
          </cell>
          <cell r="V283">
            <v>0.16914542954393894</v>
          </cell>
        </row>
        <row r="285">
          <cell r="A285" t="str">
            <v>Restruct./Nonrecurring Expenses</v>
          </cell>
          <cell r="B285">
            <v>0</v>
          </cell>
          <cell r="G285">
            <v>115</v>
          </cell>
          <cell r="H285">
            <v>72</v>
          </cell>
          <cell r="I285">
            <v>0</v>
          </cell>
          <cell r="J285">
            <v>21.81</v>
          </cell>
          <cell r="K285">
            <v>0</v>
          </cell>
          <cell r="R285">
            <v>115</v>
          </cell>
          <cell r="S285">
            <v>72</v>
          </cell>
          <cell r="T285">
            <v>0</v>
          </cell>
          <cell r="U285">
            <v>21.81</v>
          </cell>
          <cell r="V285">
            <v>275</v>
          </cell>
        </row>
        <row r="286">
          <cell r="A286" t="str">
            <v xml:space="preserve">Interest Expense </v>
          </cell>
          <cell r="B286">
            <v>15.476000000000001</v>
          </cell>
          <cell r="G286">
            <v>17.562999999999999</v>
          </cell>
          <cell r="H286">
            <v>17.562000000000001</v>
          </cell>
          <cell r="I286">
            <v>21.785</v>
          </cell>
          <cell r="J286">
            <v>30.091999999999999</v>
          </cell>
          <cell r="K286">
            <v>28.35</v>
          </cell>
          <cell r="R286">
            <v>62.614000000000004</v>
          </cell>
          <cell r="S286">
            <v>55.448999999999998</v>
          </cell>
          <cell r="T286">
            <v>73.588999999999999</v>
          </cell>
          <cell r="U286">
            <v>100.226</v>
          </cell>
          <cell r="V286">
            <v>91.5</v>
          </cell>
        </row>
        <row r="287">
          <cell r="A287" t="str">
            <v>Other Expense (Income)</v>
          </cell>
          <cell r="B287">
            <v>-5.5720000000000001</v>
          </cell>
          <cell r="G287">
            <v>2.1579999999999999</v>
          </cell>
          <cell r="H287">
            <v>16.927</v>
          </cell>
          <cell r="I287">
            <v>8.282</v>
          </cell>
          <cell r="J287">
            <v>8.86</v>
          </cell>
          <cell r="K287">
            <v>9.6589999999999989</v>
          </cell>
          <cell r="R287">
            <v>11.914999999999999</v>
          </cell>
          <cell r="S287">
            <v>27.494</v>
          </cell>
          <cell r="T287">
            <v>-4.8870000000000005</v>
          </cell>
          <cell r="U287">
            <v>31.521999999999998</v>
          </cell>
          <cell r="V287">
            <v>34.5</v>
          </cell>
        </row>
        <row r="289">
          <cell r="A289" t="str">
            <v>Pretax Income (Loss) Before</v>
          </cell>
        </row>
        <row r="290">
          <cell r="A290" t="str">
            <v xml:space="preserve"> Restruct. &amp; Extra. Items</v>
          </cell>
          <cell r="B290">
            <v>17.194000000000013</v>
          </cell>
          <cell r="G290">
            <v>98.037999999999982</v>
          </cell>
          <cell r="H290">
            <v>135.46100000000004</v>
          </cell>
          <cell r="I290">
            <v>163.32200000000012</v>
          </cell>
          <cell r="J290">
            <v>169.00300000000004</v>
          </cell>
          <cell r="K290">
            <v>257.42819999999983</v>
          </cell>
          <cell r="R290">
            <v>351.65599999999995</v>
          </cell>
          <cell r="S290">
            <v>465.56200000000001</v>
          </cell>
          <cell r="T290">
            <v>533.94700000000012</v>
          </cell>
          <cell r="U290">
            <v>558.56599999999992</v>
          </cell>
          <cell r="V290">
            <v>691.75319999999988</v>
          </cell>
        </row>
        <row r="291">
          <cell r="A291" t="str">
            <v xml:space="preserve"> % Change</v>
          </cell>
          <cell r="B291">
            <v>0</v>
          </cell>
          <cell r="G291">
            <v>0</v>
          </cell>
          <cell r="H291">
            <v>0.38171933331973373</v>
          </cell>
          <cell r="I291">
            <v>0.20567543425783108</v>
          </cell>
          <cell r="J291">
            <v>3.478404623994269E-2</v>
          </cell>
          <cell r="K291">
            <v>0.52321674763169757</v>
          </cell>
          <cell r="R291">
            <v>0</v>
          </cell>
          <cell r="S291">
            <v>0.32391314238915325</v>
          </cell>
          <cell r="T291">
            <v>0.14688698819920898</v>
          </cell>
          <cell r="U291">
            <v>4.6107572474421321E-2</v>
          </cell>
          <cell r="V291">
            <v>0.23844487491182775</v>
          </cell>
        </row>
        <row r="292">
          <cell r="A292" t="str">
            <v xml:space="preserve"> % of Sales</v>
          </cell>
          <cell r="B292">
            <v>5.9781720575912821E-2</v>
          </cell>
          <cell r="G292">
            <v>0.1300387046798441</v>
          </cell>
          <cell r="H292">
            <v>0.13146333155086964</v>
          </cell>
          <cell r="I292">
            <v>0.14136956800232678</v>
          </cell>
          <cell r="J292">
            <v>0.11803253729133407</v>
          </cell>
          <cell r="K292">
            <v>0.16444462898609966</v>
          </cell>
          <cell r="R292">
            <v>0.13002875263269986</v>
          </cell>
          <cell r="S292">
            <v>0.14526364727007796</v>
          </cell>
          <cell r="T292">
            <v>0.14673662722888681</v>
          </cell>
          <cell r="U292">
            <v>0.12315878969830654</v>
          </cell>
          <cell r="V292">
            <v>0.14308338035533741</v>
          </cell>
        </row>
        <row r="294">
          <cell r="A294" t="str">
            <v xml:space="preserve">Taxes </v>
          </cell>
          <cell r="B294">
            <v>6.7</v>
          </cell>
          <cell r="G294">
            <v>11.032999999999999</v>
          </cell>
          <cell r="H294">
            <v>20.6</v>
          </cell>
          <cell r="I294">
            <v>51.3</v>
          </cell>
          <cell r="J294">
            <v>46.965000000000003</v>
          </cell>
          <cell r="K294">
            <v>76.140492507914672</v>
          </cell>
          <cell r="R294">
            <v>0</v>
          </cell>
          <cell r="S294">
            <v>137.80000000000001</v>
          </cell>
          <cell r="T294">
            <v>175.1</v>
          </cell>
          <cell r="U294">
            <v>171.24899999999985</v>
          </cell>
          <cell r="V294">
            <v>205.96972050791467</v>
          </cell>
        </row>
        <row r="295">
          <cell r="A295" t="str">
            <v>Tax Rate</v>
          </cell>
          <cell r="B295">
            <v>0.3896708154007209</v>
          </cell>
          <cell r="G295">
            <v>0.11253799547114386</v>
          </cell>
          <cell r="H295">
            <v>0.15207329046736695</v>
          </cell>
          <cell r="I295">
            <v>0.31410342758477094</v>
          </cell>
          <cell r="J295">
            <v>0.27789447524600153</v>
          </cell>
          <cell r="K295">
            <v>0.29577370508714557</v>
          </cell>
          <cell r="R295">
            <v>0</v>
          </cell>
          <cell r="S295">
            <v>0.29598635627478187</v>
          </cell>
          <cell r="T295">
            <v>0.32857823764969923</v>
          </cell>
          <cell r="U295">
            <v>0.3065868670846415</v>
          </cell>
          <cell r="V295">
            <v>0.29775029664902847</v>
          </cell>
        </row>
        <row r="297">
          <cell r="A297" t="str">
            <v>Net Income (Loss) Before</v>
          </cell>
        </row>
        <row r="298">
          <cell r="A298" t="str">
            <v xml:space="preserve"> Restruct. &amp; Extra. Items</v>
          </cell>
          <cell r="B298">
            <v>10.494000000000014</v>
          </cell>
          <cell r="G298">
            <v>62.476999999999983</v>
          </cell>
          <cell r="H298">
            <v>89.661000000000044</v>
          </cell>
          <cell r="I298">
            <v>112.02200000000012</v>
          </cell>
          <cell r="J298">
            <v>122.03800000000004</v>
          </cell>
          <cell r="K298">
            <v>181.28770749208516</v>
          </cell>
          <cell r="R298">
            <v>226.38299999999998</v>
          </cell>
          <cell r="S298">
            <v>302.55200000000002</v>
          </cell>
          <cell r="T298">
            <v>358.83700000000005</v>
          </cell>
          <cell r="U298">
            <v>387.31700000000006</v>
          </cell>
          <cell r="V298">
            <v>485.78347949208523</v>
          </cell>
        </row>
        <row r="299">
          <cell r="A299" t="str">
            <v xml:space="preserve"> % Change</v>
          </cell>
          <cell r="B299">
            <v>0</v>
          </cell>
          <cell r="G299">
            <v>0</v>
          </cell>
          <cell r="H299">
            <v>0.4351041183155413</v>
          </cell>
          <cell r="I299">
            <v>0.24939494317484812</v>
          </cell>
          <cell r="J299">
            <v>8.941100855189088E-2</v>
          </cell>
          <cell r="K299">
            <v>0.48550211812783806</v>
          </cell>
          <cell r="R299">
            <v>0</v>
          </cell>
          <cell r="S299">
            <v>0.33646077664842355</v>
          </cell>
          <cell r="T299">
            <v>0.18603413628070564</v>
          </cell>
          <cell r="U299">
            <v>7.9367512268801788E-2</v>
          </cell>
          <cell r="V299">
            <v>0.25422710465093235</v>
          </cell>
        </row>
        <row r="300">
          <cell r="A300" t="str">
            <v xml:space="preserve"> % of Sales</v>
          </cell>
          <cell r="B300">
            <v>3.6486528773038818E-2</v>
          </cell>
          <cell r="G300">
            <v>8.2870194743697528E-2</v>
          </cell>
          <cell r="H300">
            <v>8.7014962019935804E-2</v>
          </cell>
          <cell r="I300">
            <v>9.6964902136617584E-2</v>
          </cell>
          <cell r="J300">
            <v>8.523194727880469E-2</v>
          </cell>
          <cell r="K300">
            <v>0.11580623178919994</v>
          </cell>
          <cell r="R300">
            <v>8.370765494474286E-2</v>
          </cell>
          <cell r="S300">
            <v>9.4401619996599004E-2</v>
          </cell>
          <cell r="T300">
            <v>9.8613778343041636E-2</v>
          </cell>
          <cell r="U300">
            <v>8.5399922210766518E-2</v>
          </cell>
          <cell r="V300">
            <v>0.10048026140898993</v>
          </cell>
        </row>
        <row r="302">
          <cell r="A302" t="str">
            <v>Cum Accounting Changes</v>
          </cell>
          <cell r="B302">
            <v>0</v>
          </cell>
          <cell r="G302">
            <v>14.680999999999999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R302">
            <v>14.680999999999999</v>
          </cell>
          <cell r="S302" t="str">
            <v>--</v>
          </cell>
          <cell r="T302" t="str">
            <v>--</v>
          </cell>
          <cell r="U302" t="str">
            <v>--</v>
          </cell>
          <cell r="V302">
            <v>0</v>
          </cell>
        </row>
        <row r="303">
          <cell r="A303" t="str">
            <v>Extraordinary Item</v>
          </cell>
          <cell r="B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R303">
            <v>4.0220000000000002</v>
          </cell>
          <cell r="S303" t="str">
            <v>--</v>
          </cell>
          <cell r="T303" t="str">
            <v>--</v>
          </cell>
          <cell r="U303" t="str">
            <v>--</v>
          </cell>
          <cell r="V303">
            <v>210</v>
          </cell>
        </row>
        <row r="305">
          <cell r="A305" t="str">
            <v>Net Income After Charges</v>
          </cell>
        </row>
        <row r="306">
          <cell r="A306" t="str">
            <v xml:space="preserve"> Avail. to Cmn Stockholders</v>
          </cell>
          <cell r="B306" t="e">
            <v>#REF!</v>
          </cell>
          <cell r="G306">
            <v>-27.995000000000019</v>
          </cell>
          <cell r="H306">
            <v>42.861000000000047</v>
          </cell>
          <cell r="I306">
            <v>112.02200000000012</v>
          </cell>
          <cell r="J306">
            <v>100.22800000000004</v>
          </cell>
          <cell r="K306">
            <v>181.28770749208516</v>
          </cell>
          <cell r="R306">
            <v>131.88900000000001</v>
          </cell>
          <cell r="S306">
            <v>255.75200000000001</v>
          </cell>
          <cell r="T306">
            <v>358.83700000000005</v>
          </cell>
          <cell r="U306">
            <v>365.50699999999995</v>
          </cell>
          <cell r="V306">
            <v>275.78347949208512</v>
          </cell>
        </row>
        <row r="307">
          <cell r="A307" t="str">
            <v xml:space="preserve"> % Change</v>
          </cell>
          <cell r="B307">
            <v>0</v>
          </cell>
          <cell r="G307">
            <v>0</v>
          </cell>
          <cell r="H307" t="str">
            <v>NM</v>
          </cell>
          <cell r="I307">
            <v>1.6136114416369192</v>
          </cell>
          <cell r="J307">
            <v>-0.1052828908607244</v>
          </cell>
          <cell r="K307">
            <v>0.80875311781223913</v>
          </cell>
          <cell r="R307">
            <v>0</v>
          </cell>
          <cell r="S307">
            <v>0.93914579684431598</v>
          </cell>
          <cell r="T307">
            <v>0.40306625168131638</v>
          </cell>
          <cell r="U307">
            <v>1.8587826784863148E-2</v>
          </cell>
          <cell r="V307">
            <v>-0.24547688692122127</v>
          </cell>
        </row>
        <row r="308">
          <cell r="A308" t="str">
            <v xml:space="preserve"> % of Sales</v>
          </cell>
          <cell r="B308" t="e">
            <v>#REF!</v>
          </cell>
          <cell r="G308">
            <v>-3.7132882530368214E-2</v>
          </cell>
          <cell r="H308">
            <v>4.1596104071296006E-2</v>
          </cell>
          <cell r="I308">
            <v>9.6964902136617584E-2</v>
          </cell>
          <cell r="J308">
            <v>6.9999734606106603E-2</v>
          </cell>
          <cell r="K308">
            <v>0.11580623178919994</v>
          </cell>
          <cell r="R308">
            <v>4.8767437939276334E-2</v>
          </cell>
          <cell r="S308">
            <v>7.9799185321432972E-2</v>
          </cell>
          <cell r="T308">
            <v>9.8613778343041636E-2</v>
          </cell>
          <cell r="U308">
            <v>8.0591012962226358E-2</v>
          </cell>
          <cell r="V308">
            <v>5.7043512761320678E-2</v>
          </cell>
        </row>
        <row r="310">
          <cell r="A310" t="str">
            <v>Preferred and Preference Stock</v>
          </cell>
        </row>
        <row r="311">
          <cell r="A311" t="str">
            <v xml:space="preserve"> Dividends</v>
          </cell>
          <cell r="B311">
            <v>0</v>
          </cell>
          <cell r="G311">
            <v>1.2230000000000001</v>
          </cell>
          <cell r="H311">
            <v>1.2</v>
          </cell>
          <cell r="I311">
            <v>0</v>
          </cell>
          <cell r="J311">
            <v>2.8370000000000002</v>
          </cell>
          <cell r="K311">
            <v>2.8</v>
          </cell>
          <cell r="R311">
            <v>4.8940000000000001</v>
          </cell>
          <cell r="S311">
            <v>4.7469999999999999</v>
          </cell>
          <cell r="T311">
            <v>3.298</v>
          </cell>
          <cell r="U311">
            <v>7.391</v>
          </cell>
          <cell r="V311">
            <v>11.276</v>
          </cell>
        </row>
        <row r="313">
          <cell r="A313" t="str">
            <v>Net Inc. Avail. to Com. Stkhldrs.</v>
          </cell>
          <cell r="B313" t="e">
            <v>#REF!</v>
          </cell>
          <cell r="G313">
            <v>-29.218000000000018</v>
          </cell>
          <cell r="H313">
            <v>-5.1389999999999532</v>
          </cell>
          <cell r="I313">
            <v>112.02200000000012</v>
          </cell>
          <cell r="J313">
            <v>97.391000000000034</v>
          </cell>
          <cell r="K313">
            <v>178.48770749208515</v>
          </cell>
          <cell r="R313">
            <v>126.995</v>
          </cell>
          <cell r="S313">
            <v>204.3</v>
          </cell>
          <cell r="T313">
            <v>355.63900000000007</v>
          </cell>
          <cell r="U313">
            <v>358.11599999999993</v>
          </cell>
          <cell r="V313">
            <v>264.50747949208511</v>
          </cell>
        </row>
        <row r="314">
          <cell r="A314" t="str">
            <v xml:space="preserve"> % Change</v>
          </cell>
          <cell r="B314">
            <v>0</v>
          </cell>
          <cell r="G314">
            <v>0</v>
          </cell>
          <cell r="H314" t="str">
            <v>NM</v>
          </cell>
          <cell r="I314" t="str">
            <v>NM</v>
          </cell>
          <cell r="J314">
            <v>-0.13060827337487346</v>
          </cell>
          <cell r="K314">
            <v>0.83269200944733179</v>
          </cell>
          <cell r="R314">
            <v>0</v>
          </cell>
          <cell r="S314">
            <v>0.6087247529430293</v>
          </cell>
          <cell r="T314">
            <v>0.74076847772883037</v>
          </cell>
          <cell r="U314">
            <v>6.9649279184786916E-3</v>
          </cell>
          <cell r="V314">
            <v>-0.26139161754268125</v>
          </cell>
        </row>
        <row r="315">
          <cell r="A315" t="str">
            <v xml:space="preserve"> % of Sales</v>
          </cell>
          <cell r="B315" t="e">
            <v>#REF!</v>
          </cell>
          <cell r="G315">
            <v>-3.8755083471059056E-2</v>
          </cell>
          <cell r="H315">
            <v>-4.9873399785909794E-3</v>
          </cell>
          <cell r="I315">
            <v>9.6964902136617584E-2</v>
          </cell>
          <cell r="J315">
            <v>6.8018359670185255E-2</v>
          </cell>
          <cell r="K315">
            <v>0.11401759728388514</v>
          </cell>
          <cell r="R315">
            <v>4.6957826513950349E-2</v>
          </cell>
          <cell r="S315">
            <v>6.3745243678128644E-2</v>
          </cell>
          <cell r="T315">
            <v>9.7734920078311277E-2</v>
          </cell>
          <cell r="U315">
            <v>7.8961363798725204E-2</v>
          </cell>
          <cell r="V315">
            <v>5.4711166200601062E-2</v>
          </cell>
        </row>
        <row r="317">
          <cell r="A317" t="str">
            <v>Primary EPS Before Restruct. &amp; Extra.</v>
          </cell>
          <cell r="B317">
            <v>0.11600000000000001</v>
          </cell>
          <cell r="G317">
            <v>0.2197297804114238</v>
          </cell>
          <cell r="H317">
            <v>0.15273883818203701</v>
          </cell>
          <cell r="I317">
            <v>0.39877365584938612</v>
          </cell>
          <cell r="J317">
            <v>0.40777712020087653</v>
          </cell>
          <cell r="K317">
            <v>0.60401931469402759</v>
          </cell>
          <cell r="R317">
            <v>0.8209127993623474</v>
          </cell>
          <cell r="S317">
            <v>0.89769455186720248</v>
          </cell>
          <cell r="T317">
            <v>1.2668121473182437</v>
          </cell>
          <cell r="U317">
            <v>1.2907943127752435</v>
          </cell>
          <cell r="V317">
            <v>1.6045525938026353</v>
          </cell>
        </row>
        <row r="318">
          <cell r="A318" t="str">
            <v xml:space="preserve"> % Change</v>
          </cell>
          <cell r="G318">
            <v>0</v>
          </cell>
          <cell r="H318">
            <v>-0.30487875655249097</v>
          </cell>
          <cell r="I318">
            <v>1.6108202772507685</v>
          </cell>
          <cell r="J318">
            <v>2.2577881511036901E-2</v>
          </cell>
          <cell r="K318">
            <v>0.48124866445787706</v>
          </cell>
          <cell r="R318">
            <v>0</v>
          </cell>
          <cell r="S318">
            <v>9.3532166345190459E-2</v>
          </cell>
          <cell r="T318">
            <v>0.41118395414484521</v>
          </cell>
          <cell r="U318">
            <v>1.8931114220658962E-2</v>
          </cell>
          <cell r="V318">
            <v>0.24307380186143113</v>
          </cell>
        </row>
        <row r="320">
          <cell r="A320" t="str">
            <v>Primary EPS After Restruct. &amp; Extra.</v>
          </cell>
          <cell r="B320" t="e">
            <v>#REF!</v>
          </cell>
          <cell r="G320">
            <v>-0.11023060598915357</v>
          </cell>
          <cell r="H320">
            <v>-1.8249208765941036E-2</v>
          </cell>
          <cell r="I320">
            <v>0.39657314806620092</v>
          </cell>
          <cell r="J320">
            <v>0.32067209071841807</v>
          </cell>
          <cell r="K320">
            <v>0.58520559833470542</v>
          </cell>
          <cell r="R320">
            <v>0.47582656796219314</v>
          </cell>
          <cell r="S320">
            <v>0.72670650491922439</v>
          </cell>
          <cell r="T320">
            <v>1.2620928100468112</v>
          </cell>
          <cell r="U320">
            <v>1.203689283292785</v>
          </cell>
          <cell r="V320">
            <v>0.85753682564734146</v>
          </cell>
        </row>
        <row r="321">
          <cell r="A321" t="str">
            <v xml:space="preserve"> % Change</v>
          </cell>
          <cell r="B321">
            <v>0</v>
          </cell>
          <cell r="G321">
            <v>0</v>
          </cell>
          <cell r="H321" t="str">
            <v>NM</v>
          </cell>
          <cell r="I321" t="str">
            <v>NM</v>
          </cell>
          <cell r="J321">
            <v>-0.1913923262780074</v>
          </cell>
          <cell r="K321">
            <v>0.82493461474504826</v>
          </cell>
          <cell r="R321">
            <v>0</v>
          </cell>
          <cell r="S321">
            <v>0.52725079650652251</v>
          </cell>
          <cell r="T321">
            <v>0.73672975472690538</v>
          </cell>
          <cell r="U321">
            <v>-4.6275144180450534E-2</v>
          </cell>
          <cell r="V321">
            <v>-0.28757625614021987</v>
          </cell>
        </row>
        <row r="323">
          <cell r="A323" t="str">
            <v>Fully Dil. EPS Before Restruct. &amp; Extra.</v>
          </cell>
          <cell r="B323">
            <v>0.11600000000000001</v>
          </cell>
          <cell r="G323">
            <v>0.2197297804114238</v>
          </cell>
          <cell r="H323">
            <v>0.15273883818203704</v>
          </cell>
          <cell r="I323">
            <v>0.39877365584938618</v>
          </cell>
          <cell r="J323">
            <v>0.4018254315808884</v>
          </cell>
          <cell r="K323">
            <v>0.58520559833470542</v>
          </cell>
          <cell r="R323">
            <v>0.78283028480139882</v>
          </cell>
          <cell r="S323">
            <v>0.89284251396828795</v>
          </cell>
          <cell r="T323">
            <v>1.2643057978817669</v>
          </cell>
          <cell r="U323">
            <v>1.2708285246953819</v>
          </cell>
          <cell r="V323">
            <v>1.5752055983347053</v>
          </cell>
        </row>
        <row r="324">
          <cell r="A324" t="str">
            <v xml:space="preserve"> % Change</v>
          </cell>
          <cell r="G324">
            <v>0</v>
          </cell>
          <cell r="H324">
            <v>-0.30487875655249086</v>
          </cell>
          <cell r="I324">
            <v>1.6108202772507685</v>
          </cell>
          <cell r="J324">
            <v>7.6529020579405582E-3</v>
          </cell>
          <cell r="K324">
            <v>0.45636774664149682</v>
          </cell>
          <cell r="R324">
            <v>0</v>
          </cell>
          <cell r="S324">
            <v>0.14053139141748816</v>
          </cell>
          <cell r="T324">
            <v>0.41604569462366858</v>
          </cell>
          <cell r="U324">
            <v>0</v>
          </cell>
          <cell r="V324">
            <v>0.23951073470929751</v>
          </cell>
        </row>
        <row r="326">
          <cell r="A326" t="str">
            <v>Restruct. Chg/Extra Items</v>
          </cell>
          <cell r="B326">
            <v>0</v>
          </cell>
          <cell r="G326" t="e">
            <v>#REF!</v>
          </cell>
          <cell r="H326" t="e">
            <v>#REF!</v>
          </cell>
          <cell r="I326" t="e">
            <v>#REF!</v>
          </cell>
          <cell r="J326" t="e">
            <v>#REF!</v>
          </cell>
          <cell r="K326" t="e">
            <v>#REF!</v>
          </cell>
          <cell r="R326" t="e">
            <v>#REF!</v>
          </cell>
          <cell r="S326" t="e">
            <v>#REF!</v>
          </cell>
          <cell r="T326" t="e">
            <v>#REF!</v>
          </cell>
          <cell r="U326" t="e">
            <v>#REF!</v>
          </cell>
          <cell r="V326" t="e">
            <v>#REF!</v>
          </cell>
        </row>
        <row r="328">
          <cell r="A328" t="str">
            <v>Fully Dil. EPS After Restruct. &amp; Extra.</v>
          </cell>
          <cell r="B328">
            <v>0.11600000000000001</v>
          </cell>
          <cell r="G328">
            <v>-0.11023060598915357</v>
          </cell>
          <cell r="H328">
            <v>-1.8249208765941036E-2</v>
          </cell>
          <cell r="I328">
            <v>0.39657314806620092</v>
          </cell>
          <cell r="J328">
            <v>0.32067209071841807</v>
          </cell>
          <cell r="K328">
            <v>0.58520559833470542</v>
          </cell>
          <cell r="R328">
            <v>0.44862491442731378</v>
          </cell>
          <cell r="S328">
            <v>0.72185446702030986</v>
          </cell>
          <cell r="T328">
            <v>1.2621052900985816</v>
          </cell>
          <cell r="U328">
            <v>1.1856751838329114</v>
          </cell>
          <cell r="V328">
            <v>0.87407365124744785</v>
          </cell>
        </row>
        <row r="329">
          <cell r="A329" t="str">
            <v xml:space="preserve"> % Change</v>
          </cell>
          <cell r="B329">
            <v>0</v>
          </cell>
          <cell r="G329" t="str">
            <v>NM</v>
          </cell>
          <cell r="H329" t="str">
            <v>NM</v>
          </cell>
          <cell r="I329" t="str">
            <v>NM</v>
          </cell>
          <cell r="J329">
            <v>-0.1913923262780074</v>
          </cell>
          <cell r="K329">
            <v>0.82493461474504826</v>
          </cell>
          <cell r="R329">
            <v>-0.59363685287380985</v>
          </cell>
          <cell r="S329">
            <v>0.6090378483365857</v>
          </cell>
        </row>
        <row r="331">
          <cell r="A331" t="str">
            <v>Dividends Per Common Share</v>
          </cell>
          <cell r="B331">
            <v>0</v>
          </cell>
          <cell r="G331">
            <v>3.8400000000000004E-2</v>
          </cell>
          <cell r="H331">
            <v>3.8400000000000004E-2</v>
          </cell>
          <cell r="I331">
            <v>3.8400000000000004E-2</v>
          </cell>
          <cell r="J331">
            <v>0.06</v>
          </cell>
          <cell r="K331">
            <v>7.0000000000000007E-2</v>
          </cell>
          <cell r="R331">
            <v>0.12672</v>
          </cell>
          <cell r="S331">
            <v>0.1472</v>
          </cell>
          <cell r="T331">
            <v>0.18240000000000001</v>
          </cell>
          <cell r="U331">
            <v>0.24</v>
          </cell>
          <cell r="V331">
            <v>0.27</v>
          </cell>
        </row>
        <row r="333">
          <cell r="A333" t="str">
            <v>Avg. Shares Outstanding (000)s:</v>
          </cell>
        </row>
        <row r="334">
          <cell r="A334" t="str">
            <v xml:space="preserve">  Primary</v>
          </cell>
          <cell r="B334">
            <v>90324</v>
          </cell>
          <cell r="G334">
            <v>266635</v>
          </cell>
          <cell r="H334">
            <v>280616.25</v>
          </cell>
          <cell r="I334">
            <v>280916.25</v>
          </cell>
          <cell r="J334">
            <v>292319</v>
          </cell>
          <cell r="K334">
            <v>295500</v>
          </cell>
          <cell r="R334">
            <v>266549.25</v>
          </cell>
          <cell r="S334">
            <v>279053.25</v>
          </cell>
          <cell r="T334">
            <v>281014.83333333331</v>
          </cell>
          <cell r="U334">
            <v>295407</v>
          </cell>
          <cell r="V334">
            <v>295087</v>
          </cell>
        </row>
        <row r="335">
          <cell r="A335" t="str">
            <v xml:space="preserve">  Fully Diluted</v>
          </cell>
          <cell r="B335">
            <v>90324</v>
          </cell>
          <cell r="G335">
            <v>265062.5</v>
          </cell>
          <cell r="H335">
            <v>281601.25</v>
          </cell>
          <cell r="I335">
            <v>282475</v>
          </cell>
          <cell r="J335">
            <v>303709</v>
          </cell>
          <cell r="K335">
            <v>305000</v>
          </cell>
          <cell r="R335">
            <v>278675.1875</v>
          </cell>
          <cell r="S335">
            <v>282120.25</v>
          </cell>
          <cell r="T335">
            <v>282855</v>
          </cell>
          <cell r="U335">
            <v>303536</v>
          </cell>
          <cell r="V335">
            <v>305786</v>
          </cell>
        </row>
        <row r="337">
          <cell r="A337" t="str">
            <v xml:space="preserve">E = Morgan Stanley Research Estimates </v>
          </cell>
        </row>
        <row r="338">
          <cell r="A338" t="str">
            <v>Note:  All data proforma for Fisher Price merger.</v>
          </cell>
        </row>
        <row r="339">
          <cell r="A339" t="str">
            <v>4Q89 $2.5MM nonrecurr. pretax chge related to loss on sale of facilities and an extra net chg of $11MM or $0.22/share for early retire. of debt</v>
          </cell>
        </row>
      </sheetData>
      <sheetData sheetId="3" refreshError="1"/>
      <sheetData sheetId="4" refreshError="1">
        <row r="5">
          <cell r="A5" t="str">
            <v>Mattel, Inc.</v>
          </cell>
          <cell r="F5" t="str">
            <v>Comparative Balance Sheets 1989-1995</v>
          </cell>
          <cell r="AA5">
            <v>36077.757145601849</v>
          </cell>
          <cell r="AB5">
            <v>36077.757145601849</v>
          </cell>
          <cell r="AN5" t="str">
            <v>Mattel ($ Millions)</v>
          </cell>
        </row>
        <row r="6">
          <cell r="A6" t="str">
            <v>Quarterly Balance Sheet Comparison 1994-1997</v>
          </cell>
          <cell r="F6" t="str">
            <v>($ Millions)</v>
          </cell>
          <cell r="AN6" t="str">
            <v>Annual Balance Sheet Comparisons</v>
          </cell>
        </row>
        <row r="7">
          <cell r="B7">
            <v>32689</v>
          </cell>
          <cell r="C7">
            <v>32781</v>
          </cell>
          <cell r="D7">
            <v>32873</v>
          </cell>
          <cell r="E7">
            <v>32963</v>
          </cell>
          <cell r="F7">
            <v>33054</v>
          </cell>
          <cell r="G7">
            <v>33146</v>
          </cell>
          <cell r="H7">
            <v>33238</v>
          </cell>
          <cell r="I7">
            <v>33327</v>
          </cell>
          <cell r="J7">
            <v>33419</v>
          </cell>
          <cell r="K7">
            <v>33511</v>
          </cell>
          <cell r="L7">
            <v>33603</v>
          </cell>
          <cell r="M7">
            <v>33694</v>
          </cell>
          <cell r="N7">
            <v>33785</v>
          </cell>
          <cell r="O7">
            <v>33877</v>
          </cell>
          <cell r="P7">
            <v>33969</v>
          </cell>
          <cell r="Q7">
            <v>34059</v>
          </cell>
          <cell r="R7">
            <v>34150</v>
          </cell>
          <cell r="S7">
            <v>34242</v>
          </cell>
          <cell r="T7">
            <v>34334</v>
          </cell>
          <cell r="U7">
            <v>34424</v>
          </cell>
          <cell r="V7">
            <v>34515</v>
          </cell>
          <cell r="W7">
            <v>34607</v>
          </cell>
          <cell r="X7">
            <v>34699</v>
          </cell>
          <cell r="Y7">
            <v>34789</v>
          </cell>
          <cell r="Z7">
            <v>34880</v>
          </cell>
          <cell r="AA7">
            <v>34972</v>
          </cell>
          <cell r="AB7">
            <v>35064</v>
          </cell>
          <cell r="AC7" t="str">
            <v>3/31/96R</v>
          </cell>
          <cell r="AD7" t="str">
            <v>6/30/96R</v>
          </cell>
          <cell r="AE7" t="str">
            <v>9/30/96R</v>
          </cell>
          <cell r="AF7">
            <v>35430</v>
          </cell>
          <cell r="AG7">
            <v>35520</v>
          </cell>
          <cell r="AO7">
            <v>1985</v>
          </cell>
          <cell r="AP7">
            <v>1986</v>
          </cell>
          <cell r="AQ7">
            <v>1987</v>
          </cell>
          <cell r="AR7">
            <v>1988</v>
          </cell>
          <cell r="AS7">
            <v>1989</v>
          </cell>
          <cell r="AT7">
            <v>1990</v>
          </cell>
          <cell r="AU7">
            <v>1991</v>
          </cell>
          <cell r="AV7">
            <v>1992</v>
          </cell>
          <cell r="AW7">
            <v>1993</v>
          </cell>
          <cell r="AX7">
            <v>1994</v>
          </cell>
          <cell r="AY7" t="str">
            <v>1995R</v>
          </cell>
        </row>
        <row r="8">
          <cell r="A8" t="str">
            <v>Assets:</v>
          </cell>
          <cell r="AN8" t="str">
            <v>Assets:</v>
          </cell>
        </row>
        <row r="9">
          <cell r="A9" t="str">
            <v>Current Assets</v>
          </cell>
          <cell r="AN9" t="str">
            <v>Current Assets</v>
          </cell>
        </row>
        <row r="10">
          <cell r="A10" t="str">
            <v>Cash</v>
          </cell>
          <cell r="B10">
            <v>35.53</v>
          </cell>
          <cell r="C10">
            <v>90.899000000000001</v>
          </cell>
          <cell r="D10">
            <v>209.89400000000001</v>
          </cell>
          <cell r="E10">
            <v>96.813999999999993</v>
          </cell>
          <cell r="F10">
            <v>46.256</v>
          </cell>
          <cell r="G10">
            <v>54.862000000000002</v>
          </cell>
          <cell r="H10">
            <v>187.71199999999999</v>
          </cell>
          <cell r="I10">
            <v>167.52</v>
          </cell>
          <cell r="J10">
            <v>56.795999999999999</v>
          </cell>
          <cell r="K10">
            <v>40.207999999999998</v>
          </cell>
          <cell r="L10">
            <v>198.41</v>
          </cell>
          <cell r="M10">
            <v>56.523000000000003</v>
          </cell>
          <cell r="N10">
            <v>35.006</v>
          </cell>
          <cell r="O10">
            <v>40.204999999999998</v>
          </cell>
          <cell r="P10">
            <v>281.072</v>
          </cell>
          <cell r="Q10">
            <v>163.09100000000001</v>
          </cell>
          <cell r="R10">
            <v>67.299000000000007</v>
          </cell>
          <cell r="S10">
            <v>50.31</v>
          </cell>
          <cell r="T10">
            <v>506.113</v>
          </cell>
          <cell r="U10">
            <v>183.541</v>
          </cell>
          <cell r="V10">
            <v>97.701999999999998</v>
          </cell>
          <cell r="W10">
            <v>86.224999999999994</v>
          </cell>
          <cell r="X10">
            <v>239.1</v>
          </cell>
          <cell r="Y10">
            <v>73.962999999999994</v>
          </cell>
          <cell r="Z10">
            <v>73.081999999999994</v>
          </cell>
          <cell r="AA10">
            <v>84.221000000000004</v>
          </cell>
          <cell r="AB10">
            <v>466.08199999999999</v>
          </cell>
          <cell r="AC10">
            <v>68.036000000000001</v>
          </cell>
          <cell r="AD10">
            <v>91.995999999999995</v>
          </cell>
          <cell r="AE10">
            <v>126.92400000000001</v>
          </cell>
          <cell r="AF10">
            <v>500.625</v>
          </cell>
          <cell r="AG10">
            <v>144.65899999999999</v>
          </cell>
          <cell r="AN10" t="str">
            <v>Cash</v>
          </cell>
          <cell r="AO10">
            <v>167.48099999999999</v>
          </cell>
          <cell r="AP10">
            <v>88.828000000000003</v>
          </cell>
          <cell r="AQ10">
            <v>77.634</v>
          </cell>
          <cell r="AR10">
            <v>97.49</v>
          </cell>
          <cell r="AS10">
            <v>209.89400000000001</v>
          </cell>
          <cell r="AT10">
            <v>187.71199999999999</v>
          </cell>
          <cell r="AU10">
            <v>198.41</v>
          </cell>
          <cell r="AV10">
            <v>313.69299999999998</v>
          </cell>
          <cell r="AW10">
            <v>506.113</v>
          </cell>
          <cell r="AX10">
            <v>239.1</v>
          </cell>
          <cell r="AY10">
            <v>493.68599999999998</v>
          </cell>
        </row>
        <row r="11">
          <cell r="A11" t="str">
            <v>Marketable Securities</v>
          </cell>
          <cell r="B11">
            <v>10.022</v>
          </cell>
          <cell r="C11">
            <v>10.023999999999999</v>
          </cell>
          <cell r="D11">
            <v>10.454000000000001</v>
          </cell>
          <cell r="E11">
            <v>8.9830000000000005</v>
          </cell>
          <cell r="F11">
            <v>10.493</v>
          </cell>
          <cell r="G11">
            <v>9.0690000000000008</v>
          </cell>
          <cell r="H11">
            <v>10.210000000000001</v>
          </cell>
          <cell r="I11">
            <v>12.521000000000001</v>
          </cell>
          <cell r="J11">
            <v>12.962999999999999</v>
          </cell>
          <cell r="K11">
            <v>12.664999999999999</v>
          </cell>
          <cell r="L11">
            <v>8.7230000000000008</v>
          </cell>
          <cell r="M11">
            <v>11.914</v>
          </cell>
          <cell r="N11">
            <v>15.231999999999999</v>
          </cell>
          <cell r="O11">
            <v>16.408000000000001</v>
          </cell>
          <cell r="P11">
            <v>14.114000000000001</v>
          </cell>
          <cell r="Q11" t="str">
            <v>(a)</v>
          </cell>
          <cell r="R11">
            <v>15.138999999999999</v>
          </cell>
          <cell r="S11">
            <v>13.95</v>
          </cell>
          <cell r="T11">
            <v>17.468</v>
          </cell>
          <cell r="U11">
            <v>18.452000000000002</v>
          </cell>
          <cell r="V11">
            <v>19.488</v>
          </cell>
          <cell r="W11">
            <v>20.417000000000002</v>
          </cell>
          <cell r="X11">
            <v>20.581</v>
          </cell>
          <cell r="Y11">
            <v>15.385999999999999</v>
          </cell>
          <cell r="Z11">
            <v>14.624000000000001</v>
          </cell>
          <cell r="AA11">
            <v>16.596</v>
          </cell>
          <cell r="AB11">
            <v>17.375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N11" t="str">
            <v>Marketable Securities</v>
          </cell>
          <cell r="AO11" t="str">
            <v>--</v>
          </cell>
          <cell r="AP11" t="str">
            <v>--</v>
          </cell>
          <cell r="AQ11">
            <v>9.1359999999999992</v>
          </cell>
          <cell r="AR11">
            <v>7.0069999999999997</v>
          </cell>
          <cell r="AS11">
            <v>10.454000000000001</v>
          </cell>
          <cell r="AT11">
            <v>10.210000000000001</v>
          </cell>
          <cell r="AU11">
            <v>8.7230000000000008</v>
          </cell>
          <cell r="AV11">
            <v>14.114000000000001</v>
          </cell>
          <cell r="AW11">
            <v>17.468</v>
          </cell>
          <cell r="AX11">
            <v>20.581</v>
          </cell>
          <cell r="AY11">
            <v>17.375</v>
          </cell>
        </row>
        <row r="12">
          <cell r="A12" t="str">
            <v>Accounts Receivable, Net</v>
          </cell>
          <cell r="B12">
            <v>378.91300000000001</v>
          </cell>
          <cell r="C12">
            <v>478.87099999999998</v>
          </cell>
          <cell r="D12">
            <v>248.76900000000001</v>
          </cell>
          <cell r="E12">
            <v>276.399</v>
          </cell>
          <cell r="F12">
            <v>428.98099999999999</v>
          </cell>
          <cell r="G12">
            <v>585.64200000000005</v>
          </cell>
          <cell r="H12">
            <v>259.54899999999998</v>
          </cell>
          <cell r="I12">
            <v>325.56599999999997</v>
          </cell>
          <cell r="J12">
            <v>466.39100000000002</v>
          </cell>
          <cell r="K12">
            <v>764.61900000000003</v>
          </cell>
          <cell r="L12">
            <v>342.21199999999999</v>
          </cell>
          <cell r="M12">
            <v>431.03300000000002</v>
          </cell>
          <cell r="N12">
            <v>661.05399999999997</v>
          </cell>
          <cell r="O12">
            <v>977.9</v>
          </cell>
          <cell r="P12">
            <v>377.565</v>
          </cell>
          <cell r="Q12">
            <v>586.47699999999998</v>
          </cell>
          <cell r="R12">
            <v>563.62300000000005</v>
          </cell>
          <cell r="S12">
            <v>857.18799999999999</v>
          </cell>
          <cell r="T12">
            <v>580.31299999999999</v>
          </cell>
          <cell r="U12">
            <v>607.44799999999998</v>
          </cell>
          <cell r="V12">
            <v>879.27599999999995</v>
          </cell>
          <cell r="W12">
            <v>1251.7380000000001</v>
          </cell>
          <cell r="X12">
            <v>762.024</v>
          </cell>
          <cell r="Y12">
            <v>701.19</v>
          </cell>
          <cell r="Z12">
            <v>920.52200000000005</v>
          </cell>
          <cell r="AA12">
            <v>1313.76</v>
          </cell>
          <cell r="AB12">
            <v>679.28300000000002</v>
          </cell>
          <cell r="AC12">
            <v>888.84900000000005</v>
          </cell>
          <cell r="AD12">
            <v>1135.7650000000001</v>
          </cell>
          <cell r="AE12">
            <v>1572.481</v>
          </cell>
          <cell r="AF12">
            <v>732.30700000000002</v>
          </cell>
          <cell r="AG12">
            <v>977.47900000000004</v>
          </cell>
          <cell r="AN12" t="str">
            <v>Accounts Receivable, Net</v>
          </cell>
          <cell r="AO12">
            <v>229.81</v>
          </cell>
          <cell r="AP12">
            <v>280.14600000000002</v>
          </cell>
          <cell r="AQ12">
            <v>289.97000000000003</v>
          </cell>
          <cell r="AR12">
            <v>280.476</v>
          </cell>
          <cell r="AS12">
            <v>248.76900000000001</v>
          </cell>
          <cell r="AT12">
            <v>259.54899999999998</v>
          </cell>
          <cell r="AU12">
            <v>342.21199999999999</v>
          </cell>
          <cell r="AV12">
            <v>538.44399999999996</v>
          </cell>
          <cell r="AW12">
            <v>580.31299999999999</v>
          </cell>
          <cell r="AX12">
            <v>762.024</v>
          </cell>
          <cell r="AY12">
            <v>886.34400000000005</v>
          </cell>
        </row>
        <row r="13">
          <cell r="A13" t="str">
            <v>Inventories</v>
          </cell>
          <cell r="B13">
            <v>120.83199999999999</v>
          </cell>
          <cell r="C13">
            <v>123.292</v>
          </cell>
          <cell r="D13">
            <v>116.667</v>
          </cell>
          <cell r="E13">
            <v>135.90100000000001</v>
          </cell>
          <cell r="F13">
            <v>178.47300000000001</v>
          </cell>
          <cell r="G13">
            <v>184.286</v>
          </cell>
          <cell r="H13">
            <v>150.83699999999999</v>
          </cell>
          <cell r="I13">
            <v>154.63300000000001</v>
          </cell>
          <cell r="J13">
            <v>158.078</v>
          </cell>
          <cell r="K13">
            <v>169.499</v>
          </cell>
          <cell r="L13">
            <v>146.43299999999999</v>
          </cell>
          <cell r="M13">
            <v>205.00700000000001</v>
          </cell>
          <cell r="N13">
            <v>251.19900000000001</v>
          </cell>
          <cell r="O13">
            <v>192.29400000000001</v>
          </cell>
          <cell r="P13">
            <v>156.66499999999999</v>
          </cell>
          <cell r="Q13">
            <v>262.56200000000001</v>
          </cell>
          <cell r="R13">
            <v>202.25399999999999</v>
          </cell>
          <cell r="S13">
            <v>179.74100000000001</v>
          </cell>
          <cell r="T13">
            <v>219.99299999999999</v>
          </cell>
          <cell r="U13">
            <v>244.864</v>
          </cell>
          <cell r="V13">
            <v>323.36399999999998</v>
          </cell>
          <cell r="W13">
            <v>360.74099999999999</v>
          </cell>
          <cell r="X13">
            <v>339.14299999999997</v>
          </cell>
          <cell r="Y13">
            <v>414.18400000000003</v>
          </cell>
          <cell r="Z13">
            <v>453.90199999999999</v>
          </cell>
          <cell r="AA13">
            <v>463.03699999999998</v>
          </cell>
          <cell r="AB13">
            <v>350.84100000000001</v>
          </cell>
          <cell r="AC13">
            <v>498.197</v>
          </cell>
          <cell r="AD13">
            <v>562.92200000000003</v>
          </cell>
          <cell r="AE13">
            <v>566.625</v>
          </cell>
          <cell r="AF13">
            <v>372.68599999999998</v>
          </cell>
          <cell r="AG13">
            <v>512.84699999999998</v>
          </cell>
          <cell r="AN13" t="str">
            <v>Inventories</v>
          </cell>
          <cell r="AO13">
            <v>182.35499999999999</v>
          </cell>
          <cell r="AP13">
            <v>143.02099999999999</v>
          </cell>
          <cell r="AQ13">
            <v>147.33000000000001</v>
          </cell>
          <cell r="AR13">
            <v>89.088999999999999</v>
          </cell>
          <cell r="AS13">
            <v>116.667</v>
          </cell>
          <cell r="AT13">
            <v>150.83699999999999</v>
          </cell>
          <cell r="AU13">
            <v>146.43299999999999</v>
          </cell>
          <cell r="AV13">
            <v>238.89500000000001</v>
          </cell>
          <cell r="AW13">
            <v>219.99299999999999</v>
          </cell>
          <cell r="AX13">
            <v>339.14299999999997</v>
          </cell>
          <cell r="AY13">
            <v>407.55099999999999</v>
          </cell>
        </row>
        <row r="14">
          <cell r="A14" t="str">
            <v>Prepaid Expenses and</v>
          </cell>
          <cell r="AN14" t="str">
            <v>Prepaid Expenses and</v>
          </cell>
        </row>
        <row r="15">
          <cell r="A15" t="str">
            <v xml:space="preserve"> Other Curr. Assets</v>
          </cell>
          <cell r="B15">
            <v>8.3490000000000002</v>
          </cell>
          <cell r="C15">
            <v>10.318</v>
          </cell>
          <cell r="D15">
            <v>17.472999999999999</v>
          </cell>
          <cell r="E15">
            <v>11.095000000000001</v>
          </cell>
          <cell r="F15">
            <v>13.377000000000001</v>
          </cell>
          <cell r="G15">
            <v>13.973000000000001</v>
          </cell>
          <cell r="H15">
            <v>18.927</v>
          </cell>
          <cell r="I15">
            <v>12.41</v>
          </cell>
          <cell r="J15">
            <v>11.946999999999999</v>
          </cell>
          <cell r="K15">
            <v>25.155999999999999</v>
          </cell>
          <cell r="L15">
            <v>30.51</v>
          </cell>
          <cell r="M15">
            <v>32.862000000000002</v>
          </cell>
          <cell r="N15">
            <v>35.933</v>
          </cell>
          <cell r="O15">
            <v>34.439</v>
          </cell>
          <cell r="P15">
            <v>43.082999999999998</v>
          </cell>
          <cell r="Q15">
            <v>136.911</v>
          </cell>
          <cell r="R15">
            <v>95.894000000000005</v>
          </cell>
          <cell r="S15">
            <v>96.016000000000005</v>
          </cell>
          <cell r="T15">
            <v>146.863</v>
          </cell>
          <cell r="U15">
            <v>145.22300000000001</v>
          </cell>
          <cell r="V15">
            <v>150.31800000000001</v>
          </cell>
          <cell r="W15">
            <v>159.23500000000001</v>
          </cell>
          <cell r="X15">
            <v>182.67500000000001</v>
          </cell>
          <cell r="Y15">
            <v>202.91499999999999</v>
          </cell>
          <cell r="Z15">
            <v>201.93100000000001</v>
          </cell>
          <cell r="AA15">
            <v>201.38</v>
          </cell>
          <cell r="AB15">
            <v>177.238</v>
          </cell>
          <cell r="AC15">
            <v>203.33699999999999</v>
          </cell>
          <cell r="AD15">
            <v>225.602</v>
          </cell>
          <cell r="AE15">
            <v>240.62100000000001</v>
          </cell>
          <cell r="AF15">
            <v>165.22300000000001</v>
          </cell>
          <cell r="AG15">
            <v>193.636</v>
          </cell>
          <cell r="AN15" t="str">
            <v xml:space="preserve"> Other Curr. Assets</v>
          </cell>
          <cell r="AO15">
            <v>45.448999999999998</v>
          </cell>
          <cell r="AP15">
            <v>24.782</v>
          </cell>
          <cell r="AQ15">
            <v>22.364999999999998</v>
          </cell>
          <cell r="AR15">
            <v>13.452999999999999</v>
          </cell>
          <cell r="AS15">
            <v>17.472999999999999</v>
          </cell>
          <cell r="AT15">
            <v>18.927</v>
          </cell>
          <cell r="AU15">
            <v>30.51</v>
          </cell>
          <cell r="AV15">
            <v>86.096999999999994</v>
          </cell>
          <cell r="AW15">
            <v>146.863</v>
          </cell>
          <cell r="AX15">
            <v>182.67500000000001</v>
          </cell>
          <cell r="AY15">
            <v>209.98400000000001</v>
          </cell>
        </row>
        <row r="16">
          <cell r="A16" t="str">
            <v>Total Current Assets</v>
          </cell>
          <cell r="B16">
            <v>553.64600000000007</v>
          </cell>
          <cell r="C16">
            <v>713.404</v>
          </cell>
          <cell r="D16">
            <v>603.25699999999995</v>
          </cell>
          <cell r="E16">
            <v>529.19200000000001</v>
          </cell>
          <cell r="F16">
            <v>677.57999999999993</v>
          </cell>
          <cell r="G16">
            <v>847.83200000000011</v>
          </cell>
          <cell r="H16">
            <v>627.23500000000001</v>
          </cell>
          <cell r="I16">
            <v>672.65</v>
          </cell>
          <cell r="J16">
            <v>706.17499999999995</v>
          </cell>
          <cell r="K16">
            <v>1012.147</v>
          </cell>
          <cell r="L16">
            <v>726.28800000000001</v>
          </cell>
          <cell r="M16">
            <v>737.33900000000006</v>
          </cell>
          <cell r="N16">
            <v>998.42399999999998</v>
          </cell>
          <cell r="O16">
            <v>1261.2460000000001</v>
          </cell>
          <cell r="P16">
            <v>872.49899999999991</v>
          </cell>
          <cell r="Q16">
            <v>1149.0409999999999</v>
          </cell>
          <cell r="R16">
            <v>944.20899999999995</v>
          </cell>
          <cell r="S16">
            <v>1197.2049999999999</v>
          </cell>
          <cell r="T16">
            <v>1470.75</v>
          </cell>
          <cell r="U16">
            <v>1199.528</v>
          </cell>
          <cell r="V16">
            <v>1470.1479999999999</v>
          </cell>
          <cell r="W16">
            <v>1878.3560000000002</v>
          </cell>
          <cell r="X16">
            <v>1543.5229999999999</v>
          </cell>
          <cell r="Y16">
            <v>1407.6379999999999</v>
          </cell>
          <cell r="Z16">
            <v>1664.0610000000001</v>
          </cell>
          <cell r="AA16">
            <v>2078.9940000000001</v>
          </cell>
          <cell r="AB16">
            <v>1690.8190000000002</v>
          </cell>
          <cell r="AC16">
            <v>1658.4189999999999</v>
          </cell>
          <cell r="AD16">
            <v>2016.2850000000003</v>
          </cell>
          <cell r="AE16">
            <v>2506.6509999999998</v>
          </cell>
          <cell r="AF16">
            <v>1770.8409999999999</v>
          </cell>
          <cell r="AG16">
            <v>1828.6209999999999</v>
          </cell>
          <cell r="AN16" t="str">
            <v>Total Current Assets</v>
          </cell>
          <cell r="AO16">
            <v>625.09499999999991</v>
          </cell>
          <cell r="AP16">
            <v>536.77700000000004</v>
          </cell>
          <cell r="AQ16">
            <v>546.43500000000006</v>
          </cell>
          <cell r="AR16">
            <v>487.51499999999999</v>
          </cell>
          <cell r="AS16">
            <v>603.25699999999995</v>
          </cell>
          <cell r="AT16">
            <v>627.23500000000001</v>
          </cell>
          <cell r="AU16">
            <v>726.28800000000001</v>
          </cell>
          <cell r="AV16">
            <v>1191.2429999999999</v>
          </cell>
          <cell r="AW16">
            <v>1470.75</v>
          </cell>
          <cell r="AX16">
            <v>1543.5229999999999</v>
          </cell>
          <cell r="AY16">
            <v>2014.9399999999998</v>
          </cell>
        </row>
        <row r="18">
          <cell r="A18" t="str">
            <v>Property, Plant &amp; Equipment</v>
          </cell>
          <cell r="AN18" t="str">
            <v>Property, Plant &amp; Equipment</v>
          </cell>
        </row>
        <row r="19">
          <cell r="A19" t="str">
            <v xml:space="preserve"> Land</v>
          </cell>
          <cell r="B19">
            <v>8.0830000000000002</v>
          </cell>
          <cell r="C19">
            <v>8.5429999999999993</v>
          </cell>
          <cell r="D19">
            <v>5.8120000000000003</v>
          </cell>
          <cell r="E19">
            <v>5.8410000000000002</v>
          </cell>
          <cell r="F19">
            <v>5.9379999999999997</v>
          </cell>
          <cell r="G19">
            <v>6.05</v>
          </cell>
          <cell r="H19">
            <v>6.5209999999999999</v>
          </cell>
          <cell r="I19">
            <v>6.6070000000000002</v>
          </cell>
          <cell r="J19">
            <v>6.4930000000000003</v>
          </cell>
          <cell r="K19">
            <v>7.5510000000000002</v>
          </cell>
          <cell r="L19">
            <v>7.93</v>
          </cell>
          <cell r="M19">
            <v>7.73</v>
          </cell>
          <cell r="N19">
            <v>7.875</v>
          </cell>
          <cell r="O19">
            <v>7.7549999999999999</v>
          </cell>
          <cell r="P19">
            <v>7.484</v>
          </cell>
          <cell r="AC19">
            <v>25.504000000000001</v>
          </cell>
          <cell r="AD19">
            <v>25.568999999999999</v>
          </cell>
          <cell r="AE19">
            <v>28.3</v>
          </cell>
          <cell r="AF19">
            <v>30.864000000000001</v>
          </cell>
          <cell r="AG19">
            <v>25.504000000000001</v>
          </cell>
          <cell r="AN19" t="str">
            <v xml:space="preserve"> Land</v>
          </cell>
          <cell r="AO19">
            <v>2.4550000000000001</v>
          </cell>
          <cell r="AP19">
            <v>2.5369999999999999</v>
          </cell>
          <cell r="AQ19">
            <v>8.3529999999999998</v>
          </cell>
          <cell r="AR19">
            <v>8.3040000000000003</v>
          </cell>
          <cell r="AS19">
            <v>5.8120000000000003</v>
          </cell>
          <cell r="AT19">
            <v>6.5209999999999999</v>
          </cell>
          <cell r="AU19">
            <v>7.93</v>
          </cell>
          <cell r="AV19">
            <v>10.56</v>
          </cell>
          <cell r="AW19">
            <v>15.664</v>
          </cell>
          <cell r="AX19">
            <v>22.577000000000002</v>
          </cell>
          <cell r="AY19">
            <v>22.577000000000002</v>
          </cell>
        </row>
        <row r="20">
          <cell r="A20" t="str">
            <v xml:space="preserve"> Buildings</v>
          </cell>
          <cell r="B20">
            <v>12.153</v>
          </cell>
          <cell r="C20">
            <v>13.374000000000001</v>
          </cell>
          <cell r="D20">
            <v>46.49</v>
          </cell>
          <cell r="E20">
            <v>46.585999999999999</v>
          </cell>
          <cell r="F20">
            <v>53.963000000000001</v>
          </cell>
          <cell r="G20">
            <v>57.366999999999997</v>
          </cell>
          <cell r="H20">
            <v>68.674000000000007</v>
          </cell>
          <cell r="I20">
            <v>68.846999999999994</v>
          </cell>
          <cell r="J20">
            <v>69.066999999999993</v>
          </cell>
          <cell r="K20">
            <v>68.569000000000003</v>
          </cell>
          <cell r="L20">
            <v>70.072000000000003</v>
          </cell>
          <cell r="M20">
            <v>71.960999999999999</v>
          </cell>
          <cell r="N20">
            <v>76.186999999999998</v>
          </cell>
          <cell r="O20">
            <v>74.676000000000002</v>
          </cell>
          <cell r="P20">
            <v>74.194999999999993</v>
          </cell>
          <cell r="AC20">
            <v>203.488</v>
          </cell>
          <cell r="AD20">
            <v>207.14099999999999</v>
          </cell>
          <cell r="AE20">
            <v>210.77799999999999</v>
          </cell>
          <cell r="AF20">
            <v>216.523</v>
          </cell>
          <cell r="AG20">
            <v>203.488</v>
          </cell>
          <cell r="AN20" t="str">
            <v xml:space="preserve"> Buildings</v>
          </cell>
          <cell r="AO20">
            <v>17.57</v>
          </cell>
          <cell r="AP20">
            <v>21.155999999999999</v>
          </cell>
          <cell r="AQ20">
            <v>13.997</v>
          </cell>
          <cell r="AR20">
            <v>13.191000000000001</v>
          </cell>
          <cell r="AS20">
            <v>46.49</v>
          </cell>
          <cell r="AT20">
            <v>68.674000000000007</v>
          </cell>
          <cell r="AU20">
            <v>70.072000000000003</v>
          </cell>
          <cell r="AV20">
            <v>144.03899999999999</v>
          </cell>
          <cell r="AW20">
            <v>146.62200000000001</v>
          </cell>
          <cell r="AX20">
            <v>172.31</v>
          </cell>
          <cell r="AY20">
            <v>172.31</v>
          </cell>
        </row>
        <row r="21">
          <cell r="A21" t="str">
            <v xml:space="preserve"> Machinery &amp; Equipment</v>
          </cell>
          <cell r="B21">
            <v>72.977999999999994</v>
          </cell>
          <cell r="C21">
            <v>70.251999999999995</v>
          </cell>
          <cell r="D21">
            <v>72.513000000000005</v>
          </cell>
          <cell r="E21">
            <v>75.445999999999998</v>
          </cell>
          <cell r="F21">
            <v>81.662000000000006</v>
          </cell>
          <cell r="G21">
            <v>87.162999999999997</v>
          </cell>
          <cell r="H21">
            <v>87.221999999999994</v>
          </cell>
          <cell r="I21">
            <v>85.991</v>
          </cell>
          <cell r="J21">
            <v>89.614000000000004</v>
          </cell>
          <cell r="K21">
            <v>96.599000000000004</v>
          </cell>
          <cell r="L21">
            <v>101.723</v>
          </cell>
          <cell r="M21">
            <v>101.20399999999999</v>
          </cell>
          <cell r="N21">
            <v>108.357</v>
          </cell>
          <cell r="O21">
            <v>115.364</v>
          </cell>
          <cell r="P21">
            <v>115.503</v>
          </cell>
          <cell r="AC21">
            <v>391.77600000000001</v>
          </cell>
          <cell r="AD21">
            <v>409.77499999999998</v>
          </cell>
          <cell r="AE21">
            <v>428.42</v>
          </cell>
          <cell r="AF21">
            <v>438.96899999999999</v>
          </cell>
          <cell r="AG21">
            <v>391.77600000000001</v>
          </cell>
          <cell r="AN21" t="str">
            <v xml:space="preserve"> Machinery &amp; Equipment</v>
          </cell>
          <cell r="AO21">
            <v>59.798000000000002</v>
          </cell>
          <cell r="AP21">
            <v>70.343000000000004</v>
          </cell>
          <cell r="AQ21">
            <v>74.512</v>
          </cell>
          <cell r="AR21">
            <v>69.774000000000001</v>
          </cell>
          <cell r="AS21">
            <v>72.513000000000005</v>
          </cell>
          <cell r="AT21">
            <v>87.221999999999994</v>
          </cell>
          <cell r="AU21">
            <v>101.723</v>
          </cell>
          <cell r="AV21">
            <v>239.495</v>
          </cell>
          <cell r="AW21">
            <v>240.44900000000001</v>
          </cell>
          <cell r="AX21">
            <v>289.79599999999999</v>
          </cell>
          <cell r="AY21">
            <v>289.79599999999999</v>
          </cell>
        </row>
        <row r="22">
          <cell r="A22" t="str">
            <v xml:space="preserve"> Capitalized Leases</v>
          </cell>
          <cell r="B22">
            <v>83.123000000000005</v>
          </cell>
          <cell r="C22">
            <v>83.123000000000005</v>
          </cell>
          <cell r="D22">
            <v>39.424999999999997</v>
          </cell>
          <cell r="E22">
            <v>39.424999999999997</v>
          </cell>
          <cell r="F22">
            <v>39.424999999999997</v>
          </cell>
          <cell r="G22">
            <v>39.424999999999997</v>
          </cell>
          <cell r="H22">
            <v>38.209000000000003</v>
          </cell>
          <cell r="I22">
            <v>38.247</v>
          </cell>
          <cell r="J22">
            <v>38.255000000000003</v>
          </cell>
          <cell r="K22">
            <v>38.209000000000003</v>
          </cell>
          <cell r="L22">
            <v>38.255000000000003</v>
          </cell>
          <cell r="M22">
            <v>38.255000000000003</v>
          </cell>
          <cell r="N22">
            <v>38.209000000000003</v>
          </cell>
          <cell r="O22">
            <v>38.209000000000003</v>
          </cell>
          <cell r="P22">
            <v>38.209000000000003</v>
          </cell>
          <cell r="AC22">
            <v>26.832000000000001</v>
          </cell>
          <cell r="AD22">
            <v>26.649000000000001</v>
          </cell>
          <cell r="AE22">
            <v>26.603999999999999</v>
          </cell>
          <cell r="AF22">
            <v>26.512</v>
          </cell>
          <cell r="AG22">
            <v>26.832000000000001</v>
          </cell>
          <cell r="AN22" t="str">
            <v xml:space="preserve"> Capitalized Leases</v>
          </cell>
          <cell r="AO22">
            <v>14.188000000000001</v>
          </cell>
          <cell r="AP22">
            <v>15.228</v>
          </cell>
          <cell r="AQ22">
            <v>83.123000000000005</v>
          </cell>
          <cell r="AR22">
            <v>83.123000000000005</v>
          </cell>
          <cell r="AS22">
            <v>39.424999999999997</v>
          </cell>
          <cell r="AT22">
            <v>38.209000000000003</v>
          </cell>
          <cell r="AU22">
            <v>38.255000000000003</v>
          </cell>
          <cell r="AV22">
            <v>38.209000000000003</v>
          </cell>
          <cell r="AW22">
            <v>38.209000000000003</v>
          </cell>
          <cell r="AX22">
            <v>38.468000000000004</v>
          </cell>
          <cell r="AY22">
            <v>38.468000000000004</v>
          </cell>
        </row>
        <row r="23">
          <cell r="A23" t="str">
            <v xml:space="preserve"> Leasehold Improvements</v>
          </cell>
          <cell r="B23">
            <v>32.906999999999996</v>
          </cell>
          <cell r="C23">
            <v>18.523</v>
          </cell>
          <cell r="D23">
            <v>19.068000000000001</v>
          </cell>
          <cell r="E23">
            <v>20.117999999999999</v>
          </cell>
          <cell r="F23">
            <v>21.419</v>
          </cell>
          <cell r="G23">
            <v>23.542999999999999</v>
          </cell>
          <cell r="H23">
            <v>31.219000000000001</v>
          </cell>
          <cell r="I23">
            <v>31.869</v>
          </cell>
          <cell r="J23">
            <v>31.431000000000001</v>
          </cell>
          <cell r="K23">
            <v>33.042000000000002</v>
          </cell>
          <cell r="L23">
            <v>33.686</v>
          </cell>
          <cell r="M23">
            <v>35.066000000000003</v>
          </cell>
          <cell r="N23">
            <v>35.411999999999999</v>
          </cell>
          <cell r="O23">
            <v>39.055999999999997</v>
          </cell>
          <cell r="P23">
            <v>40.384</v>
          </cell>
          <cell r="AC23">
            <v>63.959000000000003</v>
          </cell>
          <cell r="AD23">
            <v>65.402000000000001</v>
          </cell>
          <cell r="AE23">
            <v>67.754000000000005</v>
          </cell>
          <cell r="AF23">
            <v>69.731999999999999</v>
          </cell>
          <cell r="AG23">
            <v>63.959000000000003</v>
          </cell>
          <cell r="AN23" t="str">
            <v xml:space="preserve"> Leasehold Improvements</v>
          </cell>
          <cell r="AO23">
            <v>19.367999999999999</v>
          </cell>
          <cell r="AP23">
            <v>27.036999999999999</v>
          </cell>
          <cell r="AQ23">
            <v>34.362000000000002</v>
          </cell>
          <cell r="AR23">
            <v>32.564999999999998</v>
          </cell>
          <cell r="AS23">
            <v>19.068000000000001</v>
          </cell>
          <cell r="AT23">
            <v>31.219000000000001</v>
          </cell>
          <cell r="AU23">
            <v>33.686</v>
          </cell>
          <cell r="AV23">
            <v>41.335999999999999</v>
          </cell>
          <cell r="AW23">
            <v>41.948</v>
          </cell>
          <cell r="AX23">
            <v>46.512</v>
          </cell>
          <cell r="AY23">
            <v>46.512</v>
          </cell>
        </row>
        <row r="24">
          <cell r="A24" t="str">
            <v xml:space="preserve">Subtotal </v>
          </cell>
          <cell r="B24">
            <v>209.24399999999997</v>
          </cell>
          <cell r="C24">
            <v>193.815</v>
          </cell>
          <cell r="D24">
            <v>183.30800000000002</v>
          </cell>
          <cell r="E24">
            <v>187.416</v>
          </cell>
          <cell r="F24">
            <v>202.40700000000001</v>
          </cell>
          <cell r="G24">
            <v>213.548</v>
          </cell>
          <cell r="H24">
            <v>231.845</v>
          </cell>
          <cell r="I24">
            <v>231.56100000000001</v>
          </cell>
          <cell r="J24">
            <v>234.85999999999999</v>
          </cell>
          <cell r="K24">
            <v>243.97</v>
          </cell>
          <cell r="L24">
            <v>251.66600000000003</v>
          </cell>
          <cell r="M24">
            <v>254.21599999999998</v>
          </cell>
          <cell r="N24">
            <v>266.03999999999996</v>
          </cell>
          <cell r="O24">
            <v>275.06</v>
          </cell>
          <cell r="P24">
            <v>275.77499999999998</v>
          </cell>
          <cell r="AC24">
            <v>711.55899999999997</v>
          </cell>
          <cell r="AD24">
            <v>734.53599999999994</v>
          </cell>
          <cell r="AE24">
            <v>761.85600000000011</v>
          </cell>
          <cell r="AF24">
            <v>782.59999999999991</v>
          </cell>
          <cell r="AG24">
            <v>711.55899999999997</v>
          </cell>
          <cell r="AN24" t="str">
            <v xml:space="preserve">Subtotal </v>
          </cell>
          <cell r="AO24">
            <v>113.379</v>
          </cell>
          <cell r="AP24">
            <v>136.30099999999999</v>
          </cell>
          <cell r="AQ24">
            <v>214.34700000000001</v>
          </cell>
          <cell r="AR24">
            <v>206.95699999999999</v>
          </cell>
          <cell r="AS24">
            <v>183.30800000000002</v>
          </cell>
          <cell r="AT24">
            <v>231.845</v>
          </cell>
          <cell r="AU24">
            <v>251.66600000000003</v>
          </cell>
          <cell r="AV24">
            <v>473.63900000000001</v>
          </cell>
          <cell r="AW24">
            <v>482.892</v>
          </cell>
          <cell r="AX24">
            <v>569.66300000000001</v>
          </cell>
          <cell r="AY24">
            <v>569.66300000000001</v>
          </cell>
        </row>
        <row r="25">
          <cell r="A25" t="str">
            <v xml:space="preserve">Less: Accumulated Deprec. </v>
          </cell>
          <cell r="B25">
            <v>64.191999999999993</v>
          </cell>
          <cell r="C25">
            <v>60.987000000000002</v>
          </cell>
          <cell r="D25">
            <v>55.496000000000002</v>
          </cell>
          <cell r="E25">
            <v>58.832000000000001</v>
          </cell>
          <cell r="F25">
            <v>63.091000000000001</v>
          </cell>
          <cell r="G25">
            <v>66.713999999999999</v>
          </cell>
          <cell r="H25">
            <v>68.253</v>
          </cell>
          <cell r="I25">
            <v>71.152000000000001</v>
          </cell>
          <cell r="J25">
            <v>74.822999999999993</v>
          </cell>
          <cell r="K25">
            <v>79.754999999999995</v>
          </cell>
          <cell r="L25">
            <v>84.545000000000002</v>
          </cell>
          <cell r="M25">
            <v>88.322000000000003</v>
          </cell>
          <cell r="N25">
            <v>93.32</v>
          </cell>
          <cell r="O25">
            <v>98.320999999999998</v>
          </cell>
          <cell r="P25">
            <v>101.56</v>
          </cell>
          <cell r="AC25">
            <v>293.77100000000002</v>
          </cell>
          <cell r="AD25">
            <v>306.51600000000002</v>
          </cell>
          <cell r="AE25">
            <v>321.78100000000001</v>
          </cell>
          <cell r="AF25">
            <v>323.096</v>
          </cell>
          <cell r="AG25">
            <v>293.77100000000002</v>
          </cell>
          <cell r="AN25" t="str">
            <v xml:space="preserve">Less: Accumulated Deprec. </v>
          </cell>
          <cell r="AO25">
            <v>48.841999999999999</v>
          </cell>
          <cell r="AP25">
            <v>56.771000000000001</v>
          </cell>
          <cell r="AQ25">
            <v>48.551000000000002</v>
          </cell>
          <cell r="AR25">
            <v>56.426000000000002</v>
          </cell>
          <cell r="AS25">
            <v>55.496000000000002</v>
          </cell>
          <cell r="AT25">
            <v>68.253</v>
          </cell>
          <cell r="AU25">
            <v>84.545000000000002</v>
          </cell>
          <cell r="AV25">
            <v>216.376</v>
          </cell>
          <cell r="AW25">
            <v>229.13</v>
          </cell>
          <cell r="AX25">
            <v>248.666</v>
          </cell>
          <cell r="AY25">
            <v>248.666</v>
          </cell>
        </row>
        <row r="26">
          <cell r="A26" t="str">
            <v xml:space="preserve"> </v>
          </cell>
          <cell r="B26">
            <v>145.05199999999996</v>
          </cell>
          <cell r="C26">
            <v>132.828</v>
          </cell>
          <cell r="D26">
            <v>127.81200000000001</v>
          </cell>
          <cell r="E26">
            <v>128.584</v>
          </cell>
          <cell r="F26">
            <v>139.316</v>
          </cell>
          <cell r="G26">
            <v>146.834</v>
          </cell>
          <cell r="H26">
            <v>163.59199999999998</v>
          </cell>
          <cell r="I26">
            <v>160.40899999999999</v>
          </cell>
          <cell r="J26">
            <v>160.03699999999998</v>
          </cell>
          <cell r="K26">
            <v>164.215</v>
          </cell>
          <cell r="L26">
            <v>167.12100000000004</v>
          </cell>
          <cell r="M26">
            <v>165.89399999999998</v>
          </cell>
          <cell r="N26">
            <v>172.71999999999997</v>
          </cell>
          <cell r="O26">
            <v>176.739</v>
          </cell>
          <cell r="P26">
            <v>174.21499999999997</v>
          </cell>
          <cell r="AC26">
            <v>417.78799999999995</v>
          </cell>
          <cell r="AD26">
            <v>428.01999999999992</v>
          </cell>
          <cell r="AE26">
            <v>440.0750000000001</v>
          </cell>
          <cell r="AF26">
            <v>459.50399999999991</v>
          </cell>
          <cell r="AG26">
            <v>417.78799999999995</v>
          </cell>
          <cell r="AN26" t="str">
            <v xml:space="preserve"> </v>
          </cell>
          <cell r="AO26">
            <v>64.537000000000006</v>
          </cell>
          <cell r="AP26">
            <v>79.529999999999987</v>
          </cell>
          <cell r="AQ26">
            <v>165.79599999999999</v>
          </cell>
          <cell r="AR26">
            <v>150.53100000000001</v>
          </cell>
          <cell r="AS26">
            <v>127.81200000000001</v>
          </cell>
          <cell r="AT26">
            <v>163.59199999999998</v>
          </cell>
          <cell r="AU26">
            <v>167.12100000000004</v>
          </cell>
          <cell r="AV26">
            <v>257.26300000000003</v>
          </cell>
          <cell r="AW26">
            <v>253.762</v>
          </cell>
          <cell r="AX26">
            <v>320.99700000000001</v>
          </cell>
          <cell r="AY26">
            <v>320.99700000000001</v>
          </cell>
        </row>
        <row r="27">
          <cell r="A27" t="str">
            <v>Tools, Dies &amp; Molds, Net</v>
          </cell>
          <cell r="B27">
            <v>29.109000000000002</v>
          </cell>
          <cell r="C27">
            <v>31.271999999999998</v>
          </cell>
          <cell r="D27">
            <v>37.052999999999997</v>
          </cell>
          <cell r="E27">
            <v>39.103999999999999</v>
          </cell>
          <cell r="F27">
            <v>41.28</v>
          </cell>
          <cell r="G27">
            <v>45.027000000000001</v>
          </cell>
          <cell r="H27">
            <v>45.814</v>
          </cell>
          <cell r="I27">
            <v>42.712000000000003</v>
          </cell>
          <cell r="J27">
            <v>40.43</v>
          </cell>
          <cell r="K27">
            <v>40.667999999999999</v>
          </cell>
          <cell r="L27">
            <v>42.366999999999997</v>
          </cell>
          <cell r="M27">
            <v>42.856999999999999</v>
          </cell>
          <cell r="N27">
            <v>46.39</v>
          </cell>
          <cell r="O27">
            <v>50.094999999999999</v>
          </cell>
          <cell r="P27">
            <v>48.987000000000002</v>
          </cell>
          <cell r="AC27">
            <v>137.87200000000001</v>
          </cell>
          <cell r="AD27">
            <v>149.148</v>
          </cell>
          <cell r="AE27">
            <v>154.11600000000001</v>
          </cell>
          <cell r="AF27">
            <v>156.77699999999999</v>
          </cell>
          <cell r="AG27">
            <v>137.87200000000001</v>
          </cell>
          <cell r="AN27" t="str">
            <v>Tools, Dies &amp; Molds, Net</v>
          </cell>
          <cell r="AP27">
            <v>29.428000000000001</v>
          </cell>
          <cell r="AQ27">
            <v>20.835000000000001</v>
          </cell>
          <cell r="AR27">
            <v>24.556000000000001</v>
          </cell>
          <cell r="AS27">
            <v>37.052999999999997</v>
          </cell>
          <cell r="AT27">
            <v>45.814</v>
          </cell>
          <cell r="AU27">
            <v>42.366999999999997</v>
          </cell>
          <cell r="AV27">
            <v>66.882000000000005</v>
          </cell>
          <cell r="AW27">
            <v>73.114999999999995</v>
          </cell>
          <cell r="AX27">
            <v>94.924000000000007</v>
          </cell>
          <cell r="AY27">
            <v>94.924000000000007</v>
          </cell>
        </row>
        <row r="29">
          <cell r="A29" t="str">
            <v>Prop., Plant &amp; Equip., Net</v>
          </cell>
          <cell r="B29">
            <v>174.16099999999997</v>
          </cell>
          <cell r="C29">
            <v>164.1</v>
          </cell>
          <cell r="D29">
            <v>164.86500000000001</v>
          </cell>
          <cell r="E29">
            <v>167.68799999999999</v>
          </cell>
          <cell r="F29">
            <v>180.596</v>
          </cell>
          <cell r="G29">
            <v>191.86099999999999</v>
          </cell>
          <cell r="H29">
            <v>209.40599999999998</v>
          </cell>
          <cell r="I29">
            <v>203.12099999999998</v>
          </cell>
          <cell r="J29">
            <v>200.46699999999998</v>
          </cell>
          <cell r="K29">
            <v>204.88300000000001</v>
          </cell>
          <cell r="L29">
            <v>209.48800000000003</v>
          </cell>
          <cell r="M29">
            <v>208.75099999999998</v>
          </cell>
          <cell r="N29">
            <v>219.10999999999996</v>
          </cell>
          <cell r="O29">
            <v>226.834</v>
          </cell>
          <cell r="P29">
            <v>223.20199999999997</v>
          </cell>
          <cell r="Q29">
            <v>324.67700000000002</v>
          </cell>
          <cell r="R29">
            <v>221.27600000000001</v>
          </cell>
          <cell r="S29">
            <v>222.47900000000001</v>
          </cell>
          <cell r="T29">
            <v>326.87700000000001</v>
          </cell>
          <cell r="U29">
            <v>333.58499999999998</v>
          </cell>
          <cell r="V29">
            <v>377.40699999999998</v>
          </cell>
          <cell r="W29">
            <v>398.89</v>
          </cell>
          <cell r="X29">
            <v>415.92099999999999</v>
          </cell>
          <cell r="Y29">
            <v>429.983</v>
          </cell>
          <cell r="Z29">
            <v>463.73500000000001</v>
          </cell>
          <cell r="AA29">
            <v>486.57600000000002</v>
          </cell>
          <cell r="AB29">
            <v>499.31400000000002</v>
          </cell>
          <cell r="AC29">
            <v>555.66</v>
          </cell>
          <cell r="AD29">
            <v>577.16800000000001</v>
          </cell>
          <cell r="AE29">
            <v>594.27800000000002</v>
          </cell>
          <cell r="AF29">
            <v>579.61300000000006</v>
          </cell>
          <cell r="AG29">
            <v>608.35</v>
          </cell>
          <cell r="AN29" t="str">
            <v>Prop., Plant &amp; Equip., Net</v>
          </cell>
          <cell r="AO29">
            <v>64.537000000000006</v>
          </cell>
          <cell r="AP29">
            <v>108.95799999999998</v>
          </cell>
          <cell r="AQ29">
            <v>186.631</v>
          </cell>
          <cell r="AR29">
            <v>175.08700000000002</v>
          </cell>
          <cell r="AS29">
            <v>164.86500000000001</v>
          </cell>
          <cell r="AT29">
            <v>209.40599999999998</v>
          </cell>
          <cell r="AU29">
            <v>209.48800000000003</v>
          </cell>
          <cell r="AV29">
            <v>324.14500000000004</v>
          </cell>
          <cell r="AW29">
            <v>326.87700000000001</v>
          </cell>
          <cell r="AX29">
            <v>415.92100000000005</v>
          </cell>
          <cell r="AY29">
            <v>532.33500000000004</v>
          </cell>
        </row>
        <row r="30">
          <cell r="A30" t="str">
            <v>Intangible Assets</v>
          </cell>
          <cell r="B30" t="str">
            <v>(a)</v>
          </cell>
          <cell r="C30" t="str">
            <v>(a)</v>
          </cell>
          <cell r="D30" t="str">
            <v>(a)</v>
          </cell>
          <cell r="E30" t="str">
            <v>(a)</v>
          </cell>
          <cell r="F30">
            <v>55.170999999999999</v>
          </cell>
          <cell r="G30">
            <v>66.337999999999994</v>
          </cell>
          <cell r="H30">
            <v>68.033000000000001</v>
          </cell>
          <cell r="I30">
            <v>84.751000000000005</v>
          </cell>
          <cell r="J30">
            <v>82.972999999999999</v>
          </cell>
          <cell r="K30">
            <v>111.322</v>
          </cell>
          <cell r="L30">
            <v>129.31899999999999</v>
          </cell>
          <cell r="M30">
            <v>123.086</v>
          </cell>
          <cell r="N30">
            <v>124.996</v>
          </cell>
          <cell r="O30">
            <v>122.732</v>
          </cell>
          <cell r="P30">
            <v>132.19200000000001</v>
          </cell>
          <cell r="Q30">
            <v>199.83099999999999</v>
          </cell>
          <cell r="R30">
            <v>127.839</v>
          </cell>
          <cell r="S30">
            <v>125.9</v>
          </cell>
          <cell r="T30">
            <v>139.27699999999999</v>
          </cell>
          <cell r="U30">
            <v>62.78</v>
          </cell>
          <cell r="V30">
            <v>345.96100000000001</v>
          </cell>
          <cell r="W30">
            <v>437.411</v>
          </cell>
          <cell r="X30">
            <v>432.23200000000003</v>
          </cell>
          <cell r="Y30">
            <v>429.18</v>
          </cell>
          <cell r="Z30">
            <v>430.60700000000003</v>
          </cell>
          <cell r="AA30">
            <v>424.654</v>
          </cell>
          <cell r="AB30">
            <v>422.79599999999999</v>
          </cell>
          <cell r="AC30">
            <v>623.72299999999996</v>
          </cell>
          <cell r="AD30">
            <v>616.04499999999996</v>
          </cell>
          <cell r="AE30">
            <v>605.75800000000004</v>
          </cell>
          <cell r="AF30">
            <v>407.44400000000002</v>
          </cell>
          <cell r="AG30">
            <v>596.88300000000004</v>
          </cell>
          <cell r="AN30" t="str">
            <v>Intangible Assets</v>
          </cell>
          <cell r="AO30" t="str">
            <v>(a)</v>
          </cell>
          <cell r="AP30" t="str">
            <v>(a)</v>
          </cell>
          <cell r="AQ30" t="str">
            <v>(a)</v>
          </cell>
          <cell r="AR30" t="str">
            <v>(a)</v>
          </cell>
          <cell r="AS30" t="str">
            <v>(a)</v>
          </cell>
          <cell r="AT30">
            <v>68.033000000000001</v>
          </cell>
          <cell r="AU30">
            <v>129.31899999999999</v>
          </cell>
          <cell r="AV30">
            <v>150.96600000000001</v>
          </cell>
          <cell r="AW30">
            <v>139.27699999999999</v>
          </cell>
          <cell r="AX30">
            <v>432.23200000000003</v>
          </cell>
          <cell r="AY30">
            <v>634.5</v>
          </cell>
        </row>
        <row r="31">
          <cell r="A31" t="str">
            <v>Other Assets</v>
          </cell>
          <cell r="B31">
            <v>34.722999999999999</v>
          </cell>
          <cell r="C31">
            <v>43.156999999999996</v>
          </cell>
          <cell r="D31">
            <v>62.151000000000003</v>
          </cell>
          <cell r="E31">
            <v>62.298000000000002</v>
          </cell>
          <cell r="F31">
            <v>20.61</v>
          </cell>
          <cell r="G31">
            <v>22.073</v>
          </cell>
          <cell r="H31">
            <v>25.100999999999999</v>
          </cell>
          <cell r="I31">
            <v>24.117000000000001</v>
          </cell>
          <cell r="J31">
            <v>35.11</v>
          </cell>
          <cell r="K31">
            <v>31.853000000000002</v>
          </cell>
          <cell r="L31">
            <v>34.137</v>
          </cell>
          <cell r="M31">
            <v>34.320999999999998</v>
          </cell>
          <cell r="N31">
            <v>30.073</v>
          </cell>
          <cell r="O31">
            <v>30.867999999999999</v>
          </cell>
          <cell r="P31">
            <v>32.4</v>
          </cell>
          <cell r="Q31" t="str">
            <v>(a)</v>
          </cell>
          <cell r="R31">
            <v>39.271000000000001</v>
          </cell>
          <cell r="S31">
            <v>35.406999999999996</v>
          </cell>
          <cell r="T31">
            <v>63.173000000000002</v>
          </cell>
          <cell r="U31">
            <v>135.40100000000001</v>
          </cell>
          <cell r="V31">
            <v>68.203999999999994</v>
          </cell>
          <cell r="W31">
            <v>70.972999999999999</v>
          </cell>
          <cell r="X31">
            <v>67.349999999999994</v>
          </cell>
          <cell r="Y31">
            <v>71.665000000000006</v>
          </cell>
          <cell r="Z31">
            <v>74.454999999999998</v>
          </cell>
          <cell r="AA31">
            <v>72.260000000000005</v>
          </cell>
          <cell r="AB31">
            <v>82.58</v>
          </cell>
          <cell r="AC31">
            <v>167.10900000000001</v>
          </cell>
          <cell r="AD31">
            <v>168.2</v>
          </cell>
          <cell r="AE31">
            <v>192.613</v>
          </cell>
          <cell r="AF31">
            <v>135.624</v>
          </cell>
          <cell r="AG31">
            <v>227.86</v>
          </cell>
          <cell r="AN31" t="str">
            <v>Other Assets</v>
          </cell>
          <cell r="AO31">
            <v>34.988</v>
          </cell>
          <cell r="AP31">
            <v>38.914000000000001</v>
          </cell>
          <cell r="AQ31">
            <v>41.505000000000003</v>
          </cell>
          <cell r="AR31">
            <v>30.754999999999999</v>
          </cell>
          <cell r="AS31">
            <v>62.151000000000003</v>
          </cell>
          <cell r="AT31">
            <v>25.100999999999999</v>
          </cell>
          <cell r="AU31">
            <v>34.137</v>
          </cell>
          <cell r="AV31">
            <v>46.320999999999998</v>
          </cell>
          <cell r="AW31">
            <v>63.173000000000002</v>
          </cell>
          <cell r="AX31">
            <v>67.349999999999994</v>
          </cell>
          <cell r="AY31">
            <v>159.6</v>
          </cell>
        </row>
        <row r="33">
          <cell r="A33" t="str">
            <v>Total Assets</v>
          </cell>
          <cell r="B33">
            <v>762.53</v>
          </cell>
          <cell r="C33">
            <v>920.66100000000006</v>
          </cell>
          <cell r="D33">
            <v>830.27299999999991</v>
          </cell>
          <cell r="E33">
            <v>759.178</v>
          </cell>
          <cell r="F33">
            <v>933.95699999999999</v>
          </cell>
          <cell r="G33">
            <v>1128.1040000000003</v>
          </cell>
          <cell r="H33">
            <v>929.77499999999998</v>
          </cell>
          <cell r="I33">
            <v>984.6389999999999</v>
          </cell>
          <cell r="J33">
            <v>1024.7249999999999</v>
          </cell>
          <cell r="K33">
            <v>1360.2049999999999</v>
          </cell>
          <cell r="L33">
            <v>1099.232</v>
          </cell>
          <cell r="M33">
            <v>1103.4969999999998</v>
          </cell>
          <cell r="N33">
            <v>1372.6030000000001</v>
          </cell>
          <cell r="O33">
            <v>1641.68</v>
          </cell>
          <cell r="P33">
            <v>1260.2929999999999</v>
          </cell>
          <cell r="Q33">
            <v>1673.549</v>
          </cell>
          <cell r="R33">
            <v>1332.595</v>
          </cell>
          <cell r="S33">
            <v>1580.991</v>
          </cell>
          <cell r="T33">
            <v>2000.077</v>
          </cell>
          <cell r="U33">
            <v>1731.2940000000001</v>
          </cell>
          <cell r="V33">
            <v>2261.7199999999998</v>
          </cell>
          <cell r="W33">
            <v>2785.63</v>
          </cell>
          <cell r="X33">
            <v>2459.0259999999998</v>
          </cell>
          <cell r="Y33">
            <v>2338.4659999999999</v>
          </cell>
          <cell r="Z33">
            <v>2632.8580000000002</v>
          </cell>
          <cell r="AA33">
            <v>3062.4840000000004</v>
          </cell>
          <cell r="AB33">
            <v>2695.509</v>
          </cell>
          <cell r="AC33">
            <v>3004.9110000000001</v>
          </cell>
          <cell r="AD33">
            <v>3377.6980000000003</v>
          </cell>
          <cell r="AE33">
            <v>3899.3</v>
          </cell>
          <cell r="AF33">
            <v>2893.5219999999999</v>
          </cell>
          <cell r="AG33">
            <v>3261.7139999999999</v>
          </cell>
          <cell r="AN33" t="str">
            <v>Total Assets</v>
          </cell>
          <cell r="AO33">
            <v>724.61999999999989</v>
          </cell>
          <cell r="AP33">
            <v>684.649</v>
          </cell>
          <cell r="AQ33">
            <v>774.57100000000003</v>
          </cell>
          <cell r="AR33">
            <v>693.35699999999997</v>
          </cell>
          <cell r="AS33">
            <v>830.27299999999991</v>
          </cell>
          <cell r="AT33">
            <v>929.77499999999998</v>
          </cell>
          <cell r="AU33">
            <v>1099.232</v>
          </cell>
          <cell r="AV33">
            <v>1712.6749999999997</v>
          </cell>
          <cell r="AW33">
            <v>2000.077</v>
          </cell>
          <cell r="AX33">
            <v>2459.0259999999998</v>
          </cell>
          <cell r="AY33">
            <v>3341.3749999999995</v>
          </cell>
        </row>
        <row r="36">
          <cell r="A36" t="str">
            <v>Liab. and Stkhldrs.' Equ.:</v>
          </cell>
          <cell r="AN36" t="str">
            <v>Liab. and Stkhldrs.' Equ.:</v>
          </cell>
        </row>
        <row r="37">
          <cell r="A37" t="str">
            <v>Current Liabilitiess</v>
          </cell>
          <cell r="AN37" t="str">
            <v>Current Liabilitiess</v>
          </cell>
        </row>
        <row r="38">
          <cell r="A38" t="str">
            <v>Notes Payable to Banks</v>
          </cell>
          <cell r="B38">
            <v>55.923999999999999</v>
          </cell>
          <cell r="C38">
            <v>79.108999999999995</v>
          </cell>
          <cell r="D38">
            <v>0</v>
          </cell>
          <cell r="E38">
            <v>34.970999999999997</v>
          </cell>
          <cell r="F38">
            <v>135.15700000000001</v>
          </cell>
          <cell r="G38">
            <v>240.04599999999999</v>
          </cell>
          <cell r="H38">
            <v>0</v>
          </cell>
          <cell r="I38">
            <v>45.756999999999998</v>
          </cell>
          <cell r="J38">
            <v>106.15900000000001</v>
          </cell>
          <cell r="K38">
            <v>357.75700000000001</v>
          </cell>
          <cell r="L38">
            <v>0</v>
          </cell>
          <cell r="M38">
            <v>131.071</v>
          </cell>
          <cell r="N38">
            <v>362.06</v>
          </cell>
          <cell r="O38">
            <v>362.34300000000002</v>
          </cell>
          <cell r="P38">
            <v>0</v>
          </cell>
          <cell r="Q38">
            <v>72.426000000000002</v>
          </cell>
          <cell r="R38">
            <v>41.725999999999999</v>
          </cell>
          <cell r="S38">
            <v>65.724000000000004</v>
          </cell>
          <cell r="T38">
            <v>0</v>
          </cell>
          <cell r="U38">
            <v>0</v>
          </cell>
          <cell r="V38">
            <v>342.32600000000002</v>
          </cell>
          <cell r="W38">
            <v>477.56700000000001</v>
          </cell>
          <cell r="X38">
            <v>0</v>
          </cell>
          <cell r="Y38">
            <v>167.82</v>
          </cell>
          <cell r="Z38">
            <v>196.99199999999999</v>
          </cell>
          <cell r="AA38">
            <v>243.39</v>
          </cell>
          <cell r="AB38">
            <v>15.52</v>
          </cell>
          <cell r="AC38">
            <v>82.37</v>
          </cell>
          <cell r="AD38">
            <v>263.77199999999999</v>
          </cell>
          <cell r="AE38">
            <v>423.52499999999998</v>
          </cell>
          <cell r="AF38">
            <v>20.484999999999999</v>
          </cell>
          <cell r="AG38">
            <v>16.864999999999998</v>
          </cell>
          <cell r="AN38" t="str">
            <v>Notes Payable to Banks</v>
          </cell>
          <cell r="AO38">
            <v>23.332000000000001</v>
          </cell>
          <cell r="AP38">
            <v>36.018999999999998</v>
          </cell>
          <cell r="AQ38">
            <v>105.67</v>
          </cell>
          <cell r="AR38">
            <v>9.5879999999999992</v>
          </cell>
          <cell r="AS38">
            <v>0</v>
          </cell>
          <cell r="AT38">
            <v>0</v>
          </cell>
          <cell r="AU38">
            <v>0</v>
          </cell>
          <cell r="AV38">
            <v>13.401</v>
          </cell>
          <cell r="AW38">
            <v>0</v>
          </cell>
          <cell r="AX38">
            <v>0</v>
          </cell>
          <cell r="AY38">
            <v>76.400000000000006</v>
          </cell>
        </row>
        <row r="39">
          <cell r="A39" t="str">
            <v>Current Port. of L-T Liab.</v>
          </cell>
          <cell r="B39">
            <v>1.796</v>
          </cell>
          <cell r="C39">
            <v>1.8819999999999999</v>
          </cell>
          <cell r="D39">
            <v>41.085999999999999</v>
          </cell>
          <cell r="E39">
            <v>1.7589999999999999</v>
          </cell>
          <cell r="F39">
            <v>76.316000000000003</v>
          </cell>
          <cell r="G39">
            <v>1.321</v>
          </cell>
          <cell r="H39">
            <v>1.1339999999999999</v>
          </cell>
          <cell r="I39">
            <v>5.593</v>
          </cell>
          <cell r="J39">
            <v>110.164</v>
          </cell>
          <cell r="K39">
            <v>5.2169999999999996</v>
          </cell>
          <cell r="L39">
            <v>5.7050000000000001</v>
          </cell>
          <cell r="M39">
            <v>5.5149999999999997</v>
          </cell>
          <cell r="N39">
            <v>5.4139999999999997</v>
          </cell>
          <cell r="O39">
            <v>5.3019999999999996</v>
          </cell>
          <cell r="P39">
            <v>8.9139999999999997</v>
          </cell>
          <cell r="Q39">
            <v>8.8970000000000002</v>
          </cell>
          <cell r="R39">
            <v>8.6750000000000007</v>
          </cell>
          <cell r="S39">
            <v>9.1940000000000008</v>
          </cell>
          <cell r="T39">
            <v>104.86199999999999</v>
          </cell>
          <cell r="U39">
            <v>4.0410000000000004</v>
          </cell>
          <cell r="V39">
            <v>3.3010000000000002</v>
          </cell>
          <cell r="W39">
            <v>2.7</v>
          </cell>
          <cell r="X39">
            <v>3.0950000000000002</v>
          </cell>
          <cell r="Y39">
            <v>2.5470000000000002</v>
          </cell>
          <cell r="Z39">
            <v>2.6120000000000001</v>
          </cell>
          <cell r="AA39">
            <v>31.939</v>
          </cell>
          <cell r="AB39">
            <v>33.215000000000003</v>
          </cell>
          <cell r="AC39">
            <v>3.0979999999999999</v>
          </cell>
          <cell r="AD39">
            <v>2.4820000000000002</v>
          </cell>
          <cell r="AE39">
            <v>105.989</v>
          </cell>
          <cell r="AF39">
            <v>106.069</v>
          </cell>
          <cell r="AG39">
            <v>105.393</v>
          </cell>
          <cell r="AN39" t="str">
            <v>Current Port. of L-T Liab.</v>
          </cell>
          <cell r="AO39">
            <v>4.1929999999999996</v>
          </cell>
          <cell r="AP39">
            <v>1.589</v>
          </cell>
          <cell r="AQ39">
            <v>3.8530000000000002</v>
          </cell>
          <cell r="AR39">
            <v>1.7829999999999999</v>
          </cell>
          <cell r="AS39">
            <v>41.085999999999999</v>
          </cell>
          <cell r="AT39">
            <v>1.1339999999999999</v>
          </cell>
          <cell r="AU39">
            <v>5.7050000000000001</v>
          </cell>
          <cell r="AV39">
            <v>8.9139999999999997</v>
          </cell>
          <cell r="AW39">
            <v>104.86199999999999</v>
          </cell>
          <cell r="AX39">
            <v>3.0950000000000002</v>
          </cell>
          <cell r="AY39">
            <v>33.694000000000003</v>
          </cell>
        </row>
        <row r="40">
          <cell r="A40" t="str">
            <v>Accounts Payable</v>
          </cell>
          <cell r="B40">
            <v>88.072000000000003</v>
          </cell>
          <cell r="C40">
            <v>103.785</v>
          </cell>
          <cell r="D40">
            <v>87.278999999999996</v>
          </cell>
          <cell r="E40">
            <v>81.986000000000004</v>
          </cell>
          <cell r="F40">
            <v>110.873</v>
          </cell>
          <cell r="G40">
            <v>124.15300000000001</v>
          </cell>
          <cell r="H40">
            <v>113.43</v>
          </cell>
          <cell r="I40">
            <v>79.090999999999994</v>
          </cell>
          <cell r="J40">
            <v>99.8</v>
          </cell>
          <cell r="K40">
            <v>139.68600000000001</v>
          </cell>
          <cell r="L40">
            <v>151.16800000000001</v>
          </cell>
          <cell r="M40">
            <v>117.806</v>
          </cell>
          <cell r="N40">
            <v>130.05199999999999</v>
          </cell>
          <cell r="O40">
            <v>138.30799999999999</v>
          </cell>
          <cell r="P40">
            <v>145.63300000000001</v>
          </cell>
          <cell r="Q40">
            <v>368.89800000000002</v>
          </cell>
          <cell r="R40">
            <v>121.318</v>
          </cell>
          <cell r="S40">
            <v>132.547</v>
          </cell>
          <cell r="T40">
            <v>175.42400000000001</v>
          </cell>
          <cell r="U40">
            <v>122.008</v>
          </cell>
          <cell r="V40">
            <v>178.84399999999999</v>
          </cell>
          <cell r="W40">
            <v>220.25</v>
          </cell>
          <cell r="X40">
            <v>295.24599999999998</v>
          </cell>
          <cell r="Y40">
            <v>150.34399999999999</v>
          </cell>
          <cell r="Z40">
            <v>212.34299999999999</v>
          </cell>
          <cell r="AA40">
            <v>233.863</v>
          </cell>
          <cell r="AB40">
            <v>250.40100000000001</v>
          </cell>
          <cell r="AC40">
            <v>174.27</v>
          </cell>
          <cell r="AD40">
            <v>232.959</v>
          </cell>
          <cell r="AE40">
            <v>264.90100000000001</v>
          </cell>
          <cell r="AF40">
            <v>259.721</v>
          </cell>
          <cell r="AG40">
            <v>180.816</v>
          </cell>
          <cell r="AN40" t="str">
            <v>Accounts Payable</v>
          </cell>
          <cell r="AO40">
            <v>57.789000000000001</v>
          </cell>
          <cell r="AP40">
            <v>64.507999999999996</v>
          </cell>
          <cell r="AQ40">
            <v>68.254999999999995</v>
          </cell>
          <cell r="AR40">
            <v>73.852999999999994</v>
          </cell>
          <cell r="AS40">
            <v>87.278999999999996</v>
          </cell>
          <cell r="AT40">
            <v>113.43</v>
          </cell>
          <cell r="AU40">
            <v>151.16800000000001</v>
          </cell>
          <cell r="AV40">
            <v>169.917</v>
          </cell>
          <cell r="AW40">
            <v>175.42400000000001</v>
          </cell>
          <cell r="AX40">
            <v>295.24599999999998</v>
          </cell>
          <cell r="AY40">
            <v>295.95800000000003</v>
          </cell>
        </row>
        <row r="41">
          <cell r="A41" t="str">
            <v>Accrued Liabilities</v>
          </cell>
          <cell r="B41">
            <v>115.833</v>
          </cell>
          <cell r="C41">
            <v>183.64400000000001</v>
          </cell>
          <cell r="D41">
            <v>191.029</v>
          </cell>
          <cell r="E41">
            <v>119.892</v>
          </cell>
          <cell r="F41">
            <v>123.786</v>
          </cell>
          <cell r="G41">
            <v>201.34100000000001</v>
          </cell>
          <cell r="H41">
            <v>188.81399999999999</v>
          </cell>
          <cell r="I41">
            <v>116.992</v>
          </cell>
          <cell r="J41">
            <v>115.19499999999999</v>
          </cell>
          <cell r="K41">
            <v>207.369</v>
          </cell>
          <cell r="L41">
            <v>203.25399999999999</v>
          </cell>
          <cell r="M41">
            <v>127.806</v>
          </cell>
          <cell r="N41">
            <v>118.93899999999999</v>
          </cell>
          <cell r="O41">
            <v>202.11500000000001</v>
          </cell>
          <cell r="P41">
            <v>191.25</v>
          </cell>
          <cell r="Q41" t="str">
            <v>(a)</v>
          </cell>
          <cell r="R41">
            <v>148.953</v>
          </cell>
          <cell r="S41">
            <v>260.32799999999997</v>
          </cell>
          <cell r="T41">
            <v>397.8</v>
          </cell>
          <cell r="U41">
            <v>264.69400000000002</v>
          </cell>
          <cell r="V41">
            <v>295.67700000000002</v>
          </cell>
          <cell r="W41">
            <v>444.51400000000001</v>
          </cell>
          <cell r="X41">
            <v>453.14600000000002</v>
          </cell>
          <cell r="Y41">
            <v>294.10199999999998</v>
          </cell>
          <cell r="Z41">
            <v>296.22199999999998</v>
          </cell>
          <cell r="AA41">
            <v>470.05799999999999</v>
          </cell>
          <cell r="AB41">
            <v>410.36200000000002</v>
          </cell>
          <cell r="AC41">
            <v>314.93700000000001</v>
          </cell>
          <cell r="AD41">
            <v>315.01600000000002</v>
          </cell>
          <cell r="AE41">
            <v>548.77200000000005</v>
          </cell>
          <cell r="AF41">
            <v>406.34399999999999</v>
          </cell>
          <cell r="AG41">
            <v>532.02499999999998</v>
          </cell>
          <cell r="AN41" t="str">
            <v>Accrued Liabilities</v>
          </cell>
          <cell r="AO41">
            <v>114.773</v>
          </cell>
          <cell r="AP41">
            <v>122.17100000000001</v>
          </cell>
          <cell r="AQ41">
            <v>144.90799999999999</v>
          </cell>
          <cell r="AR41">
            <v>123.218</v>
          </cell>
          <cell r="AS41">
            <v>191.029</v>
          </cell>
          <cell r="AT41">
            <v>188.81399999999999</v>
          </cell>
          <cell r="AU41">
            <v>203.25399999999999</v>
          </cell>
          <cell r="AV41">
            <v>267.17</v>
          </cell>
          <cell r="AW41">
            <v>397.8</v>
          </cell>
          <cell r="AX41">
            <v>453.14600000000002</v>
          </cell>
          <cell r="AY41">
            <v>504.17500000000001</v>
          </cell>
        </row>
        <row r="42">
          <cell r="A42" t="str">
            <v>Income Taxes Payable</v>
          </cell>
          <cell r="B42">
            <v>5.44</v>
          </cell>
          <cell r="C42">
            <v>13.513</v>
          </cell>
          <cell r="D42">
            <v>16.905000000000001</v>
          </cell>
          <cell r="E42">
            <v>6.19</v>
          </cell>
          <cell r="F42">
            <v>6.9329999999999998</v>
          </cell>
          <cell r="G42">
            <v>16.404</v>
          </cell>
          <cell r="H42">
            <v>27.722000000000001</v>
          </cell>
          <cell r="I42">
            <v>24.867999999999999</v>
          </cell>
          <cell r="J42">
            <v>21.806999999999999</v>
          </cell>
          <cell r="K42">
            <v>49.726999999999997</v>
          </cell>
          <cell r="L42">
            <v>50.378</v>
          </cell>
          <cell r="M42">
            <v>51.994</v>
          </cell>
          <cell r="N42">
            <v>58.139000000000003</v>
          </cell>
          <cell r="O42">
            <v>79.611999999999995</v>
          </cell>
          <cell r="P42">
            <v>67.7</v>
          </cell>
          <cell r="Q42">
            <v>40.5</v>
          </cell>
          <cell r="R42">
            <v>51.594999999999999</v>
          </cell>
          <cell r="S42">
            <v>90.114999999999995</v>
          </cell>
          <cell r="T42">
            <v>105.24299999999999</v>
          </cell>
          <cell r="U42">
            <v>93.158000000000001</v>
          </cell>
          <cell r="V42">
            <v>109.462</v>
          </cell>
          <cell r="W42">
            <v>163.959</v>
          </cell>
          <cell r="X42">
            <v>164.39400000000001</v>
          </cell>
          <cell r="Y42">
            <v>162.048</v>
          </cell>
          <cell r="Z42">
            <v>166.708</v>
          </cell>
          <cell r="AA42">
            <v>229.75200000000001</v>
          </cell>
          <cell r="AB42">
            <v>138.18299999999999</v>
          </cell>
          <cell r="AC42">
            <v>133.83500000000001</v>
          </cell>
          <cell r="AD42">
            <v>149.38399999999999</v>
          </cell>
          <cell r="AE42">
            <v>209.33799999999999</v>
          </cell>
          <cell r="AF42">
            <v>167.749</v>
          </cell>
          <cell r="AG42">
            <v>113.358</v>
          </cell>
          <cell r="AN42" t="str">
            <v>Income Taxes Payable</v>
          </cell>
          <cell r="AO42">
            <v>31.53</v>
          </cell>
          <cell r="AP42">
            <v>31.158000000000001</v>
          </cell>
          <cell r="AQ42" t="str">
            <v>-</v>
          </cell>
          <cell r="AR42">
            <v>7.657</v>
          </cell>
          <cell r="AS42">
            <v>16.905000000000001</v>
          </cell>
          <cell r="AT42">
            <v>27.722000000000001</v>
          </cell>
          <cell r="AU42">
            <v>50.378</v>
          </cell>
          <cell r="AV42">
            <v>69.986999999999995</v>
          </cell>
          <cell r="AW42">
            <v>105.24299999999999</v>
          </cell>
          <cell r="AX42">
            <v>164.39400000000001</v>
          </cell>
          <cell r="AY42">
            <v>157.68100000000001</v>
          </cell>
        </row>
        <row r="43">
          <cell r="A43" t="str">
            <v>Total Current Liab.</v>
          </cell>
          <cell r="B43">
            <v>267.065</v>
          </cell>
          <cell r="C43">
            <v>381.93299999999999</v>
          </cell>
          <cell r="D43">
            <v>336.29899999999998</v>
          </cell>
          <cell r="E43">
            <v>244.798</v>
          </cell>
          <cell r="F43">
            <v>453.065</v>
          </cell>
          <cell r="G43">
            <v>583.26499999999999</v>
          </cell>
          <cell r="H43">
            <v>331.09999999999997</v>
          </cell>
          <cell r="I43">
            <v>272.30099999999999</v>
          </cell>
          <cell r="J43">
            <v>453.125</v>
          </cell>
          <cell r="K43">
            <v>759.75599999999997</v>
          </cell>
          <cell r="L43">
            <v>410.505</v>
          </cell>
          <cell r="M43">
            <v>434.19200000000001</v>
          </cell>
          <cell r="N43">
            <v>674.60399999999993</v>
          </cell>
          <cell r="O43">
            <v>787.68</v>
          </cell>
          <cell r="P43">
            <v>413.49900000000002</v>
          </cell>
          <cell r="Q43">
            <v>490.721</v>
          </cell>
          <cell r="R43">
            <v>372.267</v>
          </cell>
          <cell r="S43">
            <v>557.90800000000002</v>
          </cell>
          <cell r="T43">
            <v>783.32899999999995</v>
          </cell>
          <cell r="U43">
            <v>483.90100000000001</v>
          </cell>
          <cell r="V43">
            <v>929.61</v>
          </cell>
          <cell r="W43">
            <v>1308.99</v>
          </cell>
          <cell r="X43">
            <v>915.88100000000009</v>
          </cell>
          <cell r="Y43">
            <v>776.86099999999999</v>
          </cell>
          <cell r="Z43">
            <v>874.87699999999995</v>
          </cell>
          <cell r="AA43">
            <v>1209.002</v>
          </cell>
          <cell r="AB43">
            <v>847.68100000000004</v>
          </cell>
          <cell r="AC43">
            <v>708.51</v>
          </cell>
          <cell r="AD43">
            <v>963.61300000000006</v>
          </cell>
          <cell r="AE43">
            <v>1552.5249999999999</v>
          </cell>
          <cell r="AF43">
            <v>960.36799999999994</v>
          </cell>
          <cell r="AG43">
            <v>948.45699999999988</v>
          </cell>
          <cell r="AN43" t="str">
            <v>Total Current Liab.</v>
          </cell>
          <cell r="AO43">
            <v>231.61699999999999</v>
          </cell>
          <cell r="AP43">
            <v>255.44499999999999</v>
          </cell>
          <cell r="AQ43">
            <v>322.68599999999998</v>
          </cell>
          <cell r="AR43">
            <v>216.09900000000002</v>
          </cell>
          <cell r="AS43">
            <v>336.29899999999998</v>
          </cell>
          <cell r="AT43">
            <v>331.09999999999997</v>
          </cell>
          <cell r="AU43">
            <v>410.505</v>
          </cell>
          <cell r="AV43">
            <v>529.38900000000001</v>
          </cell>
          <cell r="AW43">
            <v>783.32899999999995</v>
          </cell>
          <cell r="AX43">
            <v>915.88100000000009</v>
          </cell>
          <cell r="AY43">
            <v>1067.9080000000001</v>
          </cell>
        </row>
        <row r="45">
          <cell r="A45" t="str">
            <v>10 7/8% Senior Subord. Debent.</v>
          </cell>
          <cell r="B45">
            <v>73.244</v>
          </cell>
          <cell r="C45">
            <v>73.548000000000002</v>
          </cell>
          <cell r="D45">
            <v>73.953999999999994</v>
          </cell>
          <cell r="E45">
            <v>74.438999999999993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72.888999999999996</v>
          </cell>
          <cell r="AG45">
            <v>0</v>
          </cell>
          <cell r="AN45" t="str">
            <v>10 7/8% Senior Subord. Debent.</v>
          </cell>
          <cell r="AO45">
            <v>0</v>
          </cell>
          <cell r="AP45">
            <v>0</v>
          </cell>
          <cell r="AQ45">
            <v>71.25</v>
          </cell>
          <cell r="AR45">
            <v>72.534000000000006</v>
          </cell>
          <cell r="AS45">
            <v>73.953999999999994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</row>
        <row r="46">
          <cell r="A46" t="str">
            <v>14 3/4% Subord. Debentures</v>
          </cell>
          <cell r="B46">
            <v>98.575000000000003</v>
          </cell>
          <cell r="C46">
            <v>98.585999999999999</v>
          </cell>
          <cell r="D46">
            <v>97.665999999999997</v>
          </cell>
          <cell r="E46">
            <v>97.680999999999997</v>
          </cell>
          <cell r="F46">
            <v>97.695999999999998</v>
          </cell>
          <cell r="G46">
            <v>97.710999999999999</v>
          </cell>
          <cell r="H46">
            <v>97.725999999999999</v>
          </cell>
          <cell r="I46">
            <v>97.745000000000005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98.561000000000007</v>
          </cell>
          <cell r="AG46">
            <v>0</v>
          </cell>
          <cell r="AN46" t="str">
            <v>14 3/4% Subord. Debentures</v>
          </cell>
          <cell r="AO46">
            <v>100</v>
          </cell>
          <cell r="AP46">
            <v>100</v>
          </cell>
          <cell r="AQ46">
            <v>98.5</v>
          </cell>
          <cell r="AR46">
            <v>98.546999999999997</v>
          </cell>
          <cell r="AS46">
            <v>97.665999999999997</v>
          </cell>
          <cell r="AT46">
            <v>97.725999999999999</v>
          </cell>
          <cell r="AU46">
            <v>0</v>
          </cell>
          <cell r="AV46">
            <v>0</v>
          </cell>
          <cell r="AW46">
            <v>0</v>
          </cell>
        </row>
        <row r="47">
          <cell r="A47" t="str">
            <v>8% Convert. Sub. Debentures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97.245000000000005</v>
          </cell>
          <cell r="J47">
            <v>97.29</v>
          </cell>
          <cell r="K47">
            <v>97.301000000000002</v>
          </cell>
          <cell r="L47">
            <v>97.349000000000004</v>
          </cell>
          <cell r="M47">
            <v>97.397000000000006</v>
          </cell>
          <cell r="N47">
            <v>97.444999999999993</v>
          </cell>
          <cell r="O47">
            <v>97.495999999999995</v>
          </cell>
          <cell r="P47">
            <v>97.546999999999997</v>
          </cell>
          <cell r="Q47" t="str">
            <v>NAV</v>
          </cell>
          <cell r="R47">
            <v>97.652000000000001</v>
          </cell>
          <cell r="S47">
            <v>97.706000000000003</v>
          </cell>
          <cell r="T47">
            <v>73.953000000000003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N47" t="str">
            <v>8% Convert. Sub. Debentures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97.349000000000004</v>
          </cell>
          <cell r="AV47">
            <v>97.546999999999997</v>
          </cell>
          <cell r="AW47">
            <v>73.953000000000003</v>
          </cell>
          <cell r="AX47">
            <v>0</v>
          </cell>
          <cell r="AY47">
            <v>0</v>
          </cell>
        </row>
        <row r="48">
          <cell r="A48" t="str">
            <v>11 5/8% Subord. Debentures</v>
          </cell>
          <cell r="B48">
            <v>56.902999999999999</v>
          </cell>
          <cell r="C48">
            <v>57.039000000000001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56.820999999999998</v>
          </cell>
          <cell r="AG48">
            <v>0</v>
          </cell>
          <cell r="AN48" t="str">
            <v>11 5/8% Subord. Debentures</v>
          </cell>
          <cell r="AO48">
            <v>65.759</v>
          </cell>
          <cell r="AP48">
            <v>65.924999999999997</v>
          </cell>
          <cell r="AQ48">
            <v>56.45</v>
          </cell>
          <cell r="AR48">
            <v>56.738999999999997</v>
          </cell>
          <cell r="AS48">
            <v>0</v>
          </cell>
          <cell r="AT48">
            <v>0</v>
          </cell>
          <cell r="AU48">
            <v>0</v>
          </cell>
        </row>
        <row r="49">
          <cell r="A49" t="str">
            <v>14 4/10% Sen. Subord. Notes</v>
          </cell>
          <cell r="Q49" t="str">
            <v>NAV</v>
          </cell>
          <cell r="U49" t="str">
            <v>NAV</v>
          </cell>
          <cell r="V49" t="str">
            <v>NAV</v>
          </cell>
          <cell r="AN49" t="str">
            <v>14 4/10% Sen. Subord. Notes</v>
          </cell>
          <cell r="AO49">
            <v>76.528000000000006</v>
          </cell>
          <cell r="AP49">
            <v>79.549000000000007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</row>
        <row r="50">
          <cell r="A50" t="str">
            <v>14 3/4% Sen. Subord. Notes</v>
          </cell>
          <cell r="Q50" t="str">
            <v>NAV</v>
          </cell>
          <cell r="U50" t="str">
            <v>NAV</v>
          </cell>
          <cell r="V50" t="str">
            <v>NAV</v>
          </cell>
          <cell r="AN50" t="str">
            <v>14 3/4% Sen. Subord. Notes</v>
          </cell>
          <cell r="AO50">
            <v>17.013000000000002</v>
          </cell>
          <cell r="AP50">
            <v>17.649999999999999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</row>
        <row r="51">
          <cell r="A51" t="str">
            <v>Mortgage Note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45</v>
          </cell>
          <cell r="I51">
            <v>45</v>
          </cell>
          <cell r="J51">
            <v>45</v>
          </cell>
          <cell r="K51">
            <v>45</v>
          </cell>
          <cell r="L51">
            <v>45</v>
          </cell>
          <cell r="M51">
            <v>45</v>
          </cell>
          <cell r="N51">
            <v>45</v>
          </cell>
          <cell r="O51">
            <v>45</v>
          </cell>
          <cell r="P51">
            <v>45</v>
          </cell>
          <cell r="Q51" t="str">
            <v>NAV</v>
          </cell>
          <cell r="R51">
            <v>45</v>
          </cell>
          <cell r="S51">
            <v>45</v>
          </cell>
          <cell r="T51">
            <v>45</v>
          </cell>
          <cell r="U51">
            <v>45</v>
          </cell>
          <cell r="V51">
            <v>45</v>
          </cell>
          <cell r="W51">
            <v>45</v>
          </cell>
          <cell r="X51">
            <v>45</v>
          </cell>
          <cell r="Y51">
            <v>44.9</v>
          </cell>
          <cell r="Z51">
            <v>44.798000000000002</v>
          </cell>
          <cell r="AA51">
            <v>44.692999999999998</v>
          </cell>
          <cell r="AB51">
            <v>44.585000000000001</v>
          </cell>
          <cell r="AC51">
            <v>48.08</v>
          </cell>
          <cell r="AD51">
            <v>48.023000000000003</v>
          </cell>
          <cell r="AE51">
            <v>47.938000000000002</v>
          </cell>
          <cell r="AF51">
            <v>47.6</v>
          </cell>
          <cell r="AG51">
            <v>43.962000000000003</v>
          </cell>
          <cell r="AN51" t="str">
            <v>Mortgage Note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45</v>
          </cell>
          <cell r="AU51">
            <v>45</v>
          </cell>
          <cell r="AV51">
            <v>45</v>
          </cell>
          <cell r="AW51">
            <v>45</v>
          </cell>
          <cell r="AX51">
            <v>45</v>
          </cell>
          <cell r="AY51">
            <v>48.25</v>
          </cell>
        </row>
        <row r="52">
          <cell r="A52" t="str">
            <v>Capitalized Lease Obligations</v>
          </cell>
          <cell r="B52">
            <v>11.131</v>
          </cell>
          <cell r="C52">
            <v>10.987</v>
          </cell>
          <cell r="D52">
            <v>5.8810000000000002</v>
          </cell>
          <cell r="E52">
            <v>5.782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 t="str">
            <v>NAV</v>
          </cell>
          <cell r="R52">
            <v>0</v>
          </cell>
          <cell r="S52">
            <v>0</v>
          </cell>
          <cell r="T52">
            <v>0</v>
          </cell>
          <cell r="U52" t="str">
            <v>NAV</v>
          </cell>
          <cell r="V52" t="str">
            <v>(b)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11.273</v>
          </cell>
          <cell r="AG52">
            <v>0</v>
          </cell>
          <cell r="AN52" t="str">
            <v>Capitalized Lease Obligations</v>
          </cell>
          <cell r="AO52">
            <v>11.37</v>
          </cell>
          <cell r="AP52">
            <v>11.095000000000001</v>
          </cell>
          <cell r="AQ52">
            <v>11.394</v>
          </cell>
          <cell r="AR52">
            <v>11.413</v>
          </cell>
          <cell r="AS52">
            <v>5.8810000000000002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</row>
        <row r="53">
          <cell r="A53" t="str">
            <v>Deferred Income Taxes</v>
          </cell>
          <cell r="B53">
            <v>19</v>
          </cell>
          <cell r="C53">
            <v>10.148</v>
          </cell>
          <cell r="D53">
            <v>9.4019999999999992</v>
          </cell>
          <cell r="E53">
            <v>9.6780000000000008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 t="str">
            <v>NAV</v>
          </cell>
          <cell r="R53">
            <v>0</v>
          </cell>
          <cell r="S53">
            <v>0</v>
          </cell>
          <cell r="T53">
            <v>0</v>
          </cell>
          <cell r="U53" t="str">
            <v>NAV</v>
          </cell>
          <cell r="V53" t="str">
            <v>(b)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19</v>
          </cell>
          <cell r="AG53">
            <v>0</v>
          </cell>
          <cell r="AN53" t="str">
            <v>Deferred Income Taxes</v>
          </cell>
          <cell r="AP53">
            <v>0</v>
          </cell>
          <cell r="AQ53">
            <v>19</v>
          </cell>
          <cell r="AR53">
            <v>19</v>
          </cell>
          <cell r="AS53">
            <v>9.4019999999999992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</row>
        <row r="54">
          <cell r="A54" t="str">
            <v>Foreign Term Loans</v>
          </cell>
          <cell r="B54">
            <v>0</v>
          </cell>
          <cell r="C54">
            <v>0</v>
          </cell>
          <cell r="D54">
            <v>0</v>
          </cell>
          <cell r="E54">
            <v>16.690000000000001</v>
          </cell>
          <cell r="F54">
            <v>23.870999999999999</v>
          </cell>
          <cell r="G54">
            <v>24.658000000000001</v>
          </cell>
          <cell r="H54">
            <v>25.387</v>
          </cell>
          <cell r="I54">
            <v>22.7</v>
          </cell>
          <cell r="J54">
            <v>32.779000000000003</v>
          </cell>
          <cell r="K54">
            <v>36.024000000000001</v>
          </cell>
          <cell r="L54">
            <v>42.691000000000003</v>
          </cell>
          <cell r="M54">
            <v>41.844999999999999</v>
          </cell>
          <cell r="N54">
            <v>45.360999999999997</v>
          </cell>
          <cell r="O54">
            <v>46.375</v>
          </cell>
          <cell r="P54">
            <v>45.344999999999999</v>
          </cell>
          <cell r="Q54" t="str">
            <v>NAV</v>
          </cell>
          <cell r="R54">
            <v>19.356000000000002</v>
          </cell>
          <cell r="S54">
            <v>17.219000000000001</v>
          </cell>
          <cell r="T54">
            <v>9.6890000000000001</v>
          </cell>
          <cell r="U54">
            <v>6.8049999999999997</v>
          </cell>
          <cell r="V54">
            <v>4.5</v>
          </cell>
          <cell r="W54">
            <v>4.3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N54" t="str">
            <v>Foreign Term Loans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25.387</v>
          </cell>
          <cell r="AU54">
            <v>42.691000000000003</v>
          </cell>
          <cell r="AV54">
            <v>143.88200000000001</v>
          </cell>
          <cell r="AW54">
            <v>9.6890000000000001</v>
          </cell>
          <cell r="AX54">
            <v>0</v>
          </cell>
          <cell r="AY54">
            <v>0</v>
          </cell>
        </row>
        <row r="55">
          <cell r="A55" t="str">
            <v>FRESOP Notes Payable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12.11</v>
          </cell>
          <cell r="J55">
            <v>10.88</v>
          </cell>
          <cell r="K55">
            <v>9.65</v>
          </cell>
          <cell r="L55">
            <v>8.42</v>
          </cell>
          <cell r="M55">
            <v>7.19</v>
          </cell>
          <cell r="N55">
            <v>5.96</v>
          </cell>
          <cell r="O55">
            <v>4.7300000000000004</v>
          </cell>
          <cell r="P55">
            <v>0</v>
          </cell>
          <cell r="Q55" t="str">
            <v>NAV</v>
          </cell>
          <cell r="R55">
            <v>0</v>
          </cell>
          <cell r="S55">
            <v>0</v>
          </cell>
          <cell r="T55">
            <v>0</v>
          </cell>
          <cell r="U55" t="str">
            <v>NAV</v>
          </cell>
          <cell r="V55" t="str">
            <v>(b)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G55">
            <v>0</v>
          </cell>
          <cell r="AN55" t="str">
            <v>FRESOP Notes Payable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8.42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</row>
        <row r="56">
          <cell r="AN56" t="str">
            <v>10-1/8% Senior Sub. Notes</v>
          </cell>
          <cell r="AY56">
            <v>126.5</v>
          </cell>
        </row>
        <row r="57">
          <cell r="A57" t="str">
            <v>6-7/8% Senior notes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99.313999999999993</v>
          </cell>
          <cell r="P57">
            <v>99.343999999999994</v>
          </cell>
          <cell r="Q57" t="str">
            <v>NAV</v>
          </cell>
          <cell r="R57">
            <v>99.403999999999996</v>
          </cell>
          <cell r="S57">
            <v>99.436999999999998</v>
          </cell>
          <cell r="T57">
            <v>99.47</v>
          </cell>
          <cell r="U57">
            <v>99.503</v>
          </cell>
          <cell r="V57">
            <v>99.536000000000001</v>
          </cell>
          <cell r="W57">
            <v>99.569000000000003</v>
          </cell>
          <cell r="X57">
            <v>99.603999999999999</v>
          </cell>
          <cell r="Y57">
            <v>99.64</v>
          </cell>
          <cell r="Z57">
            <v>99.676000000000002</v>
          </cell>
          <cell r="AA57">
            <v>99.712999999999994</v>
          </cell>
          <cell r="AB57">
            <v>99.751999999999995</v>
          </cell>
          <cell r="AC57">
            <v>99.790999999999997</v>
          </cell>
          <cell r="AD57">
            <v>99.83</v>
          </cell>
          <cell r="AE57">
            <v>0</v>
          </cell>
          <cell r="AF57">
            <v>0</v>
          </cell>
          <cell r="AG57">
            <v>0</v>
          </cell>
          <cell r="AN57" t="str">
            <v>6-7/8% Senior notes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99.343999999999994</v>
          </cell>
          <cell r="AW57">
            <v>99.47</v>
          </cell>
          <cell r="AX57">
            <v>99.603999999999999</v>
          </cell>
          <cell r="AY57">
            <v>99.751999999999995</v>
          </cell>
        </row>
        <row r="58">
          <cell r="A58" t="str">
            <v>6-3/4% Senior notes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 t="str">
            <v>NAV</v>
          </cell>
          <cell r="R58">
            <v>100</v>
          </cell>
          <cell r="S58">
            <v>100</v>
          </cell>
          <cell r="T58">
            <v>100</v>
          </cell>
          <cell r="U58">
            <v>100</v>
          </cell>
          <cell r="V58">
            <v>100</v>
          </cell>
          <cell r="W58">
            <v>100</v>
          </cell>
          <cell r="X58">
            <v>100</v>
          </cell>
          <cell r="Y58">
            <v>100</v>
          </cell>
          <cell r="Z58">
            <v>100</v>
          </cell>
          <cell r="AA58">
            <v>100</v>
          </cell>
          <cell r="AB58">
            <v>100</v>
          </cell>
          <cell r="AC58">
            <v>100</v>
          </cell>
          <cell r="AD58">
            <v>100</v>
          </cell>
          <cell r="AE58">
            <v>100</v>
          </cell>
          <cell r="AF58">
            <v>100</v>
          </cell>
          <cell r="AG58">
            <v>100</v>
          </cell>
          <cell r="AN58" t="str">
            <v>6-3/4% Senior notes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100</v>
          </cell>
          <cell r="AX58">
            <v>100</v>
          </cell>
          <cell r="AY58">
            <v>100</v>
          </cell>
        </row>
        <row r="59">
          <cell r="A59" t="str">
            <v>Medium Term Notes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110.5</v>
          </cell>
          <cell r="Y59">
            <v>110.5</v>
          </cell>
          <cell r="Z59">
            <v>250</v>
          </cell>
          <cell r="AA59">
            <v>220</v>
          </cell>
          <cell r="AB59">
            <v>220</v>
          </cell>
          <cell r="AC59">
            <v>220</v>
          </cell>
          <cell r="AD59">
            <v>220</v>
          </cell>
          <cell r="AE59">
            <v>220</v>
          </cell>
          <cell r="AF59">
            <v>220</v>
          </cell>
          <cell r="AG59">
            <v>260</v>
          </cell>
          <cell r="AN59" t="str">
            <v>Medium Term Notes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110.5</v>
          </cell>
          <cell r="AY59">
            <v>220</v>
          </cell>
        </row>
        <row r="60">
          <cell r="A60" t="str">
            <v>Economic Dev. Bonds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9.6999999999999993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G60">
            <v>0</v>
          </cell>
          <cell r="AN60" t="str">
            <v>Economic Dev. Bonds</v>
          </cell>
        </row>
        <row r="61">
          <cell r="A61" t="str">
            <v>Other LongTerm Debt Obligations</v>
          </cell>
          <cell r="X61">
            <v>19.900000000000006</v>
          </cell>
          <cell r="Y61">
            <v>20.300000000000004</v>
          </cell>
          <cell r="Z61">
            <v>19.101999999999997</v>
          </cell>
          <cell r="AA61">
            <v>18.907000000000004</v>
          </cell>
          <cell r="AB61">
            <v>16.515000000000001</v>
          </cell>
          <cell r="AC61">
            <v>12.82</v>
          </cell>
          <cell r="AD61">
            <v>12.876999999999995</v>
          </cell>
          <cell r="AE61">
            <v>7.2620000000000005</v>
          </cell>
          <cell r="AF61">
            <v>7.2999999999999972</v>
          </cell>
          <cell r="AG61">
            <v>14.7</v>
          </cell>
          <cell r="AN61" t="str">
            <v>Other LongTerm Debt Obligations</v>
          </cell>
          <cell r="AX61">
            <v>19.900000000000006</v>
          </cell>
          <cell r="AY61">
            <v>16.650000000000006</v>
          </cell>
        </row>
        <row r="62">
          <cell r="A62" t="str">
            <v>Senior Subordinated Notes</v>
          </cell>
          <cell r="AC62">
            <v>126.5</v>
          </cell>
          <cell r="AD62">
            <v>126.5</v>
          </cell>
          <cell r="AE62">
            <v>126.5</v>
          </cell>
          <cell r="AF62">
            <v>126.5</v>
          </cell>
          <cell r="AG62">
            <v>126.5</v>
          </cell>
          <cell r="AN62" t="str">
            <v>Senior Subordinated Notes</v>
          </cell>
        </row>
        <row r="63">
          <cell r="A63" t="str">
            <v>Convertible Subordinated Notes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B63">
            <v>0</v>
          </cell>
          <cell r="AC63">
            <v>16.033999999999999</v>
          </cell>
          <cell r="AD63">
            <v>16.033999999999999</v>
          </cell>
          <cell r="AE63">
            <v>16.033999999999999</v>
          </cell>
          <cell r="AF63">
            <v>16.033999999999999</v>
          </cell>
          <cell r="AG63">
            <v>16</v>
          </cell>
          <cell r="AN63" t="str">
            <v>Convertible Subordinated Notes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</row>
        <row r="64">
          <cell r="A64" t="str">
            <v xml:space="preserve">  Total Long-Term debt</v>
          </cell>
          <cell r="D64">
            <v>177.501</v>
          </cell>
          <cell r="E64">
            <v>194.59200000000001</v>
          </cell>
          <cell r="F64">
            <v>121.56699999999999</v>
          </cell>
          <cell r="G64">
            <v>122.369</v>
          </cell>
          <cell r="H64">
            <v>168.113</v>
          </cell>
          <cell r="I64">
            <v>274.8</v>
          </cell>
          <cell r="J64">
            <v>185.94900000000001</v>
          </cell>
          <cell r="K64">
            <v>187.97499999999999</v>
          </cell>
          <cell r="L64">
            <v>193.46</v>
          </cell>
          <cell r="M64">
            <v>191.43200000000002</v>
          </cell>
          <cell r="N64">
            <v>193.76599999999999</v>
          </cell>
          <cell r="O64">
            <v>292.91499999999996</v>
          </cell>
          <cell r="P64">
            <v>287.23599999999999</v>
          </cell>
          <cell r="Q64">
            <v>365.88200000000001</v>
          </cell>
          <cell r="R64">
            <v>361.41199999999998</v>
          </cell>
          <cell r="S64">
            <v>359.36200000000002</v>
          </cell>
          <cell r="T64">
            <v>328.11199999999997</v>
          </cell>
          <cell r="U64">
            <v>251.30799999999999</v>
          </cell>
          <cell r="V64">
            <v>258.68299999999999</v>
          </cell>
          <cell r="W64">
            <v>258.56900000000002</v>
          </cell>
          <cell r="X64">
            <v>375.00400000000002</v>
          </cell>
          <cell r="Y64">
            <v>375.34</v>
          </cell>
          <cell r="Z64">
            <v>513.57600000000002</v>
          </cell>
          <cell r="AA64">
            <v>483.31299999999993</v>
          </cell>
          <cell r="AB64">
            <v>480.86799999999999</v>
          </cell>
          <cell r="AC64">
            <v>623.22500000000002</v>
          </cell>
          <cell r="AD64">
            <v>623.26400000000001</v>
          </cell>
          <cell r="AE64">
            <v>517.73400000000004</v>
          </cell>
          <cell r="AF64">
            <v>364.08600000000001</v>
          </cell>
          <cell r="AG64">
            <v>561.16200000000003</v>
          </cell>
          <cell r="AN64" t="str">
            <v xml:space="preserve">  Total Long-Term debt</v>
          </cell>
          <cell r="AO64">
            <v>270.67</v>
          </cell>
          <cell r="AP64">
            <v>274.21900000000005</v>
          </cell>
          <cell r="AQ64">
            <v>256.59399999999999</v>
          </cell>
          <cell r="AR64">
            <v>258.23300000000006</v>
          </cell>
          <cell r="AS64">
            <v>186.90299999999999</v>
          </cell>
          <cell r="AT64">
            <v>168.113</v>
          </cell>
          <cell r="AU64">
            <v>193.45999999999998</v>
          </cell>
          <cell r="AV64">
            <v>385.77299999999997</v>
          </cell>
          <cell r="AW64">
            <v>328.11199999999997</v>
          </cell>
          <cell r="AX64">
            <v>375.00400000000002</v>
          </cell>
          <cell r="AY64">
            <v>594.5</v>
          </cell>
        </row>
        <row r="65">
          <cell r="M65">
            <v>228.66900000000001</v>
          </cell>
          <cell r="N65">
            <v>233.26</v>
          </cell>
          <cell r="O65">
            <v>331.76799999999997</v>
          </cell>
          <cell r="P65">
            <v>320.77</v>
          </cell>
        </row>
        <row r="66">
          <cell r="A66" t="str">
            <v>Other</v>
          </cell>
          <cell r="B66">
            <v>21.905999999999999</v>
          </cell>
          <cell r="C66">
            <v>26.219000000000001</v>
          </cell>
          <cell r="D66">
            <v>30.901</v>
          </cell>
          <cell r="E66">
            <v>21.350999999999999</v>
          </cell>
          <cell r="F66">
            <v>37.085000000000001</v>
          </cell>
          <cell r="G66">
            <v>39.549999999999997</v>
          </cell>
          <cell r="H66">
            <v>40.095999999999997</v>
          </cell>
          <cell r="I66">
            <v>42.863999999999997</v>
          </cell>
          <cell r="J66">
            <v>41.418999999999997</v>
          </cell>
          <cell r="K66">
            <v>42.442</v>
          </cell>
          <cell r="L66">
            <v>45.029000000000003</v>
          </cell>
          <cell r="M66">
            <v>37.237000000000002</v>
          </cell>
          <cell r="N66">
            <v>39.494</v>
          </cell>
          <cell r="O66">
            <v>38.853000000000002</v>
          </cell>
          <cell r="P66">
            <v>33.533999999999999</v>
          </cell>
          <cell r="Q66">
            <v>58.618000000000002</v>
          </cell>
          <cell r="R66">
            <v>31.782</v>
          </cell>
          <cell r="S66">
            <v>34.527999999999999</v>
          </cell>
          <cell r="T66">
            <v>70.826999999999998</v>
          </cell>
          <cell r="U66">
            <v>75.635000000000005</v>
          </cell>
          <cell r="V66">
            <v>80.266000000000005</v>
          </cell>
          <cell r="W66">
            <v>88.106999999999999</v>
          </cell>
          <cell r="X66">
            <v>82.450999999999993</v>
          </cell>
          <cell r="Y66">
            <v>104.328</v>
          </cell>
          <cell r="Z66">
            <v>104.277</v>
          </cell>
          <cell r="AA66">
            <v>105.746</v>
          </cell>
          <cell r="AB66">
            <v>91.790999999999997</v>
          </cell>
          <cell r="AC66">
            <v>106.13200000000001</v>
          </cell>
          <cell r="AD66">
            <v>107.508</v>
          </cell>
          <cell r="AE66">
            <v>112.125</v>
          </cell>
          <cell r="AF66">
            <v>121.28100000000001</v>
          </cell>
          <cell r="AG66">
            <v>115.40100000000001</v>
          </cell>
          <cell r="AN66" t="str">
            <v>Other</v>
          </cell>
          <cell r="AO66">
            <v>18.888999999999999</v>
          </cell>
          <cell r="AP66">
            <v>26.824999999999999</v>
          </cell>
          <cell r="AQ66">
            <v>28.257999999999999</v>
          </cell>
          <cell r="AR66">
            <v>25.664999999999999</v>
          </cell>
          <cell r="AS66">
            <v>30.901</v>
          </cell>
          <cell r="AT66">
            <v>40.095999999999997</v>
          </cell>
          <cell r="AU66">
            <v>45.029000000000003</v>
          </cell>
          <cell r="AV66">
            <v>49.156999999999996</v>
          </cell>
          <cell r="AW66">
            <v>70.826999999999998</v>
          </cell>
          <cell r="AX66">
            <v>82.450999999999993</v>
          </cell>
          <cell r="AY66">
            <v>127.23699999999999</v>
          </cell>
        </row>
        <row r="67">
          <cell r="A67" t="str">
            <v xml:space="preserve"> Total L-T Liabilities</v>
          </cell>
          <cell r="B67">
            <v>280.75900000000001</v>
          </cell>
          <cell r="C67">
            <v>276.52699999999999</v>
          </cell>
          <cell r="D67">
            <v>217.804</v>
          </cell>
          <cell r="E67">
            <v>225.62100000000001</v>
          </cell>
          <cell r="F67">
            <v>158.65199999999999</v>
          </cell>
          <cell r="G67">
            <v>161.91899999999998</v>
          </cell>
          <cell r="H67">
            <v>208.209</v>
          </cell>
          <cell r="I67">
            <v>317.66399999999999</v>
          </cell>
          <cell r="J67">
            <v>227.36799999999999</v>
          </cell>
          <cell r="K67">
            <v>230.417</v>
          </cell>
          <cell r="L67">
            <v>238.489</v>
          </cell>
          <cell r="M67">
            <v>228.66900000000001</v>
          </cell>
          <cell r="N67">
            <v>233.26</v>
          </cell>
          <cell r="O67">
            <v>331.76799999999997</v>
          </cell>
          <cell r="P67">
            <v>320.77</v>
          </cell>
          <cell r="Q67">
            <v>424.5</v>
          </cell>
          <cell r="R67">
            <v>393.19399999999996</v>
          </cell>
          <cell r="S67">
            <v>393.89</v>
          </cell>
          <cell r="T67">
            <v>398.93899999999996</v>
          </cell>
          <cell r="U67">
            <v>326.94299999999998</v>
          </cell>
          <cell r="V67">
            <v>338.94900000000001</v>
          </cell>
          <cell r="W67">
            <v>346.67600000000004</v>
          </cell>
          <cell r="X67">
            <v>457.45500000000004</v>
          </cell>
          <cell r="Y67">
            <v>479.66800000000001</v>
          </cell>
          <cell r="Z67">
            <v>617.85300000000007</v>
          </cell>
          <cell r="AA67">
            <v>589.05899999999997</v>
          </cell>
          <cell r="AB67">
            <v>572.65899999999999</v>
          </cell>
          <cell r="AC67">
            <v>729.35699999999997</v>
          </cell>
          <cell r="AD67">
            <v>730.77200000000005</v>
          </cell>
          <cell r="AE67">
            <v>629.85900000000004</v>
          </cell>
          <cell r="AF67">
            <v>485.36700000000002</v>
          </cell>
          <cell r="AG67">
            <v>676.5630000000001</v>
          </cell>
          <cell r="AN67" t="str">
            <v xml:space="preserve"> Total L-T Liabilities</v>
          </cell>
          <cell r="AO67">
            <v>289.55900000000003</v>
          </cell>
          <cell r="AP67">
            <v>301.04400000000004</v>
          </cell>
          <cell r="AQ67">
            <v>284.85199999999998</v>
          </cell>
          <cell r="AR67">
            <v>283.89800000000008</v>
          </cell>
          <cell r="AS67">
            <v>217.804</v>
          </cell>
          <cell r="AT67">
            <v>208.209</v>
          </cell>
          <cell r="AU67">
            <v>238.48899999999998</v>
          </cell>
          <cell r="AV67">
            <v>434.92999999999995</v>
          </cell>
          <cell r="AW67">
            <v>398.93899999999996</v>
          </cell>
          <cell r="AX67">
            <v>457.45500000000004</v>
          </cell>
          <cell r="AY67">
            <v>721.73900000000003</v>
          </cell>
        </row>
        <row r="68">
          <cell r="A68" t="str">
            <v>Total Liablilities</v>
          </cell>
          <cell r="M68">
            <v>662.86099999999999</v>
          </cell>
          <cell r="N68">
            <v>907.86399999999992</v>
          </cell>
          <cell r="O68">
            <v>1119.4479999999999</v>
          </cell>
          <cell r="P68">
            <v>734.26900000000001</v>
          </cell>
          <cell r="Q68">
            <v>915.221</v>
          </cell>
          <cell r="R68">
            <v>765.46100000000001</v>
          </cell>
          <cell r="S68">
            <v>951.798</v>
          </cell>
          <cell r="T68">
            <v>1182.268</v>
          </cell>
          <cell r="U68">
            <v>810.84400000000005</v>
          </cell>
          <cell r="V68">
            <v>1268.559</v>
          </cell>
          <cell r="W68">
            <v>1655.6660000000002</v>
          </cell>
          <cell r="X68">
            <v>1373.3360000000002</v>
          </cell>
          <cell r="Y68">
            <v>1256.529</v>
          </cell>
          <cell r="Z68">
            <v>1492.73</v>
          </cell>
          <cell r="AA68">
            <v>1798.0609999999999</v>
          </cell>
          <cell r="AB68">
            <v>1420.3400000000001</v>
          </cell>
          <cell r="AC68">
            <v>1437.867</v>
          </cell>
          <cell r="AD68">
            <v>1694.3850000000002</v>
          </cell>
          <cell r="AE68">
            <v>2182.384</v>
          </cell>
          <cell r="AF68">
            <v>1445.7349999999999</v>
          </cell>
          <cell r="AG68">
            <v>1625.02</v>
          </cell>
          <cell r="AN68" t="str">
            <v>Total Liablilities</v>
          </cell>
          <cell r="AO68">
            <v>521.17600000000004</v>
          </cell>
          <cell r="AP68">
            <v>556.48900000000003</v>
          </cell>
          <cell r="AQ68">
            <v>607.53800000000001</v>
          </cell>
          <cell r="AR68">
            <v>499.99700000000007</v>
          </cell>
          <cell r="AS68">
            <v>554.10299999999995</v>
          </cell>
          <cell r="AT68">
            <v>539.30899999999997</v>
          </cell>
          <cell r="AU68">
            <v>648.99399999999991</v>
          </cell>
          <cell r="AV68">
            <v>964.31899999999996</v>
          </cell>
          <cell r="AW68">
            <v>1182.268</v>
          </cell>
          <cell r="AX68">
            <v>1373.3360000000002</v>
          </cell>
          <cell r="AY68">
            <v>1789.6470000000002</v>
          </cell>
        </row>
        <row r="70">
          <cell r="A70" t="str">
            <v>Pref'd. Stock of Fin. Sub.</v>
          </cell>
          <cell r="B70">
            <v>62.5</v>
          </cell>
          <cell r="C70">
            <v>62.5</v>
          </cell>
          <cell r="D70">
            <v>62.5</v>
          </cell>
          <cell r="E70">
            <v>62.5</v>
          </cell>
          <cell r="F70">
            <v>62.5</v>
          </cell>
          <cell r="G70">
            <v>62.5</v>
          </cell>
          <cell r="H70">
            <v>62.5</v>
          </cell>
          <cell r="I70">
            <v>62.5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G70">
            <v>0</v>
          </cell>
          <cell r="AN70" t="str">
            <v>Pref'd. Stock of Fin. Sub.</v>
          </cell>
          <cell r="AO70">
            <v>9.8000000000000004E-2</v>
          </cell>
          <cell r="AP70">
            <v>9.1999999999999998E-2</v>
          </cell>
          <cell r="AQ70">
            <v>62.5</v>
          </cell>
          <cell r="AR70">
            <v>62.5</v>
          </cell>
          <cell r="AS70">
            <v>62.5</v>
          </cell>
          <cell r="AT70">
            <v>62.5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</row>
        <row r="72">
          <cell r="A72" t="str">
            <v>Shareholders' Equity:</v>
          </cell>
          <cell r="AN72" t="str">
            <v>Shareholders' Equity:</v>
          </cell>
        </row>
        <row r="73">
          <cell r="A73" t="str">
            <v xml:space="preserve"> Pref'd. Stock Series B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0.02</v>
          </cell>
          <cell r="J73">
            <v>2E-3</v>
          </cell>
          <cell r="K73">
            <v>2E-3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 t="str">
            <v>NAV</v>
          </cell>
          <cell r="R73">
            <v>0</v>
          </cell>
          <cell r="S73">
            <v>0</v>
          </cell>
          <cell r="T73">
            <v>0</v>
          </cell>
          <cell r="U73">
            <v>8.9999999999999993E-3</v>
          </cell>
          <cell r="V73">
            <v>8.9999999999999993E-3</v>
          </cell>
          <cell r="W73">
            <v>8.9999999999999993E-3</v>
          </cell>
          <cell r="X73">
            <v>0</v>
          </cell>
          <cell r="Y73">
            <v>8.9999999999999993E-3</v>
          </cell>
          <cell r="Z73">
            <v>8.9999999999999993E-3</v>
          </cell>
          <cell r="AA73">
            <v>8.9999999999999993E-3</v>
          </cell>
          <cell r="AB73">
            <v>8.9999999999999993E-3</v>
          </cell>
          <cell r="AC73">
            <v>5.0000000000000001E-3</v>
          </cell>
          <cell r="AD73">
            <v>6.0000000000000001E-3</v>
          </cell>
          <cell r="AE73">
            <v>6.0000000000000001E-3</v>
          </cell>
          <cell r="AF73">
            <v>6.0000000000000001E-3</v>
          </cell>
          <cell r="AG73">
            <v>5.4000000000000003E-3</v>
          </cell>
          <cell r="AN73" t="str">
            <v xml:space="preserve"> Pref'd. Stock Series B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0.1</v>
          </cell>
        </row>
        <row r="74">
          <cell r="A74" t="str">
            <v xml:space="preserve"> Pref'd. Stock Series C</v>
          </cell>
          <cell r="AC74">
            <v>0</v>
          </cell>
          <cell r="AD74">
            <v>7.6999999999999999E-2</v>
          </cell>
          <cell r="AE74">
            <v>7.6999999999999999E-2</v>
          </cell>
          <cell r="AF74">
            <v>7.6999999999999999E-2</v>
          </cell>
          <cell r="AG74">
            <v>0.77300000000000002</v>
          </cell>
          <cell r="AN74" t="str">
            <v xml:space="preserve"> Pref'd. Stock Series C</v>
          </cell>
        </row>
        <row r="75">
          <cell r="A75" t="str">
            <v xml:space="preserve"> Common Stock</v>
          </cell>
          <cell r="B75">
            <v>48.000999999999998</v>
          </cell>
          <cell r="C75">
            <v>48.246000000000002</v>
          </cell>
          <cell r="D75">
            <v>48.500999999999998</v>
          </cell>
          <cell r="E75">
            <v>48.63</v>
          </cell>
          <cell r="F75">
            <v>49.156999999999996</v>
          </cell>
          <cell r="G75">
            <v>49.23</v>
          </cell>
          <cell r="H75">
            <v>49.249000000000002</v>
          </cell>
          <cell r="I75">
            <v>50.313000000000002</v>
          </cell>
          <cell r="J75">
            <v>51.86</v>
          </cell>
          <cell r="K75">
            <v>51.978000000000002</v>
          </cell>
          <cell r="L75">
            <v>64.912999999999997</v>
          </cell>
          <cell r="M75">
            <v>65.021000000000001</v>
          </cell>
          <cell r="N75">
            <v>97.57</v>
          </cell>
          <cell r="O75">
            <v>97.927000000000007</v>
          </cell>
          <cell r="P75">
            <v>98.334999999999994</v>
          </cell>
          <cell r="Q75" t="str">
            <v>NAV</v>
          </cell>
          <cell r="R75">
            <v>98.334999999999994</v>
          </cell>
          <cell r="S75">
            <v>98.334999999999994</v>
          </cell>
          <cell r="T75">
            <v>172.47</v>
          </cell>
          <cell r="U75">
            <v>178.36699999999999</v>
          </cell>
          <cell r="V75">
            <v>178.36699999999999</v>
          </cell>
          <cell r="W75">
            <v>178.61099999999999</v>
          </cell>
          <cell r="X75">
            <v>223.26400000000001</v>
          </cell>
          <cell r="Y75">
            <v>223.25399999999999</v>
          </cell>
          <cell r="Z75">
            <v>223.25399999999999</v>
          </cell>
          <cell r="AA75">
            <v>223.25399999999999</v>
          </cell>
          <cell r="AB75">
            <v>279.05799999999999</v>
          </cell>
          <cell r="AC75">
            <v>279.40800000000002</v>
          </cell>
          <cell r="AD75">
            <v>279.40800000000002</v>
          </cell>
          <cell r="AE75">
            <v>279.40800000000002</v>
          </cell>
          <cell r="AF75">
            <v>279.05399999999997</v>
          </cell>
          <cell r="AG75">
            <v>296.72899999999998</v>
          </cell>
          <cell r="AN75" t="str">
            <v xml:space="preserve"> Common Stock</v>
          </cell>
          <cell r="AO75">
            <v>0</v>
          </cell>
          <cell r="AP75">
            <v>0</v>
          </cell>
          <cell r="AQ75">
            <v>0</v>
          </cell>
          <cell r="AR75">
            <v>47.853999999999999</v>
          </cell>
          <cell r="AS75">
            <v>48.500999999999998</v>
          </cell>
          <cell r="AT75">
            <v>49.249000000000002</v>
          </cell>
          <cell r="AU75">
            <v>64.912999999999997</v>
          </cell>
          <cell r="AV75">
            <v>137.36000000000001</v>
          </cell>
          <cell r="AW75">
            <v>172.47</v>
          </cell>
          <cell r="AX75">
            <v>223.26400000000001</v>
          </cell>
          <cell r="AY75">
            <v>296.08</v>
          </cell>
        </row>
        <row r="76">
          <cell r="A76" t="str">
            <v xml:space="preserve"> Add'l. Paid-in Capital </v>
          </cell>
          <cell r="B76">
            <v>65.06</v>
          </cell>
          <cell r="C76">
            <v>70.814999999999998</v>
          </cell>
          <cell r="D76">
            <v>67.537000000000006</v>
          </cell>
          <cell r="E76">
            <v>70.745000000000005</v>
          </cell>
          <cell r="F76">
            <v>81.93</v>
          </cell>
          <cell r="G76">
            <v>92.352000000000004</v>
          </cell>
          <cell r="H76">
            <v>84.296999999999997</v>
          </cell>
          <cell r="I76">
            <v>118.429</v>
          </cell>
          <cell r="J76">
            <v>128.429</v>
          </cell>
          <cell r="K76">
            <v>127.41200000000001</v>
          </cell>
          <cell r="L76">
            <v>120.04300000000001</v>
          </cell>
          <cell r="M76">
            <v>118.59699999999999</v>
          </cell>
          <cell r="N76">
            <v>87.83</v>
          </cell>
          <cell r="O76">
            <v>92.254000000000005</v>
          </cell>
          <cell r="P76">
            <v>95.299000000000007</v>
          </cell>
          <cell r="Q76" t="str">
            <v>NAV</v>
          </cell>
          <cell r="R76">
            <v>105.613</v>
          </cell>
          <cell r="S76">
            <v>104.736</v>
          </cell>
          <cell r="T76">
            <v>226.52799999999999</v>
          </cell>
          <cell r="U76">
            <v>289.91699999999997</v>
          </cell>
          <cell r="V76">
            <v>281.39</v>
          </cell>
          <cell r="W76">
            <v>283.15600000000001</v>
          </cell>
          <cell r="X76">
            <v>234.91300000000001</v>
          </cell>
          <cell r="Y76">
            <v>235.661</v>
          </cell>
          <cell r="Z76">
            <v>234.02600000000001</v>
          </cell>
          <cell r="AA76">
            <v>233.75</v>
          </cell>
          <cell r="AB76">
            <v>103.512</v>
          </cell>
          <cell r="AC76">
            <v>444.29899999999998</v>
          </cell>
          <cell r="AD76">
            <v>563.87</v>
          </cell>
          <cell r="AE76">
            <v>557.66300000000001</v>
          </cell>
          <cell r="AF76">
            <v>95.965000000000003</v>
          </cell>
          <cell r="AG76">
            <v>512.46299999999997</v>
          </cell>
          <cell r="AN76" t="str">
            <v xml:space="preserve"> Add'l. Paid-in Capital </v>
          </cell>
          <cell r="AO76">
            <v>0</v>
          </cell>
          <cell r="AP76">
            <v>0</v>
          </cell>
          <cell r="AQ76">
            <v>0</v>
          </cell>
          <cell r="AR76">
            <v>60.197000000000003</v>
          </cell>
          <cell r="AS76">
            <v>67.537000000000006</v>
          </cell>
          <cell r="AT76">
            <v>84.296999999999997</v>
          </cell>
          <cell r="AU76">
            <v>120.04300000000001</v>
          </cell>
          <cell r="AV76">
            <v>247.727</v>
          </cell>
          <cell r="AW76">
            <v>226.52799999999999</v>
          </cell>
          <cell r="AX76">
            <v>234.91300000000001</v>
          </cell>
          <cell r="AY76">
            <v>432.15</v>
          </cell>
        </row>
        <row r="77">
          <cell r="A77" t="str">
            <v xml:space="preserve"> Treasury Stock, at Cost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-0.58199999999999996</v>
          </cell>
          <cell r="G77">
            <v>-2.944</v>
          </cell>
          <cell r="H77">
            <v>-3.266</v>
          </cell>
          <cell r="I77">
            <v>-4.008</v>
          </cell>
          <cell r="J77">
            <v>-9.5619999999999994</v>
          </cell>
          <cell r="K77">
            <v>-12.063000000000001</v>
          </cell>
          <cell r="L77">
            <v>-14.938000000000001</v>
          </cell>
          <cell r="M77">
            <v>-21.172000000000001</v>
          </cell>
          <cell r="N77">
            <v>-30.067</v>
          </cell>
          <cell r="O77">
            <v>-39.698999999999998</v>
          </cell>
          <cell r="P77">
            <v>-43.097999999999999</v>
          </cell>
          <cell r="Q77" t="str">
            <v>NAV</v>
          </cell>
          <cell r="R77">
            <v>-57.176000000000002</v>
          </cell>
          <cell r="S77">
            <v>-73.617000000000004</v>
          </cell>
          <cell r="T77">
            <v>-47.35</v>
          </cell>
          <cell r="U77">
            <v>-29.108000000000001</v>
          </cell>
          <cell r="V77">
            <v>-7.6360000000000001</v>
          </cell>
          <cell r="W77">
            <v>-4.1139999999999999</v>
          </cell>
          <cell r="X77">
            <v>-53.811999999999998</v>
          </cell>
          <cell r="Y77">
            <v>-50.579000000000001</v>
          </cell>
          <cell r="Z77">
            <v>-46.655999999999999</v>
          </cell>
          <cell r="AA77">
            <v>-53.488999999999997</v>
          </cell>
          <cell r="AB77">
            <v>-75.573999999999998</v>
          </cell>
          <cell r="AC77">
            <v>-56.686999999999998</v>
          </cell>
          <cell r="AD77">
            <v>-105.154</v>
          </cell>
          <cell r="AE77">
            <v>-229.715</v>
          </cell>
          <cell r="AF77">
            <v>-215.999</v>
          </cell>
          <cell r="AG77">
            <v>-127.29900000000001</v>
          </cell>
          <cell r="AN77" t="str">
            <v xml:space="preserve"> Treasury Stock, at Cost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-3.266</v>
          </cell>
          <cell r="AU77">
            <v>-14.938000000000001</v>
          </cell>
          <cell r="AV77">
            <v>-43.097999999999999</v>
          </cell>
          <cell r="AW77">
            <v>-47.35</v>
          </cell>
          <cell r="AX77">
            <v>-53.811999999999998</v>
          </cell>
          <cell r="AY77">
            <v>-75.573999999999998</v>
          </cell>
        </row>
        <row r="78">
          <cell r="A78" t="str">
            <v xml:space="preserve"> Common Stock Warrants</v>
          </cell>
          <cell r="B78">
            <v>1</v>
          </cell>
          <cell r="C78">
            <v>1</v>
          </cell>
          <cell r="D78">
            <v>1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>
            <v>0.16700000000000001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 t="str">
            <v>NAV</v>
          </cell>
          <cell r="R78">
            <v>0</v>
          </cell>
          <cell r="S78">
            <v>0</v>
          </cell>
          <cell r="T78" t="str">
            <v>--</v>
          </cell>
          <cell r="U78" t="str">
            <v>--</v>
          </cell>
          <cell r="V78" t="str">
            <v>--</v>
          </cell>
          <cell r="AB78">
            <v>8.9999999999999993E-3</v>
          </cell>
          <cell r="AC78">
            <v>8.9999999999999993E-3</v>
          </cell>
          <cell r="AD78">
            <v>8.9999999999999993E-3</v>
          </cell>
          <cell r="AE78">
            <v>8.9999999999999993E-3</v>
          </cell>
          <cell r="AF78">
            <v>8.9999999999999993E-3</v>
          </cell>
          <cell r="AG78">
            <v>0</v>
          </cell>
          <cell r="AN78" t="str">
            <v xml:space="preserve"> Common Stock Warrants</v>
          </cell>
          <cell r="AO78" t="str">
            <v>--</v>
          </cell>
          <cell r="AP78" t="str">
            <v>--</v>
          </cell>
          <cell r="AQ78" t="str">
            <v>--</v>
          </cell>
          <cell r="AR78">
            <v>1</v>
          </cell>
          <cell r="AS78">
            <v>1</v>
          </cell>
          <cell r="AT78">
            <v>1</v>
          </cell>
          <cell r="AU78" t="str">
            <v>--</v>
          </cell>
          <cell r="AV78" t="str">
            <v>--</v>
          </cell>
          <cell r="AW78" t="str">
            <v>--</v>
          </cell>
          <cell r="AX78">
            <v>0</v>
          </cell>
          <cell r="AY78">
            <v>0</v>
          </cell>
        </row>
        <row r="79">
          <cell r="A79" t="str">
            <v xml:space="preserve"> Retained Earnings</v>
          </cell>
          <cell r="B79">
            <v>56.814999999999998</v>
          </cell>
          <cell r="C79">
            <v>94.852000000000004</v>
          </cell>
          <cell r="D79">
            <v>104.575</v>
          </cell>
          <cell r="E79">
            <v>113.002</v>
          </cell>
          <cell r="F79">
            <v>131.816</v>
          </cell>
          <cell r="G79">
            <v>178.15700000000001</v>
          </cell>
          <cell r="H79">
            <v>191.34</v>
          </cell>
          <cell r="I79">
            <v>194.21299999999999</v>
          </cell>
          <cell r="J79">
            <v>208.179</v>
          </cell>
          <cell r="K79">
            <v>262.30799999999999</v>
          </cell>
          <cell r="L79">
            <v>287.31</v>
          </cell>
          <cell r="M79">
            <v>296.58699999999999</v>
          </cell>
          <cell r="N79">
            <v>314.04199999999997</v>
          </cell>
          <cell r="O79">
            <v>378.13299999999998</v>
          </cell>
          <cell r="P79">
            <v>407.77199999999999</v>
          </cell>
          <cell r="Q79" t="str">
            <v>NAV</v>
          </cell>
          <cell r="R79">
            <v>461.67599999999999</v>
          </cell>
          <cell r="S79">
            <v>538.654</v>
          </cell>
          <cell r="T79">
            <v>532.00300000000004</v>
          </cell>
          <cell r="U79">
            <v>544.21199999999999</v>
          </cell>
          <cell r="V79">
            <v>589.40200000000004</v>
          </cell>
          <cell r="W79">
            <v>709.35900000000004</v>
          </cell>
          <cell r="X79">
            <v>737.52800000000002</v>
          </cell>
          <cell r="Y79">
            <v>749.92700000000002</v>
          </cell>
          <cell r="Z79">
            <v>803.05</v>
          </cell>
          <cell r="AA79">
            <v>939.99199999999996</v>
          </cell>
          <cell r="AB79">
            <v>1041.7349999999999</v>
          </cell>
          <cell r="AC79">
            <v>997.702</v>
          </cell>
          <cell r="AD79">
            <v>1043.6869999999999</v>
          </cell>
          <cell r="AE79">
            <v>1205.856</v>
          </cell>
          <cell r="AF79">
            <v>1353.5509999999999</v>
          </cell>
          <cell r="AG79">
            <v>1069.971</v>
          </cell>
          <cell r="AN79" t="str">
            <v xml:space="preserve"> Retained Earnings</v>
          </cell>
          <cell r="AO79">
            <v>0</v>
          </cell>
          <cell r="AP79">
            <v>0</v>
          </cell>
          <cell r="AQ79">
            <v>0</v>
          </cell>
          <cell r="AR79">
            <v>35.923999999999999</v>
          </cell>
          <cell r="AS79">
            <v>104.575</v>
          </cell>
          <cell r="AT79">
            <v>191.34</v>
          </cell>
          <cell r="AU79">
            <v>287.31</v>
          </cell>
          <cell r="AV79">
            <v>448.6</v>
          </cell>
          <cell r="AW79">
            <v>532.00300000000004</v>
          </cell>
          <cell r="AX79">
            <v>737.52800000000002</v>
          </cell>
          <cell r="AY79">
            <v>994.64499999999998</v>
          </cell>
        </row>
        <row r="80">
          <cell r="A80" t="str">
            <v xml:space="preserve"> Currency Translation Adj.</v>
          </cell>
          <cell r="B80">
            <v>-18.670000000000002</v>
          </cell>
          <cell r="C80">
            <v>-15.212</v>
          </cell>
          <cell r="D80">
            <v>-7.9429999999999996</v>
          </cell>
          <cell r="E80">
            <v>-7.1180000000000003</v>
          </cell>
          <cell r="F80">
            <v>-3.581</v>
          </cell>
          <cell r="G80">
            <v>2.625</v>
          </cell>
          <cell r="H80">
            <v>5.3460000000000001</v>
          </cell>
          <cell r="I80">
            <v>-10.763</v>
          </cell>
          <cell r="J80">
            <v>-19.061</v>
          </cell>
          <cell r="K80">
            <v>-6.4630000000000001</v>
          </cell>
          <cell r="L80">
            <v>6.23</v>
          </cell>
          <cell r="M80">
            <v>-6.2960000000000003</v>
          </cell>
          <cell r="N80">
            <v>6.2350000000000003</v>
          </cell>
          <cell r="O80">
            <v>3.258</v>
          </cell>
          <cell r="P80">
            <v>-23.873999999999999</v>
          </cell>
          <cell r="Q80" t="str">
            <v>NAV</v>
          </cell>
          <cell r="R80">
            <v>-35.363</v>
          </cell>
          <cell r="S80">
            <v>-34.194000000000003</v>
          </cell>
          <cell r="T80">
            <v>-49.347999999999999</v>
          </cell>
          <cell r="U80">
            <v>-47.002000000000002</v>
          </cell>
          <cell r="V80">
            <v>-34.776000000000003</v>
          </cell>
          <cell r="W80">
            <v>-24.948</v>
          </cell>
          <cell r="X80">
            <v>-56.212000000000003</v>
          </cell>
          <cell r="Y80">
            <v>-56.034999999999997</v>
          </cell>
          <cell r="Z80">
            <v>-54.453000000000003</v>
          </cell>
          <cell r="AA80">
            <v>-60.186</v>
          </cell>
          <cell r="AB80">
            <v>-73.561999999999998</v>
          </cell>
          <cell r="AC80">
            <v>-97.683000000000007</v>
          </cell>
          <cell r="AD80">
            <v>-98.581000000000003</v>
          </cell>
          <cell r="AE80">
            <v>-96.379000000000005</v>
          </cell>
          <cell r="AF80">
            <v>-64.787999999999997</v>
          </cell>
          <cell r="AG80">
            <v>-115.997</v>
          </cell>
          <cell r="AN80" t="str">
            <v xml:space="preserve"> Currency Translation Adj.</v>
          </cell>
          <cell r="AO80">
            <v>0</v>
          </cell>
          <cell r="AP80">
            <v>0</v>
          </cell>
          <cell r="AQ80">
            <v>0</v>
          </cell>
          <cell r="AR80">
            <v>-14.115</v>
          </cell>
          <cell r="AS80">
            <v>-7.9429999999999996</v>
          </cell>
          <cell r="AT80">
            <v>5.3460000000000001</v>
          </cell>
          <cell r="AU80">
            <v>6.23</v>
          </cell>
          <cell r="AV80">
            <v>-28.172000000000001</v>
          </cell>
          <cell r="AW80">
            <v>-49.347999999999999</v>
          </cell>
          <cell r="AX80">
            <v>-56.212000000000003</v>
          </cell>
          <cell r="AY80">
            <v>-95.673000000000002</v>
          </cell>
        </row>
        <row r="81">
          <cell r="A81" t="str">
            <v xml:space="preserve"> Note Receivable From ESOP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-17.03</v>
          </cell>
          <cell r="J81">
            <v>-15.8</v>
          </cell>
          <cell r="K81">
            <v>-14.57</v>
          </cell>
          <cell r="L81">
            <v>-13.34</v>
          </cell>
          <cell r="M81">
            <v>-12.11</v>
          </cell>
          <cell r="N81">
            <v>-10.88</v>
          </cell>
          <cell r="O81">
            <v>-9.65</v>
          </cell>
          <cell r="P81">
            <v>-8.42</v>
          </cell>
          <cell r="Q81" t="str">
            <v>NAV</v>
          </cell>
          <cell r="R81">
            <v>-5.96</v>
          </cell>
          <cell r="S81">
            <v>-4.7300000000000004</v>
          </cell>
          <cell r="T81">
            <v>-3.5</v>
          </cell>
          <cell r="U81">
            <v>-2.27</v>
          </cell>
          <cell r="V81">
            <v>-1.04</v>
          </cell>
          <cell r="W81" t="str">
            <v>-</v>
          </cell>
          <cell r="X81" t="str">
            <v>-</v>
          </cell>
          <cell r="Y81" t="str">
            <v>-</v>
          </cell>
          <cell r="AN81" t="str">
            <v xml:space="preserve"> Note Receivable From ESOP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-13.34</v>
          </cell>
          <cell r="AV81">
            <v>-8.42</v>
          </cell>
          <cell r="AW81">
            <v>-3.5</v>
          </cell>
          <cell r="AX81">
            <v>0</v>
          </cell>
          <cell r="AY81">
            <v>0</v>
          </cell>
        </row>
        <row r="82">
          <cell r="A82" t="str">
            <v xml:space="preserve"> Deferred Compensation</v>
          </cell>
          <cell r="T82">
            <v>-13.003</v>
          </cell>
          <cell r="U82">
            <v>-13.675000000000001</v>
          </cell>
          <cell r="V82">
            <v>-12.555</v>
          </cell>
          <cell r="W82">
            <v>-12.079000000000001</v>
          </cell>
          <cell r="X82" t="str">
            <v>-</v>
          </cell>
          <cell r="Y82" t="str">
            <v>-</v>
          </cell>
          <cell r="AN82" t="str">
            <v xml:space="preserve"> Deferred Compensation</v>
          </cell>
          <cell r="AO82">
            <v>5.3129999999999997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 t="str">
            <v>--</v>
          </cell>
          <cell r="AV82">
            <v>-5.65</v>
          </cell>
          <cell r="AW82">
            <v>-13.003</v>
          </cell>
          <cell r="AX82">
            <v>0</v>
          </cell>
          <cell r="AY82">
            <v>0</v>
          </cell>
        </row>
        <row r="83">
          <cell r="A83" t="str">
            <v>Total Shrhldrs.' Equity</v>
          </cell>
          <cell r="B83">
            <v>152.20600000000002</v>
          </cell>
          <cell r="C83">
            <v>199.70100000000002</v>
          </cell>
          <cell r="D83">
            <v>213.67</v>
          </cell>
          <cell r="E83">
            <v>226.25900000000001</v>
          </cell>
          <cell r="F83">
            <v>259.74</v>
          </cell>
          <cell r="G83">
            <v>320.42</v>
          </cell>
          <cell r="H83">
            <v>327.96600000000001</v>
          </cell>
          <cell r="I83">
            <v>332.17399999999998</v>
          </cell>
          <cell r="J83">
            <v>344.214</v>
          </cell>
          <cell r="K83">
            <v>408.60399999999998</v>
          </cell>
          <cell r="L83">
            <v>450.21800000000007</v>
          </cell>
          <cell r="M83">
            <v>440.62700000000001</v>
          </cell>
          <cell r="N83">
            <v>464.72999999999996</v>
          </cell>
          <cell r="O83">
            <v>522.23199999999997</v>
          </cell>
          <cell r="P83">
            <v>526.01400000000001</v>
          </cell>
          <cell r="Q83">
            <v>758.32799999999997</v>
          </cell>
          <cell r="R83">
            <v>567.13400000000001</v>
          </cell>
          <cell r="S83">
            <v>629.19299999999998</v>
          </cell>
          <cell r="T83">
            <v>817.80000000000007</v>
          </cell>
          <cell r="U83">
            <v>920.45</v>
          </cell>
          <cell r="V83">
            <v>993.16099999999994</v>
          </cell>
          <cell r="W83">
            <v>1129.9939999999999</v>
          </cell>
          <cell r="X83">
            <v>1085.681</v>
          </cell>
          <cell r="Y83">
            <v>1102.2369999999999</v>
          </cell>
          <cell r="Z83">
            <v>1159.23</v>
          </cell>
          <cell r="AA83">
            <v>1283.3300000000002</v>
          </cell>
          <cell r="AB83">
            <v>1275.1690000000001</v>
          </cell>
          <cell r="AC83">
            <v>1567.0439999999999</v>
          </cell>
          <cell r="AD83">
            <v>1683.3130000000001</v>
          </cell>
          <cell r="AE83">
            <v>1716.9160000000002</v>
          </cell>
          <cell r="AF83">
            <v>1447.866</v>
          </cell>
          <cell r="AG83">
            <v>1636.694</v>
          </cell>
          <cell r="AN83" t="str">
            <v>Total Shrhldrs.' Equity</v>
          </cell>
          <cell r="AO83">
            <v>198.131</v>
          </cell>
          <cell r="AP83">
            <v>128.16</v>
          </cell>
          <cell r="AQ83">
            <v>104.536</v>
          </cell>
          <cell r="AR83">
            <v>130.85999999999999</v>
          </cell>
          <cell r="AS83">
            <v>213.67</v>
          </cell>
          <cell r="AT83">
            <v>327.96600000000001</v>
          </cell>
          <cell r="AU83">
            <v>450.21800000000007</v>
          </cell>
          <cell r="AV83">
            <v>748.35599999999999</v>
          </cell>
          <cell r="AW83">
            <v>817.80899999999997</v>
          </cell>
          <cell r="AX83">
            <v>1085.681</v>
          </cell>
          <cell r="AY83">
            <v>1551.7279999999998</v>
          </cell>
        </row>
        <row r="85">
          <cell r="A85" t="str">
            <v>Total Liab. and Stkhldrs.' Equ.:</v>
          </cell>
          <cell r="B85">
            <v>762.53000000000009</v>
          </cell>
          <cell r="C85">
            <v>920.66100000000006</v>
          </cell>
          <cell r="D85">
            <v>830.27299999999991</v>
          </cell>
          <cell r="E85">
            <v>759.178</v>
          </cell>
          <cell r="F85">
            <v>933.95699999999999</v>
          </cell>
          <cell r="G85">
            <v>1128.104</v>
          </cell>
          <cell r="H85">
            <v>929.77499999999998</v>
          </cell>
          <cell r="I85">
            <v>984.6389999999999</v>
          </cell>
          <cell r="J85">
            <v>1024.7069999999999</v>
          </cell>
          <cell r="K85">
            <v>1398.777</v>
          </cell>
          <cell r="L85">
            <v>1099.212</v>
          </cell>
          <cell r="M85">
            <v>1103.4880000000001</v>
          </cell>
          <cell r="N85">
            <v>1372.5939999999998</v>
          </cell>
          <cell r="O85">
            <v>1641.6799999999998</v>
          </cell>
          <cell r="P85">
            <v>1260.2829999999999</v>
          </cell>
          <cell r="Q85">
            <v>1673.549</v>
          </cell>
          <cell r="R85">
            <v>1332.595</v>
          </cell>
          <cell r="S85">
            <v>1580.991</v>
          </cell>
          <cell r="T85">
            <v>2000.068</v>
          </cell>
          <cell r="U85">
            <v>1731.2940000000001</v>
          </cell>
          <cell r="V85">
            <v>2261.7199999999998</v>
          </cell>
          <cell r="W85">
            <v>2785.66</v>
          </cell>
          <cell r="X85">
            <v>2459.0169999999998</v>
          </cell>
          <cell r="Y85">
            <v>2358.7659999999996</v>
          </cell>
          <cell r="Z85">
            <v>2651.96</v>
          </cell>
          <cell r="AA85">
            <v>3081.3910000000001</v>
          </cell>
          <cell r="AB85">
            <v>2695.509</v>
          </cell>
          <cell r="AC85">
            <v>3004.9110000000001</v>
          </cell>
          <cell r="AD85">
            <v>3377.6980000000003</v>
          </cell>
          <cell r="AE85">
            <v>3899.3</v>
          </cell>
          <cell r="AF85">
            <v>2893.6009999999997</v>
          </cell>
          <cell r="AG85">
            <v>3261.7139999999999</v>
          </cell>
          <cell r="AN85" t="str">
            <v>Total Liab. and Stkhldrs.' Equ.:</v>
          </cell>
          <cell r="AO85">
            <v>724.62</v>
          </cell>
          <cell r="AP85">
            <v>684.649</v>
          </cell>
          <cell r="AQ85">
            <v>774.57400000000007</v>
          </cell>
          <cell r="AR85">
            <v>693.35700000000008</v>
          </cell>
          <cell r="AS85">
            <v>830.27299999999991</v>
          </cell>
          <cell r="AT85">
            <v>929.77499999999998</v>
          </cell>
          <cell r="AU85">
            <v>1099.212</v>
          </cell>
          <cell r="AV85">
            <v>1712.675</v>
          </cell>
          <cell r="AW85">
            <v>2000.077</v>
          </cell>
          <cell r="AX85">
            <v>2459.0170000000003</v>
          </cell>
          <cell r="AY85">
            <v>3341.375</v>
          </cell>
        </row>
        <row r="87">
          <cell r="AN87" t="str">
            <v>R= Restated for Tyco acquisition</v>
          </cell>
        </row>
        <row r="88">
          <cell r="A88" t="str">
            <v>Capital Structure &amp; Liquidity Ratios</v>
          </cell>
          <cell r="AN88" t="str">
            <v>Capital Structure &amp; Liquidity Ratios</v>
          </cell>
        </row>
        <row r="89">
          <cell r="A89" t="str">
            <v>Total Debt</v>
          </cell>
          <cell r="Q89">
            <v>447.20499999999998</v>
          </cell>
          <cell r="R89">
            <v>411.81299999999999</v>
          </cell>
          <cell r="S89">
            <v>434.28000000000003</v>
          </cell>
          <cell r="T89">
            <v>432.97399999999993</v>
          </cell>
          <cell r="U89">
            <v>255.34899999999999</v>
          </cell>
          <cell r="V89">
            <v>604.31000000000006</v>
          </cell>
          <cell r="W89">
            <v>738.83600000000001</v>
          </cell>
          <cell r="X89">
            <v>378.09900000000005</v>
          </cell>
          <cell r="Y89">
            <v>545.70699999999999</v>
          </cell>
          <cell r="Z89">
            <v>713.18</v>
          </cell>
          <cell r="AA89">
            <v>758.64199999999994</v>
          </cell>
          <cell r="AB89">
            <v>529.60299999999995</v>
          </cell>
          <cell r="AC89">
            <v>708.69299999999998</v>
          </cell>
          <cell r="AD89">
            <v>889.51800000000003</v>
          </cell>
          <cell r="AE89">
            <v>1047.248</v>
          </cell>
          <cell r="AF89">
            <v>490.64000000000004</v>
          </cell>
          <cell r="AG89">
            <v>683.42000000000007</v>
          </cell>
          <cell r="AN89" t="str">
            <v>Total Debt</v>
          </cell>
          <cell r="AO89">
            <v>298.19499999999999</v>
          </cell>
          <cell r="AP89">
            <v>311.82700000000006</v>
          </cell>
          <cell r="AQ89">
            <v>366.11700000000002</v>
          </cell>
          <cell r="AR89">
            <v>269.6040000000001</v>
          </cell>
          <cell r="AS89">
            <v>227.98899999999998</v>
          </cell>
          <cell r="AT89">
            <v>169.24699999999999</v>
          </cell>
          <cell r="AU89">
            <v>199.16499999999999</v>
          </cell>
          <cell r="AV89">
            <v>408.08799999999997</v>
          </cell>
          <cell r="AW89">
            <v>432.97399999999993</v>
          </cell>
          <cell r="AX89">
            <v>378.09900000000005</v>
          </cell>
          <cell r="AY89">
            <v>704.59399999999994</v>
          </cell>
        </row>
        <row r="90">
          <cell r="A90" t="str">
            <v>Debt/Equity</v>
          </cell>
          <cell r="D90">
            <v>0.83072494968877253</v>
          </cell>
          <cell r="E90">
            <v>0.86004092654877817</v>
          </cell>
          <cell r="F90">
            <v>1.2822052822052821</v>
          </cell>
          <cell r="G90">
            <v>1.1351850695961549</v>
          </cell>
          <cell r="H90">
            <v>0.51605044425336766</v>
          </cell>
          <cell r="I90">
            <v>0.98186492621337029</v>
          </cell>
          <cell r="J90">
            <v>1.168668328423597</v>
          </cell>
          <cell r="K90">
            <v>1.3483690810662645</v>
          </cell>
          <cell r="L90">
            <v>0.44237458297980087</v>
          </cell>
          <cell r="M90">
            <v>0.74443463519030839</v>
          </cell>
          <cell r="N90">
            <v>1.20766896907882</v>
          </cell>
          <cell r="O90">
            <v>1.2648784448291184</v>
          </cell>
          <cell r="P90">
            <v>0.56300782868897015</v>
          </cell>
          <cell r="Q90">
            <v>0.58972502663755</v>
          </cell>
          <cell r="R90">
            <v>0.72612997986366534</v>
          </cell>
          <cell r="S90">
            <v>0.69021746904367987</v>
          </cell>
          <cell r="T90">
            <v>0.52943751528491056</v>
          </cell>
          <cell r="U90">
            <v>0.27741756749416047</v>
          </cell>
          <cell r="V90">
            <v>0.60847133546323318</v>
          </cell>
          <cell r="W90">
            <v>0.65384063986180463</v>
          </cell>
          <cell r="X90">
            <v>0.34825975585830465</v>
          </cell>
          <cell r="Y90">
            <v>0.3428364317292924</v>
          </cell>
          <cell r="Z90">
            <v>0.61521872277287504</v>
          </cell>
          <cell r="AA90">
            <v>0.59115114584713191</v>
          </cell>
          <cell r="AB90">
            <v>0.4153198517216149</v>
          </cell>
          <cell r="AC90">
            <v>0.45224830955608142</v>
          </cell>
          <cell r="AD90">
            <v>0.52843291770455048</v>
          </cell>
          <cell r="AE90">
            <v>0.60995878656847502</v>
          </cell>
          <cell r="AF90">
            <v>0.3388711386274697</v>
          </cell>
          <cell r="AG90">
            <v>0.41756125457782584</v>
          </cell>
          <cell r="AN90" t="str">
            <v>Debt/Equity</v>
          </cell>
          <cell r="AO90">
            <v>1.505039595015419</v>
          </cell>
          <cell r="AP90">
            <v>2.4331070536828969</v>
          </cell>
          <cell r="AQ90">
            <v>3.502305425881993</v>
          </cell>
          <cell r="AR90">
            <v>2.0602475928473187</v>
          </cell>
          <cell r="AS90">
            <v>1.0670145551551458</v>
          </cell>
          <cell r="AT90">
            <v>0.51605044425336766</v>
          </cell>
          <cell r="AU90">
            <v>0.44237458297980081</v>
          </cell>
          <cell r="AV90">
            <v>0.54531265868116241</v>
          </cell>
          <cell r="AW90">
            <v>0.5294316888173155</v>
          </cell>
          <cell r="AX90">
            <v>0.34825975585830465</v>
          </cell>
          <cell r="AY90">
            <v>0.45407055875772045</v>
          </cell>
        </row>
        <row r="91">
          <cell r="A91" t="str">
            <v>Net  Debt/Total Capital</v>
          </cell>
          <cell r="D91">
            <v>2.0110721168193887E-2</v>
          </cell>
          <cell r="E91">
            <v>0.2939545129714739</v>
          </cell>
          <cell r="F91">
            <v>0.48379499983130336</v>
          </cell>
          <cell r="G91">
            <v>0.45146720923298195</v>
          </cell>
          <cell r="H91">
            <v>-3.7137001647181402E-2</v>
          </cell>
          <cell r="I91">
            <v>0.24096037817245006</v>
          </cell>
          <cell r="J91">
            <v>0.46280305323877474</v>
          </cell>
          <cell r="K91">
            <v>0.53226971308515536</v>
          </cell>
          <cell r="L91">
            <v>1.162642077171752E-3</v>
          </cell>
          <cell r="M91">
            <v>0.35321247129689259</v>
          </cell>
          <cell r="N91">
            <v>0.51291363295223058</v>
          </cell>
          <cell r="O91">
            <v>0.54293896219718929</v>
          </cell>
          <cell r="P91">
            <v>1.8292983767823295E-3</v>
          </cell>
          <cell r="Q91">
            <v>0.27254657813096556</v>
          </cell>
          <cell r="R91">
            <v>0.3779024360279406</v>
          </cell>
          <cell r="S91">
            <v>0.3789814669505302</v>
          </cell>
          <cell r="T91">
            <v>-9.8217846778601348E-2</v>
          </cell>
          <cell r="U91">
            <v>7.236827518649383E-2</v>
          </cell>
          <cell r="V91">
            <v>0.33779068643237731</v>
          </cell>
          <cell r="W91">
            <v>0.36609961264553842</v>
          </cell>
          <cell r="X91">
            <v>0.11349821994316886</v>
          </cell>
          <cell r="Y91">
            <v>0.2997139101424986</v>
          </cell>
          <cell r="Z91">
            <v>0.35574281064930907</v>
          </cell>
          <cell r="AA91">
            <v>0.34448762891705831</v>
          </cell>
          <cell r="AB91">
            <v>4.7450119146329586E-2</v>
          </cell>
          <cell r="AC91">
            <v>0.29019192363458635</v>
          </cell>
          <cell r="AD91">
            <v>0.32147321365588605</v>
          </cell>
          <cell r="AE91">
            <v>0.34897241055042394</v>
          </cell>
          <cell r="AF91">
            <v>-6.9442464292941881E-3</v>
          </cell>
          <cell r="AG91">
            <v>0.24765439873497733</v>
          </cell>
          <cell r="AN91" t="str">
            <v>Net  Debt/Total Capital</v>
          </cell>
          <cell r="AO91">
            <v>0.39749426021377848</v>
          </cell>
          <cell r="AP91">
            <v>0.63503711993712253</v>
          </cell>
          <cell r="AQ91">
            <v>0.73401794824168809</v>
          </cell>
          <cell r="AR91">
            <v>0.56808174958907387</v>
          </cell>
          <cell r="AS91">
            <v>7.8074774016784129E-2</v>
          </cell>
          <cell r="AT91">
            <v>-5.9660550369788803E-2</v>
          </cell>
          <cell r="AU91">
            <v>1.6741578764138769E-3</v>
          </cell>
          <cell r="AV91">
            <v>0.11200817323266302</v>
          </cell>
          <cell r="AW91">
            <v>-9.8216659728470435E-2</v>
          </cell>
          <cell r="AX91">
            <v>0.11349821994316886</v>
          </cell>
          <cell r="AY91">
            <v>0.11965488053120439</v>
          </cell>
        </row>
        <row r="92">
          <cell r="A92" t="str">
            <v>Debt/Total Capital</v>
          </cell>
          <cell r="Q92">
            <v>0.37096039677055709</v>
          </cell>
          <cell r="R92">
            <v>0.4206693518648098</v>
          </cell>
          <cell r="S92">
            <v>0.40836015582906199</v>
          </cell>
          <cell r="T92">
            <v>0.34616485472195613</v>
          </cell>
          <cell r="U92">
            <v>0.21717062184948277</v>
          </cell>
          <cell r="V92">
            <v>0.37829168729823581</v>
          </cell>
          <cell r="W92">
            <v>0.39534682127320303</v>
          </cell>
          <cell r="X92">
            <v>0.25830316031097567</v>
          </cell>
          <cell r="Y92">
            <v>0.33114414082031912</v>
          </cell>
          <cell r="Z92">
            <v>0.38088880106386958</v>
          </cell>
          <cell r="AA92">
            <v>0.37152419327982944</v>
          </cell>
          <cell r="AB92">
            <v>0.29344593112038525</v>
          </cell>
          <cell r="AC92">
            <v>0.31141252262453878</v>
          </cell>
          <cell r="AD92">
            <v>0.34573510658103856</v>
          </cell>
          <cell r="AE92">
            <v>0.37886608754039197</v>
          </cell>
          <cell r="AF92">
            <v>0.25310213122889486</v>
          </cell>
          <cell r="AG92">
            <v>0.29456311198501456</v>
          </cell>
          <cell r="AN92" t="str">
            <v>Debt/Total Capital</v>
          </cell>
          <cell r="AO92">
            <v>0.6008047130313543</v>
          </cell>
          <cell r="AP92">
            <v>0.70871866668787942</v>
          </cell>
          <cell r="AQ92">
            <v>0.77789156767299905</v>
          </cell>
          <cell r="AR92">
            <v>0.67322905429701563</v>
          </cell>
          <cell r="AS92">
            <v>0.51621047006853704</v>
          </cell>
          <cell r="AT92">
            <v>0.34039134133661025</v>
          </cell>
          <cell r="AU92">
            <v>0.30669882026477435</v>
          </cell>
          <cell r="AV92">
            <v>0.35288176513519026</v>
          </cell>
          <cell r="AW92">
            <v>0.34616236389525601</v>
          </cell>
          <cell r="AX92">
            <v>0.25830316031097567</v>
          </cell>
          <cell r="AY92">
            <v>0.31227546422895314</v>
          </cell>
        </row>
        <row r="93">
          <cell r="A93" t="str">
            <v>Working Capital</v>
          </cell>
          <cell r="D93">
            <v>266.95799999999997</v>
          </cell>
          <cell r="E93">
            <v>284.39400000000001</v>
          </cell>
          <cell r="F93">
            <v>224.51499999999993</v>
          </cell>
          <cell r="G93">
            <v>264.56700000000012</v>
          </cell>
          <cell r="H93">
            <v>296.13500000000005</v>
          </cell>
          <cell r="I93">
            <v>400.34899999999999</v>
          </cell>
          <cell r="J93">
            <v>253.04999999999995</v>
          </cell>
          <cell r="K93">
            <v>252.39100000000008</v>
          </cell>
          <cell r="L93">
            <v>315.78300000000002</v>
          </cell>
          <cell r="M93">
            <v>303.14700000000005</v>
          </cell>
          <cell r="N93">
            <v>323.82000000000005</v>
          </cell>
          <cell r="O93">
            <v>473.56600000000014</v>
          </cell>
          <cell r="P93">
            <v>458.99999999999989</v>
          </cell>
          <cell r="Q93">
            <v>658.31999999999994</v>
          </cell>
          <cell r="R93">
            <v>571.94200000000001</v>
          </cell>
          <cell r="S93">
            <v>639.29699999999991</v>
          </cell>
          <cell r="T93">
            <v>687.42100000000005</v>
          </cell>
          <cell r="U93">
            <v>715.62699999999995</v>
          </cell>
          <cell r="V93">
            <v>540.5379999999999</v>
          </cell>
          <cell r="W93">
            <v>569.36600000000021</v>
          </cell>
          <cell r="X93">
            <v>627.64199999999983</v>
          </cell>
          <cell r="Y93">
            <v>630.77699999999993</v>
          </cell>
          <cell r="Z93">
            <v>789.1840000000002</v>
          </cell>
          <cell r="AA93">
            <v>869.99200000000019</v>
          </cell>
          <cell r="AB93">
            <v>843.13800000000015</v>
          </cell>
          <cell r="AC93">
            <v>949.90899999999988</v>
          </cell>
          <cell r="AD93">
            <v>1052.6720000000003</v>
          </cell>
          <cell r="AE93">
            <v>954.12599999999998</v>
          </cell>
          <cell r="AF93">
            <v>810.47299999999996</v>
          </cell>
          <cell r="AG93">
            <v>880.16399999999999</v>
          </cell>
          <cell r="AN93" t="str">
            <v>Working Capital</v>
          </cell>
          <cell r="AO93">
            <v>393.47799999999995</v>
          </cell>
          <cell r="AP93">
            <v>281.33200000000005</v>
          </cell>
          <cell r="AQ93">
            <v>223.74900000000008</v>
          </cell>
          <cell r="AR93">
            <v>271.41599999999994</v>
          </cell>
          <cell r="AS93">
            <v>266.95799999999997</v>
          </cell>
          <cell r="AT93">
            <v>296.13500000000005</v>
          </cell>
          <cell r="AU93">
            <v>315.78300000000002</v>
          </cell>
          <cell r="AV93">
            <v>661.85399999999993</v>
          </cell>
          <cell r="AW93">
            <v>687.42100000000005</v>
          </cell>
          <cell r="AX93">
            <v>627.64199999999983</v>
          </cell>
          <cell r="AY93">
            <v>947.0319999999997</v>
          </cell>
        </row>
        <row r="94">
          <cell r="A94" t="str">
            <v>Working Capital Ratio</v>
          </cell>
          <cell r="D94">
            <v>1.7938114594453149</v>
          </cell>
          <cell r="E94">
            <v>2.1617496874974469</v>
          </cell>
          <cell r="F94">
            <v>1.4955469965678212</v>
          </cell>
          <cell r="G94">
            <v>1.4535965641689457</v>
          </cell>
          <cell r="H94">
            <v>1.8943974630021143</v>
          </cell>
          <cell r="I94">
            <v>2.4702443252136423</v>
          </cell>
          <cell r="J94">
            <v>1.5584551724137929</v>
          </cell>
          <cell r="K94">
            <v>1.3322000747608445</v>
          </cell>
          <cell r="L94">
            <v>1.7692549420835313</v>
          </cell>
          <cell r="M94">
            <v>1.6981865165641008</v>
          </cell>
          <cell r="N94">
            <v>1.4800149420993651</v>
          </cell>
          <cell r="O94">
            <v>1.601216229941093</v>
          </cell>
          <cell r="P94">
            <v>2.1100389601909555</v>
          </cell>
          <cell r="Q94">
            <v>2.3415362293441691</v>
          </cell>
          <cell r="R94">
            <v>2.536375773302495</v>
          </cell>
          <cell r="S94">
            <v>2.1458824752468146</v>
          </cell>
          <cell r="T94">
            <v>1.8775635780112827</v>
          </cell>
          <cell r="U94">
            <v>2.4788706780932461</v>
          </cell>
          <cell r="V94">
            <v>1.5814674971224492</v>
          </cell>
          <cell r="W94">
            <v>1.4349658897317781</v>
          </cell>
          <cell r="X94">
            <v>1.6852877175091521</v>
          </cell>
          <cell r="Y94">
            <v>1.8119560642122592</v>
          </cell>
          <cell r="Z94">
            <v>1.9020513740788707</v>
          </cell>
          <cell r="AA94">
            <v>1.719595170231315</v>
          </cell>
          <cell r="AB94">
            <v>1.9946406726115131</v>
          </cell>
          <cell r="AC94">
            <v>2.3407136102525015</v>
          </cell>
          <cell r="AD94">
            <v>2.0924219577776557</v>
          </cell>
          <cell r="AE94">
            <v>1.614564016682501</v>
          </cell>
          <cell r="AF94">
            <v>1.8439192059710445</v>
          </cell>
          <cell r="AG94">
            <v>1.927995681406748</v>
          </cell>
          <cell r="AN94" t="str">
            <v>Working Capital Ratio</v>
          </cell>
          <cell r="AO94">
            <v>2.6988303967325367</v>
          </cell>
          <cell r="AP94">
            <v>2.1013407974319329</v>
          </cell>
          <cell r="AQ94">
            <v>1.6933954370502597</v>
          </cell>
          <cell r="AR94">
            <v>2.2559798981022583</v>
          </cell>
          <cell r="AS94">
            <v>1.7938114594453149</v>
          </cell>
          <cell r="AT94">
            <v>1.8943974630021143</v>
          </cell>
          <cell r="AU94">
            <v>1.7692549420835313</v>
          </cell>
          <cell r="AV94">
            <v>2.2502224262309944</v>
          </cell>
          <cell r="AW94">
            <v>1.8775635780112827</v>
          </cell>
          <cell r="AX94">
            <v>1.6852877175091521</v>
          </cell>
          <cell r="AY94">
            <v>1.8868104743105207</v>
          </cell>
        </row>
        <row r="95">
          <cell r="A95" t="str">
            <v xml:space="preserve">Note:(a) Included in other assets                          R = Restated to provide for the 2/92 pooling-of-interests merger with International Games, Inc. </v>
          </cell>
          <cell r="AN95" t="str">
            <v xml:space="preserve">Note: (a) Included in other assets                      R = Restated to provide for the 2/92 pooling-of-interests merger with  </v>
          </cell>
        </row>
        <row r="96">
          <cell r="A96" t="str">
            <v>NAV = Not Available</v>
          </cell>
          <cell r="AN96" t="str">
            <v>NAV = Not Available</v>
          </cell>
          <cell r="AU96" t="str">
            <v>International Games Inc.</v>
          </cell>
          <cell r="AV96" t="str">
            <v>Games Inc.</v>
          </cell>
        </row>
        <row r="98">
          <cell r="AN98" t="str">
            <v>Inventory Turnover</v>
          </cell>
          <cell r="AO98">
            <v>3.2371816775492195</v>
          </cell>
          <cell r="AP98">
            <v>3.3435840381589301</v>
          </cell>
          <cell r="AQ98">
            <v>3.8571315407902849</v>
          </cell>
          <cell r="AR98">
            <v>4.3199827425037753</v>
          </cell>
          <cell r="AS98">
            <v>6.0506327883512512</v>
          </cell>
          <cell r="AT98">
            <v>5.8403537891022186</v>
          </cell>
          <cell r="AU98">
            <v>5.62604366400915</v>
          </cell>
          <cell r="AV98">
            <v>6.873193746626252</v>
          </cell>
          <cell r="AW98">
            <v>6.0066116350830701</v>
          </cell>
          <cell r="AX98">
            <v>5.735713672523322</v>
          </cell>
          <cell r="AY98">
            <v>4.9542382823485935</v>
          </cell>
        </row>
        <row r="99">
          <cell r="AN99" t="str">
            <v>Inventory Days of Sales</v>
          </cell>
          <cell r="AP99">
            <v>107.66889538036733</v>
          </cell>
          <cell r="AQ99">
            <v>93.333607161927347</v>
          </cell>
          <cell r="AR99">
            <v>83.333666233895926</v>
          </cell>
          <cell r="AS99">
            <v>59.497909159695858</v>
          </cell>
          <cell r="AT99">
            <v>61.640101439015623</v>
          </cell>
          <cell r="AU99">
            <v>63.98812762563275</v>
          </cell>
          <cell r="AV99">
            <v>52.377397360100339</v>
          </cell>
          <cell r="AW99">
            <v>59.93395642517202</v>
          </cell>
          <cell r="AX99">
            <v>62.764639337657975</v>
          </cell>
          <cell r="AY99">
            <v>72.665055551050187</v>
          </cell>
        </row>
        <row r="101">
          <cell r="AN101" t="str">
            <v>A/R Days of Sales</v>
          </cell>
          <cell r="AO101">
            <v>79.77</v>
          </cell>
          <cell r="AP101">
            <v>96.566999999999993</v>
          </cell>
          <cell r="AQ101">
            <v>103.8</v>
          </cell>
          <cell r="AR101">
            <v>103.1</v>
          </cell>
          <cell r="AS101">
            <v>73.400000000000006</v>
          </cell>
          <cell r="AT101">
            <v>64.400000000000006</v>
          </cell>
          <cell r="AU101">
            <v>77</v>
          </cell>
          <cell r="AV101">
            <v>75</v>
          </cell>
          <cell r="AW101">
            <v>74.461132179283908</v>
          </cell>
          <cell r="AX101">
            <v>75.388073415964001</v>
          </cell>
          <cell r="AY101">
            <v>81.539315578820776</v>
          </cell>
        </row>
      </sheetData>
      <sheetData sheetId="5" refreshError="1">
        <row r="2">
          <cell r="B2" t="str">
            <v>Mattel</v>
          </cell>
        </row>
        <row r="3">
          <cell r="B3" t="str">
            <v>Trading History 1981-1997E</v>
          </cell>
        </row>
        <row r="4">
          <cell r="B4" t="str">
            <v>MAT</v>
          </cell>
          <cell r="D4" t="str">
            <v>HIGH</v>
          </cell>
          <cell r="E4" t="str">
            <v>LOW</v>
          </cell>
        </row>
        <row r="6">
          <cell r="E6" t="str">
            <v>Mattel, Inc.</v>
          </cell>
        </row>
        <row r="7">
          <cell r="D7" t="str">
            <v xml:space="preserve"> Price Range</v>
          </cell>
          <cell r="G7" t="str">
            <v>Absolute P/E</v>
          </cell>
          <cell r="J7" t="str">
            <v>Relative S&amp;P500</v>
          </cell>
          <cell r="M7" t="str">
            <v xml:space="preserve">  Relative S&amp;P400</v>
          </cell>
          <cell r="P7" t="str">
            <v xml:space="preserve">                P/E 400</v>
          </cell>
          <cell r="S7" t="str">
            <v xml:space="preserve">                P/E 500</v>
          </cell>
          <cell r="V7" t="str">
            <v>Book</v>
          </cell>
          <cell r="X7" t="str">
            <v xml:space="preserve">   Price/Book Value</v>
          </cell>
        </row>
        <row r="8">
          <cell r="B8" t="str">
            <v>Year</v>
          </cell>
          <cell r="C8" t="str">
            <v>EPS</v>
          </cell>
          <cell r="D8" t="str">
            <v>High</v>
          </cell>
          <cell r="E8" t="str">
            <v>Low</v>
          </cell>
          <cell r="F8" t="str">
            <v>High</v>
          </cell>
          <cell r="G8" t="str">
            <v>Low</v>
          </cell>
          <cell r="H8" t="str">
            <v xml:space="preserve">Avg </v>
          </cell>
          <cell r="J8" t="str">
            <v>High</v>
          </cell>
          <cell r="K8" t="str">
            <v>Low</v>
          </cell>
          <cell r="L8" t="str">
            <v>Avg.</v>
          </cell>
          <cell r="M8" t="str">
            <v>High</v>
          </cell>
          <cell r="N8" t="str">
            <v>Low</v>
          </cell>
          <cell r="O8" t="str">
            <v>Avg.</v>
          </cell>
          <cell r="P8" t="str">
            <v xml:space="preserve">  High</v>
          </cell>
          <cell r="Q8" t="str">
            <v xml:space="preserve">  Low</v>
          </cell>
          <cell r="R8" t="str">
            <v>Avg</v>
          </cell>
          <cell r="S8" t="str">
            <v xml:space="preserve">  High</v>
          </cell>
          <cell r="T8" t="str">
            <v xml:space="preserve">  Low</v>
          </cell>
          <cell r="U8" t="str">
            <v>Avg</v>
          </cell>
          <cell r="V8" t="str">
            <v>Value</v>
          </cell>
          <cell r="W8" t="str">
            <v xml:space="preserve">  High</v>
          </cell>
          <cell r="X8" t="str">
            <v xml:space="preserve">  Low</v>
          </cell>
          <cell r="Y8" t="str">
            <v>Avg.</v>
          </cell>
        </row>
        <row r="9">
          <cell r="B9" t="str">
            <v>1981</v>
          </cell>
          <cell r="C9">
            <v>0.57599999999999996</v>
          </cell>
          <cell r="D9">
            <v>3.412992</v>
          </cell>
          <cell r="E9">
            <v>1.638236</v>
          </cell>
          <cell r="F9">
            <v>14.93184201388889</v>
          </cell>
          <cell r="G9">
            <v>4.7995208333333332</v>
          </cell>
          <cell r="H9">
            <v>9.865681423611111</v>
          </cell>
          <cell r="J9">
            <v>1.6590935570987655</v>
          </cell>
          <cell r="K9">
            <v>0.65746860730593604</v>
          </cell>
          <cell r="L9">
            <v>1.1582810822023508</v>
          </cell>
          <cell r="M9">
            <v>1.5717728435672516</v>
          </cell>
          <cell r="N9">
            <v>0.63151589912280703</v>
          </cell>
          <cell r="O9">
            <v>1.1016443713450292</v>
          </cell>
          <cell r="P9">
            <v>9.5</v>
          </cell>
          <cell r="Q9">
            <v>7.6</v>
          </cell>
          <cell r="R9">
            <v>8.5500000000000007</v>
          </cell>
          <cell r="S9">
            <v>9</v>
          </cell>
          <cell r="T9">
            <v>7.3</v>
          </cell>
          <cell r="U9">
            <v>8.15</v>
          </cell>
          <cell r="V9">
            <v>3.9359999999999999</v>
          </cell>
          <cell r="W9">
            <v>0.86712195121951219</v>
          </cell>
          <cell r="X9">
            <v>0.41621849593495935</v>
          </cell>
          <cell r="Y9">
            <v>0.6416702235772358</v>
          </cell>
        </row>
        <row r="10">
          <cell r="B10" t="str">
            <v>1982</v>
          </cell>
          <cell r="C10">
            <v>0.60799999999999998</v>
          </cell>
          <cell r="D10">
            <v>8.6007409999999993</v>
          </cell>
          <cell r="E10">
            <v>2.7645239999999998</v>
          </cell>
          <cell r="F10">
            <v>7.5781891447368421</v>
          </cell>
          <cell r="G10">
            <v>2.1892549342105263</v>
          </cell>
          <cell r="H10">
            <v>4.8837220394736844</v>
          </cell>
          <cell r="J10">
            <v>0.67063620749883557</v>
          </cell>
          <cell r="K10">
            <v>0.27027838693957118</v>
          </cell>
          <cell r="L10">
            <v>0.47045729721920337</v>
          </cell>
          <cell r="M10">
            <v>0.62116304465056082</v>
          </cell>
          <cell r="N10">
            <v>0.25163849818511796</v>
          </cell>
          <cell r="O10">
            <v>0.43640077141783939</v>
          </cell>
          <cell r="P10">
            <v>12.2</v>
          </cell>
          <cell r="Q10">
            <v>8.6999999999999993</v>
          </cell>
          <cell r="R10">
            <v>10.45</v>
          </cell>
          <cell r="S10">
            <v>11.3</v>
          </cell>
          <cell r="T10">
            <v>8.1</v>
          </cell>
          <cell r="U10">
            <v>9.6999999999999993</v>
          </cell>
          <cell r="V10">
            <v>3.5968000000000004</v>
          </cell>
          <cell r="W10">
            <v>2.3912202513345191</v>
          </cell>
          <cell r="X10">
            <v>0.76860653914590726</v>
          </cell>
          <cell r="Y10">
            <v>1.5799133952402131</v>
          </cell>
        </row>
        <row r="11">
          <cell r="B11" t="str">
            <v>1983</v>
          </cell>
          <cell r="C11">
            <v>0.192</v>
          </cell>
          <cell r="D11">
            <v>4.6075390000000001</v>
          </cell>
          <cell r="E11">
            <v>1.331067</v>
          </cell>
          <cell r="F11">
            <v>19.375838541666667</v>
          </cell>
          <cell r="G11">
            <v>6.9326406249999994</v>
          </cell>
          <cell r="H11">
            <v>13.154239583333332</v>
          </cell>
          <cell r="J11">
            <v>1.5752714261517615</v>
          </cell>
          <cell r="K11">
            <v>0.70026672979797977</v>
          </cell>
          <cell r="L11">
            <v>1.1377690779748706</v>
          </cell>
          <cell r="M11">
            <v>1.4678665561868689</v>
          </cell>
          <cell r="N11">
            <v>0.66025148809523804</v>
          </cell>
          <cell r="O11">
            <v>1.0640590221410535</v>
          </cell>
          <cell r="P11">
            <v>13.2</v>
          </cell>
          <cell r="Q11">
            <v>10.5</v>
          </cell>
          <cell r="R11">
            <v>11.85</v>
          </cell>
          <cell r="S11">
            <v>12.3</v>
          </cell>
          <cell r="T11">
            <v>9.9</v>
          </cell>
          <cell r="U11">
            <v>11.100000000000001</v>
          </cell>
          <cell r="V11" t="str">
            <v>NM</v>
          </cell>
          <cell r="W11" t="str">
            <v>NM</v>
          </cell>
          <cell r="X11" t="str">
            <v>NM</v>
          </cell>
          <cell r="Y11" t="str">
            <v>NM</v>
          </cell>
        </row>
        <row r="12">
          <cell r="B12" t="str">
            <v>1984</v>
          </cell>
          <cell r="C12">
            <v>0.39679999999999999</v>
          </cell>
          <cell r="D12">
            <v>3.7201610000000001</v>
          </cell>
          <cell r="E12">
            <v>1.331067</v>
          </cell>
          <cell r="F12">
            <v>11.784947076612903</v>
          </cell>
          <cell r="G12">
            <v>6.795700604838709</v>
          </cell>
          <cell r="H12">
            <v>9.2903238407258062</v>
          </cell>
          <cell r="J12">
            <v>0.9701955433237629</v>
          </cell>
          <cell r="K12">
            <v>0.59054065773836872</v>
          </cell>
          <cell r="L12">
            <v>0.78036810053106587</v>
          </cell>
          <cell r="M12">
            <v>0.90652018744219476</v>
          </cell>
          <cell r="N12">
            <v>0.55509025182270044</v>
          </cell>
          <cell r="O12">
            <v>0.7308052196324476</v>
          </cell>
          <cell r="P12">
            <v>13.00020367981533</v>
          </cell>
          <cell r="Q12">
            <v>12.242514766786611</v>
          </cell>
          <cell r="R12">
            <v>12.621359223300971</v>
          </cell>
          <cell r="S12">
            <v>12.14698125311854</v>
          </cell>
          <cell r="T12">
            <v>11.50759141777746</v>
          </cell>
          <cell r="U12">
            <v>11.827286335448001</v>
          </cell>
          <cell r="V12">
            <v>0.77600000000000002</v>
          </cell>
          <cell r="W12">
            <v>4.7940219072164947</v>
          </cell>
          <cell r="X12">
            <v>1.7152925257731959</v>
          </cell>
          <cell r="Y12">
            <v>3.2546572164948451</v>
          </cell>
        </row>
        <row r="13">
          <cell r="B13" t="str">
            <v>1985</v>
          </cell>
          <cell r="C13">
            <v>0.3904853333333333</v>
          </cell>
          <cell r="D13">
            <v>4.6762670000000002</v>
          </cell>
          <cell r="E13">
            <v>2.6965339999999998</v>
          </cell>
          <cell r="F13">
            <v>10.839159985522292</v>
          </cell>
          <cell r="G13">
            <v>5.4195812732189692</v>
          </cell>
          <cell r="H13">
            <v>8.12937062937063</v>
          </cell>
          <cell r="J13">
            <v>0.8339263590401127</v>
          </cell>
          <cell r="K13">
            <v>0.54348355556988115</v>
          </cell>
          <cell r="L13">
            <v>0.68870495730499692</v>
          </cell>
          <cell r="M13">
            <v>0.80625971048427214</v>
          </cell>
          <cell r="N13">
            <v>0.52534461422251233</v>
          </cell>
          <cell r="O13">
            <v>0.66580216235339229</v>
          </cell>
          <cell r="P13">
            <v>13.443757445118838</v>
          </cell>
          <cell r="Q13">
            <v>10.316240285892563</v>
          </cell>
          <cell r="R13">
            <v>11.879998865505701</v>
          </cell>
          <cell r="S13">
            <v>12.9977423881872</v>
          </cell>
          <cell r="T13">
            <v>9.9719323936786886</v>
          </cell>
          <cell r="U13">
            <v>11.484837390932945</v>
          </cell>
          <cell r="V13">
            <v>1.3279999999999998</v>
          </cell>
          <cell r="W13">
            <v>3.5212853915662654</v>
          </cell>
          <cell r="X13">
            <v>2.0305225903614459</v>
          </cell>
          <cell r="Y13">
            <v>2.7759039909638554</v>
          </cell>
        </row>
        <row r="14">
          <cell r="B14" t="str">
            <v>1986</v>
          </cell>
          <cell r="C14">
            <v>-0.10649599999999999</v>
          </cell>
          <cell r="D14">
            <v>4.2325330000000001</v>
          </cell>
          <cell r="E14">
            <v>2.1162670000000001</v>
          </cell>
          <cell r="F14" t="str">
            <v>NM</v>
          </cell>
          <cell r="G14" t="str">
            <v>NM</v>
          </cell>
          <cell r="H14" t="str">
            <v>NM</v>
          </cell>
          <cell r="J14" t="str">
            <v>NM</v>
          </cell>
          <cell r="K14" t="str">
            <v>NM</v>
          </cell>
          <cell r="L14" t="str">
            <v>NM</v>
          </cell>
          <cell r="M14" t="str">
            <v>NM</v>
          </cell>
          <cell r="N14" t="str">
            <v>NM</v>
          </cell>
          <cell r="O14" t="str">
            <v>NM</v>
          </cell>
          <cell r="P14">
            <v>18.90798854020921</v>
          </cell>
          <cell r="Q14">
            <v>14.914051569058564</v>
          </cell>
          <cell r="R14">
            <v>16.911020054633887</v>
          </cell>
          <cell r="S14">
            <v>17.552861767339348</v>
          </cell>
          <cell r="T14">
            <v>13.955850953922447</v>
          </cell>
          <cell r="U14">
            <v>15.754356360630897</v>
          </cell>
          <cell r="V14">
            <v>1.3919999999999999</v>
          </cell>
          <cell r="W14">
            <v>3.0406127873563222</v>
          </cell>
          <cell r="X14">
            <v>1.5203067528735634</v>
          </cell>
          <cell r="Y14">
            <v>2.2804597701149429</v>
          </cell>
        </row>
        <row r="15">
          <cell r="B15" t="str">
            <v>1987</v>
          </cell>
          <cell r="C15">
            <v>-0.62805333333333324</v>
          </cell>
          <cell r="D15">
            <v>4.3349329999999995</v>
          </cell>
          <cell r="E15">
            <v>1.7408000000000001</v>
          </cell>
          <cell r="F15" t="str">
            <v>NM</v>
          </cell>
          <cell r="G15" t="str">
            <v>NM</v>
          </cell>
          <cell r="H15" t="str">
            <v>NM</v>
          </cell>
          <cell r="J15" t="str">
            <v>NM</v>
          </cell>
          <cell r="K15" t="str">
            <v>NM</v>
          </cell>
          <cell r="L15" t="str">
            <v>NM</v>
          </cell>
          <cell r="M15" t="str">
            <v>NM</v>
          </cell>
          <cell r="N15" t="str">
            <v>NM</v>
          </cell>
          <cell r="O15" t="str">
            <v>NM</v>
          </cell>
          <cell r="P15">
            <v>26.071074707708565</v>
          </cell>
          <cell r="Q15">
            <v>16.657639209987448</v>
          </cell>
          <cell r="R15">
            <v>21.364356958848006</v>
          </cell>
          <cell r="S15">
            <v>22.378303198887341</v>
          </cell>
          <cell r="T15">
            <v>14.652626001721968</v>
          </cell>
          <cell r="U15">
            <v>18.515464600304654</v>
          </cell>
          <cell r="V15">
            <v>1.056</v>
          </cell>
          <cell r="W15">
            <v>4.1050501893939391</v>
          </cell>
          <cell r="X15">
            <v>1.6484848484848484</v>
          </cell>
          <cell r="Y15">
            <v>2.8767675189393938</v>
          </cell>
        </row>
        <row r="16">
          <cell r="B16" t="str">
            <v>1988</v>
          </cell>
          <cell r="C16">
            <v>0.20363371459808069</v>
          </cell>
          <cell r="D16">
            <v>2.935467</v>
          </cell>
          <cell r="E16">
            <v>1.6725329999999998</v>
          </cell>
          <cell r="F16">
            <v>27.992746737694318</v>
          </cell>
          <cell r="G16">
            <v>12.403972519901215</v>
          </cell>
          <cell r="H16">
            <v>20.198359628797768</v>
          </cell>
          <cell r="J16">
            <v>1.8325661880859294</v>
          </cell>
          <cell r="K16">
            <v>0.96005931287189761</v>
          </cell>
          <cell r="L16">
            <v>1.3963127504789135</v>
          </cell>
          <cell r="M16">
            <v>1.8861537195193596</v>
          </cell>
          <cell r="N16">
            <v>0.99409256470094742</v>
          </cell>
          <cell r="O16">
            <v>1.4401231421101535</v>
          </cell>
          <cell r="P16">
            <v>14.841179935656353</v>
          </cell>
          <cell r="Q16">
            <v>12.477683628619332</v>
          </cell>
          <cell r="R16">
            <v>13.659431782137842</v>
          </cell>
          <cell r="S16">
            <v>15.275162730647157</v>
          </cell>
          <cell r="T16">
            <v>12.920006455430633</v>
          </cell>
          <cell r="U16">
            <v>14.097584593038896</v>
          </cell>
          <cell r="V16">
            <v>1.1599999999999999</v>
          </cell>
          <cell r="W16">
            <v>2.5305750000000002</v>
          </cell>
          <cell r="X16">
            <v>1.4418387931034482</v>
          </cell>
          <cell r="Y16">
            <v>1.9862068965517241</v>
          </cell>
        </row>
        <row r="17">
          <cell r="B17" t="str">
            <v>1989</v>
          </cell>
          <cell r="C17">
            <v>0.43573571652806992</v>
          </cell>
          <cell r="D17">
            <v>5.7002669999999993</v>
          </cell>
          <cell r="E17">
            <v>2.5258669999999999</v>
          </cell>
          <cell r="F17">
            <v>16.528672603169635</v>
          </cell>
          <cell r="G17">
            <v>9.7135323992366409</v>
          </cell>
          <cell r="H17">
            <v>13.121102501203138</v>
          </cell>
          <cell r="J17">
            <v>1.1445431680793223</v>
          </cell>
          <cell r="K17">
            <v>0.88543170502372925</v>
          </cell>
          <cell r="L17">
            <v>1.0149874365515257</v>
          </cell>
          <cell r="M17">
            <v>1.0945047114081383</v>
          </cell>
          <cell r="N17">
            <v>0.83513322714098503</v>
          </cell>
          <cell r="O17">
            <v>0.96481896927456168</v>
          </cell>
          <cell r="P17">
            <v>15.101508865964243</v>
          </cell>
          <cell r="Q17">
            <v>11.631117148206615</v>
          </cell>
          <cell r="R17">
            <v>13.366313007085429</v>
          </cell>
          <cell r="S17">
            <v>14.441283705276653</v>
          </cell>
          <cell r="T17">
            <v>10.970391441964823</v>
          </cell>
          <cell r="U17">
            <v>12.705837573620737</v>
          </cell>
          <cell r="V17">
            <v>1.9760000000000002</v>
          </cell>
          <cell r="W17">
            <v>2.8847505060728738</v>
          </cell>
          <cell r="X17">
            <v>1.278272773279352</v>
          </cell>
          <cell r="Y17">
            <v>2.0815116396761129</v>
          </cell>
        </row>
        <row r="18">
          <cell r="B18" t="str">
            <v>1990</v>
          </cell>
          <cell r="C18">
            <v>0.50086466680995156</v>
          </cell>
          <cell r="D18">
            <v>7.2021329999999999</v>
          </cell>
          <cell r="E18">
            <v>4.2325330000000001</v>
          </cell>
          <cell r="F18">
            <v>22.744666882885927</v>
          </cell>
          <cell r="G18">
            <v>3.3392912513723529</v>
          </cell>
          <cell r="H18">
            <v>13.041979067129139</v>
          </cell>
          <cell r="J18">
            <v>1.3328923450487804</v>
          </cell>
          <cell r="K18">
            <v>0.24570453097429254</v>
          </cell>
          <cell r="L18">
            <v>0.78929843801153643</v>
          </cell>
          <cell r="M18">
            <v>1.2944793993908079</v>
          </cell>
          <cell r="N18">
            <v>0.24103851943160279</v>
          </cell>
          <cell r="O18">
            <v>0.76775895941120531</v>
          </cell>
          <cell r="P18">
            <v>17.570512820512821</v>
          </cell>
          <cell r="Q18">
            <v>13.853766025641026</v>
          </cell>
          <cell r="R18">
            <v>15.712139423076923</v>
          </cell>
          <cell r="S18">
            <v>17.064143977849561</v>
          </cell>
          <cell r="T18">
            <v>13.590678357175818</v>
          </cell>
          <cell r="U18">
            <v>15.32741116751269</v>
          </cell>
          <cell r="V18">
            <v>2.2079999999999997</v>
          </cell>
          <cell r="W18">
            <v>3.2618355978260873</v>
          </cell>
          <cell r="X18">
            <v>1.9169080615942031</v>
          </cell>
          <cell r="Y18">
            <v>2.5893718297101453</v>
          </cell>
        </row>
        <row r="19">
          <cell r="B19">
            <v>1991</v>
          </cell>
          <cell r="C19">
            <v>0.60307609396502748</v>
          </cell>
          <cell r="D19">
            <v>11.391999999999999</v>
          </cell>
          <cell r="E19">
            <v>1.6725329999999998</v>
          </cell>
          <cell r="F19">
            <v>18.889821888149033</v>
          </cell>
          <cell r="G19">
            <v>2.7733365934034029</v>
          </cell>
          <cell r="H19">
            <v>10.831579240776218</v>
          </cell>
          <cell r="J19">
            <v>0.94241390037691319</v>
          </cell>
          <cell r="K19">
            <v>0.18710048393188625</v>
          </cell>
          <cell r="L19">
            <v>0.56475719215439968</v>
          </cell>
          <cell r="M19">
            <v>0.89900612034901184</v>
          </cell>
          <cell r="N19">
            <v>0.17990614916423089</v>
          </cell>
          <cell r="O19">
            <v>0.53945613475662135</v>
          </cell>
          <cell r="P19">
            <v>21.011894647408667</v>
          </cell>
          <cell r="Q19">
            <v>15.415463041631266</v>
          </cell>
          <cell r="R19">
            <v>18.213678844519968</v>
          </cell>
          <cell r="S19">
            <v>20.044082414949688</v>
          </cell>
          <cell r="T19">
            <v>14.822712026832775</v>
          </cell>
          <cell r="U19">
            <v>17.43339722089123</v>
          </cell>
          <cell r="V19">
            <v>2.9279999999999999</v>
          </cell>
          <cell r="W19">
            <v>3.8907103825136611</v>
          </cell>
          <cell r="X19">
            <v>0.57122028688524584</v>
          </cell>
          <cell r="Y19">
            <v>2.2309653346994534</v>
          </cell>
        </row>
        <row r="20">
          <cell r="B20">
            <v>1992</v>
          </cell>
          <cell r="C20">
            <v>0.66196685687454171</v>
          </cell>
          <cell r="D20">
            <v>13.824</v>
          </cell>
          <cell r="E20">
            <v>10.154667</v>
          </cell>
          <cell r="F20">
            <v>20.883220748044149</v>
          </cell>
          <cell r="G20">
            <v>15.340144139458856</v>
          </cell>
          <cell r="H20">
            <v>18.111682443751501</v>
          </cell>
          <cell r="J20">
            <v>1.0815205422535428</v>
          </cell>
          <cell r="K20">
            <v>0.89911907241801603</v>
          </cell>
          <cell r="L20">
            <v>0.9903198073357794</v>
          </cell>
          <cell r="M20">
            <v>0.99081859933979177</v>
          </cell>
          <cell r="N20">
            <v>0.809480116569258</v>
          </cell>
          <cell r="O20">
            <v>0.90014935795452489</v>
          </cell>
          <cell r="P20">
            <v>21.076734693877551</v>
          </cell>
          <cell r="Q20">
            <v>18.950612653061224</v>
          </cell>
          <cell r="R20">
            <v>20.013673673469388</v>
          </cell>
          <cell r="S20">
            <v>19.30913</v>
          </cell>
          <cell r="T20">
            <v>17.061304347826088</v>
          </cell>
          <cell r="U20">
            <v>18.185217173913045</v>
          </cell>
          <cell r="V20">
            <v>2.624881974531994</v>
          </cell>
          <cell r="W20">
            <v>5.2665225081081077</v>
          </cell>
          <cell r="X20">
            <v>3.8686185125754222</v>
          </cell>
          <cell r="Y20">
            <v>4.5675705103417652</v>
          </cell>
        </row>
        <row r="21">
          <cell r="B21">
            <v>1993</v>
          </cell>
          <cell r="C21">
            <v>0.8162334151116345</v>
          </cell>
          <cell r="D21">
            <v>15.744</v>
          </cell>
          <cell r="E21">
            <v>10.496</v>
          </cell>
          <cell r="F21">
            <v>19.288600182886075</v>
          </cell>
          <cell r="G21">
            <v>12.859066788590718</v>
          </cell>
          <cell r="H21">
            <v>16.073833485738398</v>
          </cell>
          <cell r="J21">
            <v>1.2961657468445005</v>
          </cell>
          <cell r="K21">
            <v>0.95400732101449603</v>
          </cell>
          <cell r="L21">
            <v>1.1250865339294982</v>
          </cell>
          <cell r="M21">
            <v>1.2224471075451613</v>
          </cell>
          <cell r="N21">
            <v>0.90023116579559848</v>
          </cell>
          <cell r="O21">
            <v>1.0613391366703799</v>
          </cell>
          <cell r="P21">
            <v>15.778678736964077</v>
          </cell>
          <cell r="Q21">
            <v>14.284183082271145</v>
          </cell>
          <cell r="R21">
            <v>15.031430909617612</v>
          </cell>
          <cell r="S21">
            <v>14.881275970950425</v>
          </cell>
          <cell r="T21">
            <v>13.479002210293652</v>
          </cell>
          <cell r="U21">
            <v>14.180139090622038</v>
          </cell>
          <cell r="V21">
            <v>2.9346315591875216</v>
          </cell>
          <cell r="W21">
            <v>5.3648983466799711</v>
          </cell>
          <cell r="X21">
            <v>3.5765988977866474</v>
          </cell>
          <cell r="Y21">
            <v>4.4707486222333088</v>
          </cell>
        </row>
        <row r="22">
          <cell r="B22" t="str">
            <v>1994R</v>
          </cell>
          <cell r="C22">
            <v>0.91083668951537533</v>
          </cell>
          <cell r="D22">
            <v>18.88</v>
          </cell>
          <cell r="E22">
            <v>13.248000000000001</v>
          </cell>
          <cell r="F22">
            <v>20.728194436310414</v>
          </cell>
          <cell r="G22">
            <v>14.544868638360191</v>
          </cell>
          <cell r="H22">
            <v>17.636531537335301</v>
          </cell>
          <cell r="J22">
            <v>1.4810452381531676</v>
          </cell>
          <cell r="K22">
            <v>1.1512824749604262</v>
          </cell>
          <cell r="L22">
            <v>1.316163856556797</v>
          </cell>
          <cell r="M22">
            <v>1.3586239045943054</v>
          </cell>
          <cell r="N22">
            <v>1.0608321510499676</v>
          </cell>
          <cell r="O22">
            <v>1.2097280278221365</v>
          </cell>
          <cell r="P22">
            <v>15.256756756756756</v>
          </cell>
          <cell r="Q22">
            <v>13.710810540540541</v>
          </cell>
          <cell r="R22">
            <v>14.483783648648648</v>
          </cell>
          <cell r="S22">
            <v>13.995652463768115</v>
          </cell>
          <cell r="T22">
            <v>12.633622898550724</v>
          </cell>
          <cell r="U22">
            <v>13.31463768115942</v>
          </cell>
          <cell r="V22">
            <v>3.6196423332355372</v>
          </cell>
          <cell r="W22">
            <v>5.215984968084812</v>
          </cell>
          <cell r="X22">
            <v>3.6600301301476486</v>
          </cell>
          <cell r="Y22">
            <v>4.4380075491162305</v>
          </cell>
        </row>
        <row r="23">
          <cell r="B23" t="str">
            <v>1995R</v>
          </cell>
          <cell r="C23">
            <v>1.1086959349593504</v>
          </cell>
          <cell r="D23">
            <v>24.900000000000002</v>
          </cell>
          <cell r="E23">
            <v>15.76</v>
          </cell>
          <cell r="F23">
            <v>22.458817801034822</v>
          </cell>
          <cell r="G23">
            <v>14.214898335112801</v>
          </cell>
          <cell r="H23">
            <v>18.336858068073813</v>
          </cell>
          <cell r="J23">
            <v>1.3340872377316473</v>
          </cell>
          <cell r="K23">
            <v>1.1503745120197473</v>
          </cell>
          <cell r="L23">
            <v>1.2422308748756974</v>
          </cell>
          <cell r="M23">
            <v>1.2247146465632839</v>
          </cell>
          <cell r="N23">
            <v>1.0447137819376295</v>
          </cell>
          <cell r="O23">
            <v>1.1347142142504567</v>
          </cell>
          <cell r="P23">
            <v>18.3380005</v>
          </cell>
          <cell r="Q23">
            <v>13.60650025</v>
          </cell>
          <cell r="R23">
            <v>15.972250375</v>
          </cell>
          <cell r="S23">
            <v>16.834594594594595</v>
          </cell>
          <cell r="T23">
            <v>12.356757027027028</v>
          </cell>
          <cell r="U23">
            <v>14.59567581081081</v>
          </cell>
          <cell r="V23">
            <v>5.0462699186991866</v>
          </cell>
          <cell r="W23">
            <v>4.9343377189816779</v>
          </cell>
          <cell r="X23">
            <v>3.1230988936205315</v>
          </cell>
          <cell r="Y23">
            <v>4.0287183063011049</v>
          </cell>
        </row>
        <row r="24">
          <cell r="B24" t="str">
            <v>1996R</v>
          </cell>
          <cell r="C24">
            <v>1.2187442701102766</v>
          </cell>
          <cell r="D24">
            <v>29.125</v>
          </cell>
          <cell r="F24">
            <v>23.897548250515804</v>
          </cell>
          <cell r="H24">
            <v>23.897548250515804</v>
          </cell>
          <cell r="J24">
            <v>1.5306185541027684</v>
          </cell>
          <cell r="M24">
            <v>1.4051037789644947</v>
          </cell>
          <cell r="P24">
            <v>17.007674883720931</v>
          </cell>
          <cell r="S24">
            <v>15.613000500000002</v>
          </cell>
          <cell r="V24">
            <v>5.9131446944495378</v>
          </cell>
          <cell r="W24">
            <v>4.9254671591815802</v>
          </cell>
          <cell r="Y24">
            <v>4.9254671591815802</v>
          </cell>
        </row>
        <row r="25">
          <cell r="B25" t="str">
            <v>1997E</v>
          </cell>
          <cell r="C25">
            <v>1.648517011496585</v>
          </cell>
          <cell r="D25">
            <v>29.125</v>
          </cell>
          <cell r="F25">
            <v>17.667394268233387</v>
          </cell>
        </row>
        <row r="27">
          <cell r="B27" t="str">
            <v>Avg 1985-95</v>
          </cell>
          <cell r="F27">
            <v>20.039322362855184</v>
          </cell>
          <cell r="G27">
            <v>10.067632437628349</v>
          </cell>
          <cell r="H27">
            <v>15.053477400241768</v>
          </cell>
          <cell r="J27">
            <v>1.2532400806237687</v>
          </cell>
          <cell r="K27">
            <v>0.77517366319826353</v>
          </cell>
          <cell r="L27">
            <v>1.0142068719110158</v>
          </cell>
          <cell r="M27">
            <v>1.1974453243549035</v>
          </cell>
          <cell r="N27">
            <v>0.73230803222363705</v>
          </cell>
          <cell r="O27">
            <v>0.96487667828927015</v>
          </cell>
          <cell r="W27">
            <v>3.908222567760204</v>
          </cell>
          <cell r="X27">
            <v>2.1512801647091826</v>
          </cell>
          <cell r="Y27">
            <v>3.0297513662346929</v>
          </cell>
        </row>
        <row r="28">
          <cell r="B28" t="str">
            <v xml:space="preserve">Avg 1981-1986 </v>
          </cell>
          <cell r="F28">
            <v>21.538977027974727</v>
          </cell>
          <cell r="G28">
            <v>7.0575331909784031</v>
          </cell>
          <cell r="H28">
            <v>9.064667503302914</v>
          </cell>
          <cell r="J28">
            <v>1.1418246186226475</v>
          </cell>
          <cell r="K28">
            <v>0.55240758747034735</v>
          </cell>
          <cell r="L28">
            <v>0.79962980957321261</v>
          </cell>
          <cell r="M28">
            <v>1.0747164684662296</v>
          </cell>
          <cell r="N28">
            <v>0.52476815028967516</v>
          </cell>
          <cell r="O28">
            <v>0.75264620978647401</v>
          </cell>
          <cell r="R28">
            <v>12.043729690573429</v>
          </cell>
          <cell r="U28">
            <v>11.336080014501974</v>
          </cell>
          <cell r="W28">
            <v>2.9228524577386228</v>
          </cell>
          <cell r="X28">
            <v>1.2901893808178142</v>
          </cell>
          <cell r="Y28">
            <v>2.1065209192782186</v>
          </cell>
        </row>
        <row r="29">
          <cell r="B29" t="str">
            <v>Avg 1991-1995</v>
          </cell>
          <cell r="F29">
            <v>20.4497310112849</v>
          </cell>
          <cell r="G29">
            <v>11.946462898985192</v>
          </cell>
          <cell r="H29">
            <v>16.198096955135046</v>
          </cell>
          <cell r="J29">
            <v>1.2270465330719542</v>
          </cell>
          <cell r="K29">
            <v>0.86837677286891446</v>
          </cell>
          <cell r="L29">
            <v>1.0477116529704342</v>
          </cell>
          <cell r="M29">
            <v>1.1391220756783107</v>
          </cell>
          <cell r="N29">
            <v>0.7990326729033369</v>
          </cell>
          <cell r="O29">
            <v>0.96907737429082386</v>
          </cell>
          <cell r="R29">
            <v>16.193047346057909</v>
          </cell>
          <cell r="U29">
            <v>15.54988954579532</v>
          </cell>
          <cell r="W29">
            <v>4.9345290513466376</v>
          </cell>
          <cell r="X29">
            <v>2.919116956848741</v>
          </cell>
          <cell r="Y29">
            <v>3.9268230040976895</v>
          </cell>
        </row>
        <row r="31">
          <cell r="B31" t="str">
            <v>As of :</v>
          </cell>
          <cell r="C31">
            <v>36077.757145601849</v>
          </cell>
          <cell r="D31">
            <v>42.5</v>
          </cell>
          <cell r="E31">
            <v>1994</v>
          </cell>
          <cell r="F31">
            <v>46.660395314787749</v>
          </cell>
          <cell r="J31">
            <v>3.3339206896986031</v>
          </cell>
          <cell r="M31">
            <v>3.0583430055751051</v>
          </cell>
          <cell r="P31">
            <v>15.256756756756756</v>
          </cell>
          <cell r="S31">
            <v>13.995652463768115</v>
          </cell>
          <cell r="Y31">
            <v>11.741491585996004</v>
          </cell>
        </row>
        <row r="32">
          <cell r="E32">
            <v>1995</v>
          </cell>
          <cell r="F32">
            <v>38.333323555983128</v>
          </cell>
          <cell r="J32">
            <v>2.2770565302648595</v>
          </cell>
          <cell r="M32">
            <v>2.0903764047766891</v>
          </cell>
          <cell r="P32">
            <v>18.3380005</v>
          </cell>
          <cell r="S32">
            <v>16.834594594594595</v>
          </cell>
          <cell r="Y32">
            <v>8.4220623717558762</v>
          </cell>
        </row>
        <row r="33">
          <cell r="E33" t="str">
            <v>1996E</v>
          </cell>
          <cell r="F33">
            <v>34.871958820495159</v>
          </cell>
          <cell r="J33">
            <v>2.2335206368881595</v>
          </cell>
          <cell r="M33">
            <v>2.0503660293902497</v>
          </cell>
          <cell r="P33">
            <v>17.007674883720931</v>
          </cell>
          <cell r="S33">
            <v>15.613000500000002</v>
          </cell>
          <cell r="Y33">
            <v>7.1873769704795594</v>
          </cell>
        </row>
        <row r="34">
          <cell r="E34" t="str">
            <v>1997E</v>
          </cell>
          <cell r="F34">
            <v>25.780747000855587</v>
          </cell>
        </row>
        <row r="35">
          <cell r="C35" t="str">
            <v>Shares</v>
          </cell>
        </row>
        <row r="36">
          <cell r="C36" t="str">
            <v xml:space="preserve">Out </v>
          </cell>
          <cell r="D36" t="str">
            <v xml:space="preserve">      Tot Cap</v>
          </cell>
          <cell r="F36" t="str">
            <v>Sales</v>
          </cell>
          <cell r="G36" t="str">
            <v xml:space="preserve">  Mkt Cap/Sales</v>
          </cell>
          <cell r="J36" t="str">
            <v>Cash</v>
          </cell>
          <cell r="K36" t="str">
            <v>Price/CE</v>
          </cell>
          <cell r="N36" t="str">
            <v>EBIT-</v>
          </cell>
          <cell r="V36" t="str">
            <v xml:space="preserve"> Tot Cap/EBITDA</v>
          </cell>
          <cell r="X36" t="str">
            <v>Avg.</v>
          </cell>
        </row>
        <row r="37">
          <cell r="C37" t="str">
            <v>(MM)</v>
          </cell>
          <cell r="D37" t="str">
            <v>High</v>
          </cell>
          <cell r="E37" t="str">
            <v>Low</v>
          </cell>
          <cell r="F37" t="str">
            <v>($MM)</v>
          </cell>
          <cell r="G37" t="str">
            <v>High</v>
          </cell>
          <cell r="H37" t="str">
            <v>Low</v>
          </cell>
          <cell r="J37" t="str">
            <v>Earnings</v>
          </cell>
          <cell r="K37" t="str">
            <v>High</v>
          </cell>
          <cell r="L37" t="str">
            <v>Low</v>
          </cell>
          <cell r="M37" t="str">
            <v>Avg</v>
          </cell>
          <cell r="N37" t="str">
            <v>DA</v>
          </cell>
          <cell r="O37" t="str">
            <v>High</v>
          </cell>
          <cell r="V37" t="str">
            <v>Low</v>
          </cell>
          <cell r="W37" t="str">
            <v>Avg</v>
          </cell>
          <cell r="X37" t="str">
            <v>ROE</v>
          </cell>
          <cell r="Y37" t="str">
            <v>Div</v>
          </cell>
        </row>
        <row r="38">
          <cell r="B38" t="str">
            <v>1975</v>
          </cell>
        </row>
        <row r="39">
          <cell r="B39" t="str">
            <v>1976</v>
          </cell>
        </row>
        <row r="40">
          <cell r="B40" t="str">
            <v>1977</v>
          </cell>
        </row>
        <row r="41">
          <cell r="B41" t="str">
            <v>1978</v>
          </cell>
        </row>
        <row r="42">
          <cell r="B42" t="str">
            <v>1979</v>
          </cell>
        </row>
        <row r="43">
          <cell r="B43" t="str">
            <v>1980</v>
          </cell>
        </row>
        <row r="44">
          <cell r="B44" t="str">
            <v>1981</v>
          </cell>
          <cell r="C44">
            <v>37.366874999999993</v>
          </cell>
          <cell r="D44">
            <v>127.53284543999997</v>
          </cell>
          <cell r="E44">
            <v>61.215759832499991</v>
          </cell>
          <cell r="F44">
            <v>467.88200000000001</v>
          </cell>
          <cell r="G44">
            <v>0.27257480612633095</v>
          </cell>
          <cell r="H44">
            <v>0.130835894162417</v>
          </cell>
          <cell r="X44">
            <v>0.14018572700674214</v>
          </cell>
          <cell r="Y44">
            <v>0.15999999999999998</v>
          </cell>
        </row>
        <row r="45">
          <cell r="B45" t="str">
            <v>1982</v>
          </cell>
          <cell r="C45">
            <v>47.617968750000003</v>
          </cell>
          <cell r="D45">
            <v>553.62181616484372</v>
          </cell>
          <cell r="E45">
            <v>275.71301744062498</v>
          </cell>
          <cell r="F45">
            <v>511.846</v>
          </cell>
          <cell r="G45">
            <v>1.0816179400930039</v>
          </cell>
          <cell r="H45">
            <v>0.53866400722214292</v>
          </cell>
          <cell r="J45">
            <v>0.74504910501878552</v>
          </cell>
          <cell r="K45">
            <v>11.543857904215779</v>
          </cell>
          <cell r="L45">
            <v>3.7105258987329375</v>
          </cell>
          <cell r="M45">
            <v>7.6271919014743581</v>
          </cell>
          <cell r="N45">
            <v>66.515000000000001</v>
          </cell>
          <cell r="O45">
            <v>8.3232626650356121</v>
          </cell>
          <cell r="V45">
            <v>4.1451254219442983</v>
          </cell>
          <cell r="W45">
            <v>6.2341940434899552</v>
          </cell>
          <cell r="X45">
            <v>0.13239927013413652</v>
          </cell>
          <cell r="Y45">
            <v>0.15999999999999998</v>
          </cell>
        </row>
        <row r="46">
          <cell r="B46" t="str">
            <v>1983</v>
          </cell>
          <cell r="C46">
            <v>80.592187500000009</v>
          </cell>
          <cell r="D46">
            <v>719.63164700156244</v>
          </cell>
          <cell r="E46">
            <v>455.57360123906244</v>
          </cell>
          <cell r="F46">
            <v>633.41300000000001</v>
          </cell>
          <cell r="G46">
            <v>1.1361175836327364</v>
          </cell>
          <cell r="H46">
            <v>0.7192362664471087</v>
          </cell>
          <cell r="J46">
            <v>0.27885705422749568</v>
          </cell>
          <cell r="K46">
            <v>16.522942239220178</v>
          </cell>
          <cell r="L46">
            <v>4.7732950621865777</v>
          </cell>
          <cell r="M46">
            <v>10.648118650703378</v>
          </cell>
          <cell r="N46">
            <v>87.97999999999999</v>
          </cell>
          <cell r="O46">
            <v>8.1794913275922081</v>
          </cell>
          <cell r="V46">
            <v>5.1781495935333313</v>
          </cell>
          <cell r="W46">
            <v>6.6788204605627701</v>
          </cell>
          <cell r="X46" t="str">
            <v>NM</v>
          </cell>
          <cell r="Y46">
            <v>0.08</v>
          </cell>
        </row>
        <row r="47">
          <cell r="B47" t="str">
            <v>1984</v>
          </cell>
          <cell r="C47">
            <v>110.1328125</v>
          </cell>
          <cell r="D47">
            <v>500.76979388281256</v>
          </cell>
          <cell r="E47">
            <v>237.65215233593753</v>
          </cell>
          <cell r="F47">
            <v>880.85</v>
          </cell>
          <cell r="G47">
            <v>0.56850745743635411</v>
          </cell>
          <cell r="H47">
            <v>0.26979866303676847</v>
          </cell>
          <cell r="J47">
            <v>0.46272948854366175</v>
          </cell>
          <cell r="K47">
            <v>8.0396021695275568</v>
          </cell>
          <cell r="L47">
            <v>2.8765553805296431</v>
          </cell>
          <cell r="M47">
            <v>5.4580787750285999</v>
          </cell>
          <cell r="N47">
            <v>144</v>
          </cell>
          <cell r="O47">
            <v>3.4775680130750874</v>
          </cell>
          <cell r="V47">
            <v>1.6503621689995662</v>
          </cell>
          <cell r="W47">
            <v>2.5639650910373266</v>
          </cell>
          <cell r="X47">
            <v>0.83339806440874098</v>
          </cell>
          <cell r="Y47" t="str">
            <v>-</v>
          </cell>
        </row>
        <row r="48">
          <cell r="B48" t="str">
            <v>1985</v>
          </cell>
          <cell r="C48">
            <v>172.08251953125</v>
          </cell>
          <cell r="D48">
            <v>1270.3798073608398</v>
          </cell>
          <cell r="E48">
            <v>929.70236472167971</v>
          </cell>
          <cell r="F48">
            <v>1050.9280000000001</v>
          </cell>
          <cell r="G48">
            <v>1.2088171666953775</v>
          </cell>
          <cell r="H48">
            <v>0.8846489623662892</v>
          </cell>
          <cell r="J48">
            <v>0.52</v>
          </cell>
          <cell r="K48">
            <v>8.9928211538461547</v>
          </cell>
          <cell r="L48">
            <v>5.1856423076923068</v>
          </cell>
          <cell r="M48">
            <v>7.0892317307692307</v>
          </cell>
          <cell r="N48">
            <v>150</v>
          </cell>
          <cell r="O48">
            <v>8.4691987157389317</v>
          </cell>
          <cell r="V48">
            <v>6.1980157648111982</v>
          </cell>
          <cell r="W48">
            <v>7.3336072402750645</v>
          </cell>
          <cell r="X48">
            <v>0.3236137578863636</v>
          </cell>
          <cell r="Y48" t="str">
            <v>-</v>
          </cell>
        </row>
        <row r="49">
          <cell r="B49" t="str">
            <v>1986</v>
          </cell>
          <cell r="C49">
            <v>137.054443359375</v>
          </cell>
          <cell r="D49">
            <v>891.91445431518559</v>
          </cell>
          <cell r="E49">
            <v>601.87079568481454</v>
          </cell>
          <cell r="F49">
            <v>1059</v>
          </cell>
          <cell r="G49">
            <v>0.84222328075088349</v>
          </cell>
          <cell r="H49">
            <v>0.5683388061235265</v>
          </cell>
          <cell r="J49">
            <v>0.26</v>
          </cell>
          <cell r="K49" t="str">
            <v>NM</v>
          </cell>
          <cell r="L49" t="str">
            <v>NM</v>
          </cell>
          <cell r="M49" t="str">
            <v>NM</v>
          </cell>
          <cell r="N49">
            <v>198.5</v>
          </cell>
          <cell r="O49">
            <v>4.4932718101520681</v>
          </cell>
          <cell r="V49">
            <v>3.0320946885884865</v>
          </cell>
          <cell r="W49">
            <v>3.7626832493702773</v>
          </cell>
          <cell r="X49" t="str">
            <v>NM</v>
          </cell>
          <cell r="Y49" t="str">
            <v>-</v>
          </cell>
        </row>
        <row r="50">
          <cell r="B50" t="str">
            <v>1987</v>
          </cell>
          <cell r="C50">
            <v>152.24853515625</v>
          </cell>
          <cell r="D50">
            <v>939.10419925048814</v>
          </cell>
          <cell r="E50">
            <v>544.15125000000012</v>
          </cell>
          <cell r="F50">
            <v>1020</v>
          </cell>
          <cell r="G50">
            <v>0.92069039142204723</v>
          </cell>
          <cell r="H50">
            <v>0.53348161764705893</v>
          </cell>
          <cell r="J50">
            <v>6.1544106091948152E-2</v>
          </cell>
          <cell r="K50" t="str">
            <v>NM</v>
          </cell>
          <cell r="L50" t="str">
            <v>NM</v>
          </cell>
          <cell r="M50" t="str">
            <v>NM</v>
          </cell>
          <cell r="N50">
            <v>76.400000000000006</v>
          </cell>
          <cell r="O50">
            <v>12.291939780765551</v>
          </cell>
          <cell r="V50">
            <v>7.1223985602094251</v>
          </cell>
          <cell r="W50">
            <v>9.7071691704874876</v>
          </cell>
          <cell r="X50" t="str">
            <v>NM</v>
          </cell>
          <cell r="Y50" t="str">
            <v>-</v>
          </cell>
        </row>
        <row r="51">
          <cell r="B51" t="str">
            <v>1988</v>
          </cell>
          <cell r="C51">
            <v>176.414794921875</v>
          </cell>
          <cell r="D51">
            <v>682.46380880493166</v>
          </cell>
          <cell r="E51">
            <v>459.66356619506843</v>
          </cell>
          <cell r="F51">
            <v>990</v>
          </cell>
          <cell r="G51">
            <v>0.68935738263124413</v>
          </cell>
          <cell r="H51">
            <v>0.46430663252027116</v>
          </cell>
          <cell r="J51">
            <v>0.40295373203523421</v>
          </cell>
          <cell r="K51">
            <v>7.2848735887705418</v>
          </cell>
          <cell r="L51">
            <v>4.1506824904000483</v>
          </cell>
          <cell r="M51">
            <v>5.7177780395852951</v>
          </cell>
          <cell r="N51">
            <v>136.6</v>
          </cell>
          <cell r="O51">
            <v>4.9960747350287829</v>
          </cell>
          <cell r="V51">
            <v>3.3650334274895202</v>
          </cell>
          <cell r="W51">
            <v>4.1805540812591513</v>
          </cell>
          <cell r="X51">
            <v>0.30521665250637237</v>
          </cell>
          <cell r="Y51" t="str">
            <v>-</v>
          </cell>
        </row>
        <row r="52">
          <cell r="B52" t="str">
            <v>1989</v>
          </cell>
          <cell r="C52">
            <v>182.757568359375</v>
          </cell>
          <cell r="D52">
            <v>1049.4079359191892</v>
          </cell>
          <cell r="E52">
            <v>469.26231091918942</v>
          </cell>
          <cell r="F52">
            <v>1237</v>
          </cell>
          <cell r="G52">
            <v>0.84834918020953043</v>
          </cell>
          <cell r="H52">
            <v>0.3793551422143811</v>
          </cell>
          <cell r="J52">
            <v>0.60941935811374937</v>
          </cell>
          <cell r="K52">
            <v>9.3536034326891748</v>
          </cell>
          <cell r="L52">
            <v>4.1447108077071313</v>
          </cell>
          <cell r="M52">
            <v>6.7491571201981531</v>
          </cell>
          <cell r="N52">
            <v>195.6</v>
          </cell>
          <cell r="O52">
            <v>5.3650712470306194</v>
          </cell>
          <cell r="V52">
            <v>2.3990915691165102</v>
          </cell>
          <cell r="W52">
            <v>3.8820814080735646</v>
          </cell>
          <cell r="X52">
            <v>0.3984387695879279</v>
          </cell>
          <cell r="Y52" t="str">
            <v>-</v>
          </cell>
        </row>
        <row r="53">
          <cell r="B53" t="str">
            <v>1990</v>
          </cell>
          <cell r="C53">
            <v>190.833984375</v>
          </cell>
          <cell r="D53">
            <v>1345.7367363886719</v>
          </cell>
          <cell r="E53">
            <v>779.03613638867182</v>
          </cell>
          <cell r="F53">
            <v>1471</v>
          </cell>
          <cell r="G53">
            <v>0.91484482419352275</v>
          </cell>
          <cell r="H53">
            <v>0.5295962857842772</v>
          </cell>
          <cell r="J53">
            <v>0.73585425813912964</v>
          </cell>
          <cell r="K53">
            <v>9.7874448918909103</v>
          </cell>
          <cell r="L53">
            <v>5.7518631620118255</v>
          </cell>
          <cell r="M53">
            <v>7.7696540269513683</v>
          </cell>
          <cell r="N53">
            <v>209.8</v>
          </cell>
          <cell r="O53">
            <v>6.4143791057610668</v>
          </cell>
          <cell r="V53">
            <v>3.7132322992787024</v>
          </cell>
          <cell r="W53">
            <v>5.0638057025198844</v>
          </cell>
          <cell r="X53">
            <v>0.33290012922281659</v>
          </cell>
          <cell r="Y53">
            <v>0.04</v>
          </cell>
        </row>
        <row r="54">
          <cell r="B54">
            <v>1991</v>
          </cell>
          <cell r="C54">
            <v>202.951171875</v>
          </cell>
          <cell r="D54">
            <v>2304.0517500000001</v>
          </cell>
          <cell r="E54">
            <v>331.47453234960932</v>
          </cell>
          <cell r="F54">
            <v>1649</v>
          </cell>
          <cell r="G54">
            <v>1.3972418132201334</v>
          </cell>
          <cell r="H54">
            <v>0.20101548353523913</v>
          </cell>
          <cell r="J54">
            <v>0.83457019949764666</v>
          </cell>
          <cell r="K54">
            <v>13.650139924547021</v>
          </cell>
          <cell r="L54">
            <v>2.0040650876424158</v>
          </cell>
          <cell r="M54">
            <v>7.8271025060947181</v>
          </cell>
          <cell r="N54">
            <v>254.6</v>
          </cell>
          <cell r="O54">
            <v>9.0496926551453267</v>
          </cell>
          <cell r="V54">
            <v>1.3019423894328725</v>
          </cell>
          <cell r="W54">
            <v>5.1758175222890994</v>
          </cell>
          <cell r="X54">
            <v>0.29160821182338637</v>
          </cell>
          <cell r="Y54">
            <v>0.08</v>
          </cell>
        </row>
        <row r="55">
          <cell r="B55">
            <v>1992</v>
          </cell>
          <cell r="C55">
            <v>281.91743750000001</v>
          </cell>
          <cell r="D55">
            <v>3996.727656</v>
          </cell>
          <cell r="E55">
            <v>2962.2786993058126</v>
          </cell>
          <cell r="F55">
            <v>1848.04</v>
          </cell>
          <cell r="G55">
            <v>2.1626846042293457</v>
          </cell>
          <cell r="H55">
            <v>1.6029299686726546</v>
          </cell>
          <cell r="J55">
            <v>0.94952622432232503</v>
          </cell>
          <cell r="K55">
            <v>14.55883960431547</v>
          </cell>
          <cell r="L55">
            <v>10.694456603604987</v>
          </cell>
          <cell r="M55">
            <v>12.626648103960228</v>
          </cell>
          <cell r="N55">
            <v>439.48600000000005</v>
          </cell>
          <cell r="O55">
            <v>9.0940955024733423</v>
          </cell>
          <cell r="V55">
            <v>6.7403255150466963</v>
          </cell>
          <cell r="W55">
            <v>7.9172105087600197</v>
          </cell>
          <cell r="X55">
            <v>0.30530247542777034</v>
          </cell>
          <cell r="Y55">
            <v>0.16</v>
          </cell>
        </row>
        <row r="56">
          <cell r="B56">
            <v>1993</v>
          </cell>
          <cell r="C56">
            <v>278.67518749999999</v>
          </cell>
          <cell r="D56">
            <v>4486.9631520000003</v>
          </cell>
          <cell r="E56">
            <v>2834.3677680000001</v>
          </cell>
          <cell r="F56">
            <v>2704.4479999999999</v>
          </cell>
          <cell r="G56">
            <v>1.6591049826064324</v>
          </cell>
          <cell r="H56">
            <v>1.0480392923066002</v>
          </cell>
          <cell r="J56">
            <v>0.73305414031523641</v>
          </cell>
          <cell r="K56">
            <v>21.477267686162421</v>
          </cell>
          <cell r="L56">
            <v>14.318178457441615</v>
          </cell>
          <cell r="M56">
            <v>17.897723071802019</v>
          </cell>
          <cell r="N56">
            <v>508.7439999999998</v>
          </cell>
          <cell r="O56">
            <v>8.8196876071265748</v>
          </cell>
          <cell r="V56">
            <v>5.5713045618228447</v>
          </cell>
          <cell r="W56">
            <v>7.1954960844747102</v>
          </cell>
          <cell r="X56">
            <v>0.29066464502387651</v>
          </cell>
          <cell r="Y56">
            <v>0.18</v>
          </cell>
        </row>
        <row r="57">
          <cell r="B57">
            <v>1994</v>
          </cell>
          <cell r="C57">
            <v>279.05324999999999</v>
          </cell>
          <cell r="D57">
            <v>5368.0263599999998</v>
          </cell>
          <cell r="E57">
            <v>3815.3154560000003</v>
          </cell>
          <cell r="F57">
            <v>3205.0250000000001</v>
          </cell>
          <cell r="G57">
            <v>1.6748781553966037</v>
          </cell>
          <cell r="H57">
            <v>1.1904167536914689</v>
          </cell>
          <cell r="J57">
            <v>1.247406182487397</v>
          </cell>
          <cell r="K57">
            <v>15.135406786546652</v>
          </cell>
          <cell r="L57">
            <v>10.620437982424262</v>
          </cell>
          <cell r="M57">
            <v>12.877922384485457</v>
          </cell>
          <cell r="N57">
            <v>682.25599999999986</v>
          </cell>
          <cell r="O57">
            <v>7.8680529889073911</v>
          </cell>
          <cell r="V57">
            <v>5.5922050608569229</v>
          </cell>
          <cell r="W57">
            <v>6.7301290248821566</v>
          </cell>
          <cell r="X57">
            <v>0.22886694450588077</v>
          </cell>
          <cell r="Y57">
            <v>0.24</v>
          </cell>
        </row>
        <row r="58">
          <cell r="B58">
            <v>1995</v>
          </cell>
          <cell r="C58">
            <v>281.01483333333329</v>
          </cell>
          <cell r="D58">
            <v>6906.6623499999996</v>
          </cell>
          <cell r="E58">
            <v>4622.3267733333332</v>
          </cell>
          <cell r="F58">
            <v>3638.8119999999999</v>
          </cell>
          <cell r="G58">
            <v>1.8980541863663194</v>
          </cell>
          <cell r="H58">
            <v>1.2702845800589131</v>
          </cell>
          <cell r="J58">
            <v>1.7040994030581949</v>
          </cell>
          <cell r="K58">
            <v>14.611823673732998</v>
          </cell>
          <cell r="L58">
            <v>9.2482867910856239</v>
          </cell>
          <cell r="M58">
            <v>11.930055232409311</v>
          </cell>
          <cell r="N58">
            <v>786.51600000000019</v>
          </cell>
          <cell r="O58">
            <v>8.7813373790234373</v>
          </cell>
          <cell r="V58">
            <v>5.8769647067997752</v>
          </cell>
          <cell r="W58">
            <v>7.3291510429116062</v>
          </cell>
          <cell r="X58">
            <v>0.24683762680015095</v>
          </cell>
          <cell r="Y58">
            <v>0.26</v>
          </cell>
        </row>
        <row r="59">
          <cell r="B59" t="str">
            <v>1996E</v>
          </cell>
          <cell r="C59">
            <v>295.40699999999998</v>
          </cell>
          <cell r="D59">
            <v>8722.1468749999985</v>
          </cell>
          <cell r="F59">
            <v>4535.3320000000003</v>
          </cell>
          <cell r="G59">
            <v>1.9231551019859181</v>
          </cell>
          <cell r="J59">
            <v>1.8727518305253441</v>
          </cell>
          <cell r="K59">
            <v>15.55198052687518</v>
          </cell>
          <cell r="N59">
            <v>817.98200000000031</v>
          </cell>
          <cell r="O59">
            <v>10.663005879102469</v>
          </cell>
          <cell r="W59">
            <v>10.663005879102469</v>
          </cell>
          <cell r="X59">
            <v>0.20831540189600206</v>
          </cell>
          <cell r="Y59">
            <v>0.26</v>
          </cell>
        </row>
        <row r="60">
          <cell r="B60" t="str">
            <v>1997E</v>
          </cell>
          <cell r="C60">
            <v>295.08699999999999</v>
          </cell>
          <cell r="D60">
            <v>8787.9418749999986</v>
          </cell>
          <cell r="F60">
            <v>4867.32</v>
          </cell>
          <cell r="G60">
            <v>1.8054990990935462</v>
          </cell>
          <cell r="J60">
            <v>2.3889529051324452</v>
          </cell>
          <cell r="K60">
            <v>12.191533762523163</v>
          </cell>
          <cell r="N60">
            <v>1034.81864</v>
          </cell>
          <cell r="O60">
            <v>8.4922531691157008</v>
          </cell>
          <cell r="W60">
            <v>8.4922531691157008</v>
          </cell>
          <cell r="X60">
            <v>0.27447003739485709</v>
          </cell>
          <cell r="Y60">
            <v>0.26</v>
          </cell>
        </row>
        <row r="62">
          <cell r="B62" t="str">
            <v>Average 1982-1985</v>
          </cell>
          <cell r="G62">
            <v>0.96745668572167109</v>
          </cell>
          <cell r="H62">
            <v>0.59613734103916705</v>
          </cell>
          <cell r="K62">
            <v>11.274805866702415</v>
          </cell>
          <cell r="L62">
            <v>4.1365046622853665</v>
          </cell>
          <cell r="M62">
            <v>7.7056552644938918</v>
          </cell>
          <cell r="O62">
            <v>6.5885585063187815</v>
          </cell>
          <cell r="P62" t="e">
            <v>#DIV/0!</v>
          </cell>
          <cell r="Q62" t="e">
            <v>#DIV/0!</v>
          </cell>
          <cell r="S62" t="e">
            <v>#DIV/0!</v>
          </cell>
          <cell r="T62" t="e">
            <v>#DIV/0!</v>
          </cell>
          <cell r="V62">
            <v>4.0407495275753762</v>
          </cell>
          <cell r="W62">
            <v>5.3146540169470784</v>
          </cell>
        </row>
        <row r="63">
          <cell r="B63" t="str">
            <v>Average 1985-1995</v>
          </cell>
          <cell r="G63">
            <v>1.2923859970655855</v>
          </cell>
          <cell r="H63">
            <v>0.78840122953824365</v>
          </cell>
          <cell r="K63">
            <v>12.761357860277927</v>
          </cell>
          <cell r="L63">
            <v>7.3464804100011349</v>
          </cell>
          <cell r="M63">
            <v>10.05391913513953</v>
          </cell>
          <cell r="O63">
            <v>7.7857092297411903</v>
          </cell>
          <cell r="P63" t="e">
            <v>#DIV/0!</v>
          </cell>
          <cell r="Q63" t="e">
            <v>#DIV/0!</v>
          </cell>
          <cell r="R63" t="e">
            <v>#DIV/0!</v>
          </cell>
          <cell r="S63" t="e">
            <v>#DIV/0!</v>
          </cell>
          <cell r="T63" t="e">
            <v>#DIV/0!</v>
          </cell>
          <cell r="U63" t="e">
            <v>#DIV/0!</v>
          </cell>
          <cell r="V63">
            <v>4.6284189584957227</v>
          </cell>
          <cell r="W63">
            <v>6.2070640941184569</v>
          </cell>
          <cell r="X63">
            <v>0.3026054680871717</v>
          </cell>
        </row>
        <row r="64">
          <cell r="B64" t="str">
            <v>Average 1991-1995</v>
          </cell>
          <cell r="G64">
            <v>1.7583927483637669</v>
          </cell>
          <cell r="H64">
            <v>1.0625372156529751</v>
          </cell>
          <cell r="M64">
            <v>12.631890259750346</v>
          </cell>
          <cell r="W64">
            <v>6.8695608366635188</v>
          </cell>
        </row>
        <row r="66">
          <cell r="B66" t="str">
            <v>As of :</v>
          </cell>
          <cell r="C66">
            <v>36077.757145601849</v>
          </cell>
          <cell r="E66">
            <v>12686.25</v>
          </cell>
          <cell r="F66">
            <v>1994</v>
          </cell>
          <cell r="H66">
            <v>3.9582374552460586</v>
          </cell>
          <cell r="M66">
            <v>34.070698539630968</v>
          </cell>
          <cell r="W66">
            <v>18.878226061771539</v>
          </cell>
        </row>
        <row r="67">
          <cell r="F67">
            <v>1995</v>
          </cell>
          <cell r="H67">
            <v>3.4863713761524369</v>
          </cell>
          <cell r="M67">
            <v>24.939859684082425</v>
          </cell>
          <cell r="W67">
            <v>16.375741879376893</v>
          </cell>
        </row>
        <row r="68">
          <cell r="F68" t="str">
            <v>1996E</v>
          </cell>
          <cell r="H68">
            <v>2.7972042620033108</v>
          </cell>
          <cell r="M68">
            <v>22.693877163680522</v>
          </cell>
          <cell r="W68">
            <v>15.745802474871079</v>
          </cell>
        </row>
        <row r="69">
          <cell r="F69" t="str">
            <v>1997E</v>
          </cell>
          <cell r="H69">
            <v>2.606413796504031</v>
          </cell>
          <cell r="M69">
            <v>17.790220941020923</v>
          </cell>
          <cell r="W69">
            <v>12.446415731359458</v>
          </cell>
        </row>
        <row r="70">
          <cell r="B70" t="str">
            <v>Stock splits:   Five-for-four in 3Q91, three-for-two in 2Q92, five-for-four 1Q94, 5 for 4 Q494, five-for-four 1Q96.</v>
          </cell>
        </row>
        <row r="71">
          <cell r="B71" t="str">
            <v>Earnings exclude extraordinary gains and losses.       1982-84 EBITDA excludes all non-toy businesses.</v>
          </cell>
        </row>
        <row r="72">
          <cell r="B72" t="str">
            <v>E = Morgan Stanley Research Estimate</v>
          </cell>
        </row>
      </sheetData>
      <sheetData sheetId="6" refreshError="1">
        <row r="2">
          <cell r="A2" t="str">
            <v>Mattel</v>
          </cell>
        </row>
        <row r="81">
          <cell r="A81" t="str">
            <v xml:space="preserve">Income Statement Analysis </v>
          </cell>
          <cell r="B81">
            <v>1985</v>
          </cell>
          <cell r="C81">
            <v>1986</v>
          </cell>
          <cell r="D81">
            <v>1987</v>
          </cell>
          <cell r="E81">
            <v>1988</v>
          </cell>
          <cell r="F81">
            <v>1989</v>
          </cell>
          <cell r="G81">
            <v>1990</v>
          </cell>
          <cell r="H81">
            <v>1991</v>
          </cell>
          <cell r="I81">
            <v>1992</v>
          </cell>
          <cell r="J81">
            <v>1992</v>
          </cell>
          <cell r="K81">
            <v>1992</v>
          </cell>
          <cell r="L81">
            <v>1992</v>
          </cell>
          <cell r="M81">
            <v>1993</v>
          </cell>
          <cell r="N81">
            <v>1992</v>
          </cell>
          <cell r="O81">
            <v>1992</v>
          </cell>
          <cell r="P81">
            <v>1994</v>
          </cell>
          <cell r="Q81">
            <v>1995</v>
          </cell>
          <cell r="R81">
            <v>1996</v>
          </cell>
          <cell r="S81" t="str">
            <v>1997E</v>
          </cell>
        </row>
        <row r="82">
          <cell r="A82" t="str">
            <v>As Percent of Net Sales:</v>
          </cell>
        </row>
        <row r="83">
          <cell r="A83" t="str">
            <v xml:space="preserve">   Cost of Goods Sold</v>
          </cell>
          <cell r="B83">
            <v>0.49580941796202965</v>
          </cell>
          <cell r="C83">
            <v>0.51379991725716967</v>
          </cell>
          <cell r="D83">
            <v>0.54894154737793532</v>
          </cell>
          <cell r="E83">
            <v>0.51583215401538818</v>
          </cell>
          <cell r="F83">
            <v>0.50321462957588559</v>
          </cell>
          <cell r="G83">
            <v>0.52170756662606055</v>
          </cell>
          <cell r="H83">
            <v>0.5070583862335849</v>
          </cell>
          <cell r="I83">
            <v>0.51656098536195283</v>
          </cell>
          <cell r="K83">
            <v>0.49</v>
          </cell>
          <cell r="M83">
            <v>0.50959789206521999</v>
          </cell>
          <cell r="N83">
            <v>0.49199999999999999</v>
          </cell>
          <cell r="P83">
            <v>0.5003149741421673</v>
          </cell>
          <cell r="Q83">
            <v>0.50831150386444812</v>
          </cell>
          <cell r="R83">
            <v>0.50743231146032963</v>
          </cell>
          <cell r="S83">
            <v>0.5</v>
          </cell>
        </row>
        <row r="84">
          <cell r="A84" t="str">
            <v xml:space="preserve">   Gross margin</v>
          </cell>
          <cell r="B84">
            <v>0.5041905820379704</v>
          </cell>
          <cell r="C84">
            <v>0.48620008274283033</v>
          </cell>
          <cell r="D84">
            <v>0.45105845262206468</v>
          </cell>
          <cell r="E84">
            <v>0.48416784598461182</v>
          </cell>
          <cell r="F84">
            <v>0.49678537042411441</v>
          </cell>
          <cell r="G84">
            <v>0.47829243337393945</v>
          </cell>
          <cell r="H84">
            <v>0.4929416137664151</v>
          </cell>
          <cell r="I84">
            <v>0.48343901463804717</v>
          </cell>
          <cell r="K84">
            <v>0.51</v>
          </cell>
          <cell r="M84">
            <v>0.49040210793478001</v>
          </cell>
          <cell r="N84">
            <v>0.50800000000000001</v>
          </cell>
          <cell r="P84">
            <v>0.4996850258578327</v>
          </cell>
          <cell r="Q84">
            <v>0.49168849613555188</v>
          </cell>
          <cell r="R84">
            <v>0.49256768853967037</v>
          </cell>
          <cell r="S84">
            <v>0.5</v>
          </cell>
        </row>
        <row r="86">
          <cell r="A86" t="str">
            <v xml:space="preserve">  Advertising and Promotion</v>
          </cell>
          <cell r="B86">
            <v>0.17674664677313762</v>
          </cell>
          <cell r="C86">
            <v>0.18717637257698577</v>
          </cell>
          <cell r="D86">
            <v>0.18446308797204908</v>
          </cell>
          <cell r="E86">
            <v>0.16347215445984206</v>
          </cell>
          <cell r="F86">
            <v>0.15776705111798617</v>
          </cell>
          <cell r="G86">
            <v>0.15272167724562416</v>
          </cell>
          <cell r="H86">
            <v>0.15307369208688232</v>
          </cell>
          <cell r="I86">
            <v>0.15736807715938014</v>
          </cell>
          <cell r="K86">
            <v>0.16</v>
          </cell>
          <cell r="M86">
            <v>0.15777637432851363</v>
          </cell>
          <cell r="N86">
            <v>0.155</v>
          </cell>
          <cell r="P86">
            <v>0.16114850898198921</v>
          </cell>
          <cell r="Q86">
            <v>0.16062852381491541</v>
          </cell>
          <cell r="R86">
            <v>0.17006671176443089</v>
          </cell>
          <cell r="S86">
            <v>0.158</v>
          </cell>
        </row>
        <row r="87">
          <cell r="A87" t="str">
            <v xml:space="preserve">  Design &amp; Development</v>
          </cell>
          <cell r="B87">
            <v>3.4170751944947703E-2</v>
          </cell>
          <cell r="C87">
            <v>3.4179589724020548E-2</v>
          </cell>
          <cell r="D87">
            <v>3.4220066387340521E-2</v>
          </cell>
          <cell r="E87">
            <v>3.1132983628945666E-2</v>
          </cell>
          <cell r="F87">
            <v>3.111153507555774E-2</v>
          </cell>
          <cell r="G87">
            <v>2.8967242632130109E-2</v>
          </cell>
          <cell r="H87">
            <v>2.9081242537926585E-2</v>
          </cell>
          <cell r="I87">
            <v>2.3232463112316051E-2</v>
          </cell>
          <cell r="K87">
            <v>2.9000000000000001E-2</v>
          </cell>
          <cell r="M87">
            <v>2.788554263198997E-2</v>
          </cell>
          <cell r="N87">
            <v>2.5999999999999999E-2</v>
          </cell>
          <cell r="P87">
            <v>2.9064671882434615E-2</v>
          </cell>
          <cell r="Q87">
            <v>3.0581409536958766E-2</v>
          </cell>
          <cell r="R87">
            <v>3.15E-2</v>
          </cell>
          <cell r="S87">
            <v>0.03</v>
          </cell>
        </row>
        <row r="88">
          <cell r="A88" t="str">
            <v xml:space="preserve">  Provision for Doubtful Accts.</v>
          </cell>
          <cell r="B88">
            <v>0</v>
          </cell>
          <cell r="C88">
            <v>0</v>
          </cell>
          <cell r="D88">
            <v>1.205794873705241E-3</v>
          </cell>
          <cell r="E88">
            <v>5.1819281015051833E-3</v>
          </cell>
          <cell r="F88">
            <v>2.433304419317365E-3</v>
          </cell>
          <cell r="G88">
            <v>1.4005097134064243E-2</v>
          </cell>
          <cell r="H88">
            <v>1.1211680035993798E-3</v>
          </cell>
          <cell r="I88">
            <v>8.8058435162520366E-3</v>
          </cell>
          <cell r="K88">
            <v>0</v>
          </cell>
          <cell r="M88">
            <v>1.5415345386563173E-3</v>
          </cell>
          <cell r="N88">
            <v>2E-3</v>
          </cell>
          <cell r="P88">
            <v>0</v>
          </cell>
          <cell r="Q88">
            <v>2E-3</v>
          </cell>
          <cell r="R88">
            <v>2E-3</v>
          </cell>
          <cell r="S88">
            <v>2E-3</v>
          </cell>
        </row>
        <row r="89">
          <cell r="A89" t="str">
            <v xml:space="preserve">  Other Selling &amp; Admin.</v>
          </cell>
          <cell r="B89">
            <v>0.15733998903825949</v>
          </cell>
          <cell r="C89">
            <v>0.19632625611361837</v>
          </cell>
          <cell r="D89">
            <v>0.19451726051247262</v>
          </cell>
          <cell r="E89">
            <v>0.18363318817873914</v>
          </cell>
          <cell r="F89">
            <v>0.17360939886063148</v>
          </cell>
          <cell r="G89">
            <v>0.15457433053364963</v>
          </cell>
          <cell r="H89">
            <v>0.15661182908039364</v>
          </cell>
          <cell r="I89">
            <v>0.15175003169463921</v>
          </cell>
          <cell r="K89">
            <v>0.16</v>
          </cell>
          <cell r="M89">
            <v>0.14561566722673167</v>
          </cell>
          <cell r="N89">
            <v>0.16</v>
          </cell>
          <cell r="P89">
            <v>0.13831093361206229</v>
          </cell>
          <cell r="Q89">
            <v>0.152</v>
          </cell>
          <cell r="R89">
            <v>0.157</v>
          </cell>
          <cell r="S89">
            <v>0.157</v>
          </cell>
        </row>
        <row r="90">
          <cell r="A90" t="str">
            <v xml:space="preserve">  Total SG&amp;A</v>
          </cell>
          <cell r="B90">
            <v>0.19151074098320719</v>
          </cell>
          <cell r="C90">
            <v>0.23050584583763892</v>
          </cell>
          <cell r="D90">
            <v>0.22994312177351839</v>
          </cell>
          <cell r="E90">
            <v>0.21994809990918998</v>
          </cell>
          <cell r="F90">
            <v>0.20715423835550659</v>
          </cell>
          <cell r="G90">
            <v>0.19754667029984399</v>
          </cell>
          <cell r="H90">
            <v>0.19045909677153339</v>
          </cell>
          <cell r="I90">
            <v>0.18378833832320729</v>
          </cell>
          <cell r="K90">
            <v>0.18599325108700768</v>
          </cell>
          <cell r="M90">
            <v>0.17504274439737796</v>
          </cell>
          <cell r="N90">
            <v>0.186</v>
          </cell>
          <cell r="P90">
            <v>0.16737560549449693</v>
          </cell>
          <cell r="Q90">
            <v>0.165730188863838</v>
          </cell>
          <cell r="R90">
            <v>0.17029293555576527</v>
          </cell>
          <cell r="S90">
            <v>0.16500000000000001</v>
          </cell>
        </row>
        <row r="91">
          <cell r="A91" t="str">
            <v xml:space="preserve">    Operating Profit</v>
          </cell>
          <cell r="B91">
            <v>0.13593319428162556</v>
          </cell>
          <cell r="C91">
            <v>6.8517864328205669E-2</v>
          </cell>
          <cell r="D91">
            <v>3.6652242876497147E-2</v>
          </cell>
          <cell r="E91">
            <v>0.10074759161557975</v>
          </cell>
          <cell r="F91">
            <v>0.13186408095062169</v>
          </cell>
          <cell r="G91">
            <v>0.12802408582847122</v>
          </cell>
          <cell r="H91">
            <v>0.14940882490799931</v>
          </cell>
          <cell r="I91">
            <v>0.14228259915545979</v>
          </cell>
          <cell r="K91">
            <v>0.16837626441956646</v>
          </cell>
          <cell r="M91">
            <v>0.15758298920888841</v>
          </cell>
          <cell r="N91">
            <v>0.17600000000000005</v>
          </cell>
          <cell r="P91">
            <v>0.17116091138134648</v>
          </cell>
          <cell r="Q91">
            <v>0.16532978345679852</v>
          </cell>
          <cell r="R91">
            <v>0.15220804121947423</v>
          </cell>
          <cell r="S91">
            <v>0.17699999999999999</v>
          </cell>
        </row>
        <row r="94">
          <cell r="A94" t="str">
            <v>As Percent of Net Income:</v>
          </cell>
        </row>
        <row r="95">
          <cell r="A95" t="str">
            <v xml:space="preserve">  Operating Profit</v>
          </cell>
          <cell r="B95">
            <v>2.2847820871651301</v>
          </cell>
          <cell r="C95">
            <v>-3.1065050747291325</v>
          </cell>
          <cell r="D95">
            <v>-0.3458809380637396</v>
          </cell>
          <cell r="E95">
            <v>2.7763612069925383</v>
          </cell>
          <cell r="F95">
            <v>2.0483210688901727</v>
          </cell>
          <cell r="G95">
            <v>2.0055240526458973</v>
          </cell>
          <cell r="H95">
            <v>2.0131623023816339</v>
          </cell>
          <cell r="I95">
            <v>1.973290557830784</v>
          </cell>
          <cell r="K95">
            <v>1.8566513698138416</v>
          </cell>
        </row>
        <row r="96">
          <cell r="A96" t="str">
            <v xml:space="preserve">  Royalty Income</v>
          </cell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  <cell r="F96" t="e">
            <v>#REF!</v>
          </cell>
          <cell r="G96" t="e">
            <v>#REF!</v>
          </cell>
          <cell r="H96" t="e">
            <v>#REF!</v>
          </cell>
          <cell r="I96" t="e">
            <v>#REF!</v>
          </cell>
          <cell r="K96" t="e">
            <v>#REF!</v>
          </cell>
        </row>
        <row r="97">
          <cell r="A97" t="str">
            <v xml:space="preserve">  Interest (Expense)</v>
          </cell>
          <cell r="B97">
            <v>-0.82416633346661083</v>
          </cell>
          <cell r="C97">
            <v>2.6956019014174974</v>
          </cell>
          <cell r="D97">
            <v>0.60500485683889138</v>
          </cell>
          <cell r="E97">
            <v>-1.536076160783876</v>
          </cell>
          <cell r="F97">
            <v>-0.62823668282391953</v>
          </cell>
          <cell r="G97">
            <v>-0.52236822832751006</v>
          </cell>
          <cell r="H97">
            <v>-0.45190571510274136</v>
          </cell>
          <cell r="I97">
            <v>-0.37175734820737805</v>
          </cell>
          <cell r="K97">
            <v>-0.27404008106779748</v>
          </cell>
        </row>
        <row r="98">
          <cell r="A98" t="str">
            <v xml:space="preserve">  Div. on STAR Pfd.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K98" t="e">
            <v>#REF!</v>
          </cell>
        </row>
        <row r="99">
          <cell r="A99" t="str">
            <v xml:space="preserve">  Other (Expense)</v>
          </cell>
          <cell r="B99">
            <v>0</v>
          </cell>
          <cell r="C99">
            <v>-0.58472870540876176</v>
          </cell>
          <cell r="D99">
            <v>-0.12285489615615887</v>
          </cell>
          <cell r="E99">
            <v>0.36098430018928823</v>
          </cell>
          <cell r="F99">
            <v>0.13096164954667608</v>
          </cell>
          <cell r="G99">
            <v>1.7984557761921725E-2</v>
          </cell>
          <cell r="H99">
            <v>2.1283549164590066E-2</v>
          </cell>
          <cell r="I99">
            <v>-7.0785161300793625E-2</v>
          </cell>
          <cell r="K99">
            <v>-5.1915420000773094E-2</v>
          </cell>
        </row>
        <row r="100">
          <cell r="A100" t="str">
            <v xml:space="preserve">  Tax (Expense)</v>
          </cell>
          <cell r="B100">
            <v>-0.4606157536985192</v>
          </cell>
          <cell r="C100">
            <v>1.995631878720397</v>
          </cell>
          <cell r="D100">
            <v>0.26088163189786745</v>
          </cell>
          <cell r="E100">
            <v>-0.60126934639795082</v>
          </cell>
          <cell r="F100">
            <v>-0.35663158952206347</v>
          </cell>
          <cell r="G100">
            <v>-0.50114038208030864</v>
          </cell>
          <cell r="H100">
            <v>-0.58254013644348246</v>
          </cell>
          <cell r="I100">
            <v>-0.53074804832261224</v>
          </cell>
          <cell r="K100">
            <v>-0.53069586874527119</v>
          </cell>
        </row>
        <row r="102">
          <cell r="A102" t="str">
            <v>Percentage Incr, Year-to-Year</v>
          </cell>
        </row>
        <row r="103">
          <cell r="A103" t="str">
            <v xml:space="preserve">  Net Product Sales</v>
          </cell>
          <cell r="C103">
            <v>7.3972717445913716E-3</v>
          </cell>
          <cell r="D103">
            <v>-3.6486187803555725E-2</v>
          </cell>
          <cell r="E103">
            <v>-2.950276156435705E-2</v>
          </cell>
          <cell r="F103">
            <v>0.24952246461793637</v>
          </cell>
          <cell r="G103">
            <v>0.21043717830462549</v>
          </cell>
          <cell r="H103">
            <v>0.10142241563548549</v>
          </cell>
          <cell r="I103">
            <v>0.55443061461714449</v>
          </cell>
          <cell r="K103">
            <v>-0.22108580957860757</v>
          </cell>
          <cell r="M103">
            <v>5.497235252240551E-2</v>
          </cell>
          <cell r="N103">
            <v>0.59799772422483333</v>
          </cell>
          <cell r="P103">
            <v>0.18509396372198705</v>
          </cell>
          <cell r="Q103">
            <v>0.13534590213804876</v>
          </cell>
          <cell r="R103">
            <v>0.24637711428894948</v>
          </cell>
          <cell r="S103">
            <v>7.3200374305563365E-2</v>
          </cell>
        </row>
        <row r="104">
          <cell r="A104" t="str">
            <v xml:space="preserve">  Advertising and Promotion</v>
          </cell>
          <cell r="C104">
            <v>6.6843249994616327E-2</v>
          </cell>
          <cell r="D104">
            <v>-5.0453160008881448E-2</v>
          </cell>
          <cell r="E104">
            <v>-0.13994026551024097</v>
          </cell>
          <cell r="F104">
            <v>0.20591470272007117</v>
          </cell>
          <cell r="G104">
            <v>0.17172752334006303</v>
          </cell>
          <cell r="H104">
            <v>0.10396113210187519</v>
          </cell>
          <cell r="I104">
            <v>0.59803917685040298</v>
          </cell>
          <cell r="K104">
            <v>-0.18527974775480449</v>
          </cell>
          <cell r="M104">
            <v>5.7709516455677345E-2</v>
          </cell>
          <cell r="N104">
            <v>0.57273530710599885</v>
          </cell>
          <cell r="P104">
            <v>0.21042282832354497</v>
          </cell>
          <cell r="Q104">
            <v>0.13168243027387039</v>
          </cell>
          <cell r="R104">
            <v>0.31961156344686126</v>
          </cell>
          <cell r="S104">
            <v>-2.9462122184493733E-3</v>
          </cell>
        </row>
        <row r="105">
          <cell r="A105" t="str">
            <v xml:space="preserve">  Other Selling &amp; Admin.</v>
          </cell>
          <cell r="C105">
            <v>0.25701378263472696</v>
          </cell>
          <cell r="D105">
            <v>-4.5364227258949952E-2</v>
          </cell>
          <cell r="E105">
            <v>-8.3806231163882972E-2</v>
          </cell>
          <cell r="F105">
            <v>0.18131611228155098</v>
          </cell>
          <cell r="G105">
            <v>7.7721124071616465E-2</v>
          </cell>
          <cell r="H105">
            <v>0.11594065138304432</v>
          </cell>
          <cell r="I105">
            <v>0.50617546848381578</v>
          </cell>
          <cell r="K105">
            <v>-0.17873974011284899</v>
          </cell>
          <cell r="M105" t="str">
            <v>NM</v>
          </cell>
          <cell r="N105">
            <v>0.59799772422483333</v>
          </cell>
          <cell r="P105" t="str">
            <v>NM</v>
          </cell>
          <cell r="Q105">
            <v>-8.3255816554601236E-2</v>
          </cell>
          <cell r="R105">
            <v>4.3794975964288829E-2</v>
          </cell>
          <cell r="S105">
            <v>-0.1492186680650236</v>
          </cell>
        </row>
        <row r="106">
          <cell r="A106" t="str">
            <v xml:space="preserve">  Operating Profit</v>
          </cell>
          <cell r="C106">
            <v>-0.49221593772750261</v>
          </cell>
          <cell r="D106">
            <v>-0.48458781362007231</v>
          </cell>
          <cell r="E106">
            <v>1.6676473734888244</v>
          </cell>
          <cell r="F106">
            <v>0.63544486554773449</v>
          </cell>
          <cell r="G106">
            <v>0.17518820961769488</v>
          </cell>
          <cell r="H106">
            <v>0.28540053836362556</v>
          </cell>
          <cell r="I106">
            <v>0.48029025856226282</v>
          </cell>
          <cell r="K106">
            <v>-7.8238221223046134E-2</v>
          </cell>
          <cell r="M106">
            <v>0.1684190324747421</v>
          </cell>
          <cell r="N106">
            <v>0.67035181848878156</v>
          </cell>
          <cell r="P106">
            <v>0.28720595999296128</v>
          </cell>
          <cell r="Q106">
            <v>9.6666818575399605E-2</v>
          </cell>
          <cell r="R106">
            <v>0.1474558014906826</v>
          </cell>
          <cell r="S106">
            <v>0.24800545838560306</v>
          </cell>
        </row>
        <row r="107">
          <cell r="A107" t="str">
            <v xml:space="preserve">  Royalty Income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K107">
            <v>0</v>
          </cell>
          <cell r="M107">
            <v>0</v>
          </cell>
          <cell r="N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</row>
        <row r="108">
          <cell r="A108" t="str">
            <v xml:space="preserve">  Pretax Income</v>
          </cell>
          <cell r="C108">
            <v>-0.74542567752532229</v>
          </cell>
          <cell r="D108">
            <v>-1.6335756376618371</v>
          </cell>
          <cell r="E108">
            <v>-4.9052274270196765</v>
          </cell>
          <cell r="F108">
            <v>0.87806828454210306</v>
          </cell>
          <cell r="G108">
            <v>0.32811892552344535</v>
          </cell>
          <cell r="H108">
            <v>0.34996027376256311</v>
          </cell>
          <cell r="I108">
            <v>0.4607759622086276</v>
          </cell>
          <cell r="K108">
            <v>-2.0364381770308526E-2</v>
          </cell>
          <cell r="M108">
            <v>0.2428069059357818</v>
          </cell>
          <cell r="N108">
            <v>0.82762162250381954</v>
          </cell>
          <cell r="P108">
            <v>0.32414985525215778</v>
          </cell>
          <cell r="Q108">
            <v>0.1444703113188095</v>
          </cell>
          <cell r="R108">
            <v>4.8158948549640535E-2</v>
          </cell>
          <cell r="S108">
            <v>0.31679271563252898</v>
          </cell>
        </row>
        <row r="109">
          <cell r="A109" t="str">
            <v xml:space="preserve">  Net Income Before Extra.</v>
          </cell>
          <cell r="C109">
            <v>-1.3734666133546571</v>
          </cell>
          <cell r="D109">
            <v>3.6291379384180562</v>
          </cell>
          <cell r="E109">
            <v>-1.3323372958971276</v>
          </cell>
          <cell r="F109">
            <v>1.2167353301414074</v>
          </cell>
          <cell r="G109">
            <v>0.20026621794710664</v>
          </cell>
          <cell r="H109">
            <v>0.28052352953485071</v>
          </cell>
          <cell r="I109">
            <v>0.51020058008905722</v>
          </cell>
          <cell r="K109">
            <v>-2.0330987172759052E-2</v>
          </cell>
          <cell r="M109">
            <v>0.22474451014655838</v>
          </cell>
          <cell r="N109">
            <v>0.81839636367748181</v>
          </cell>
          <cell r="P109">
            <v>0.33681416007385678</v>
          </cell>
          <cell r="Q109">
            <v>0.18230061592957725</v>
          </cell>
          <cell r="R109">
            <v>8.2489756904658318E-2</v>
          </cell>
          <cell r="S109">
            <v>0.33357337787909969</v>
          </cell>
        </row>
        <row r="110">
          <cell r="A110" t="str">
            <v xml:space="preserve">  E.P.S. Primary</v>
          </cell>
          <cell r="C110">
            <v>-1.2727272727272727</v>
          </cell>
          <cell r="D110">
            <v>4.8974358974358969</v>
          </cell>
          <cell r="E110">
            <v>-1.3242299718676982</v>
          </cell>
          <cell r="F110">
            <v>1.1398014439214914</v>
          </cell>
          <cell r="G110">
            <v>9.8912256806834575E-2</v>
          </cell>
          <cell r="H110">
            <v>0.28880810215017205</v>
          </cell>
          <cell r="I110">
            <v>8.8016759152140578E-2</v>
          </cell>
          <cell r="K110">
            <v>-1</v>
          </cell>
          <cell r="M110">
            <v>0.24111467660501629</v>
          </cell>
          <cell r="N110" t="e">
            <v>#DIV/0!</v>
          </cell>
          <cell r="P110">
            <v>0.28122135978573182</v>
          </cell>
          <cell r="Q110">
            <v>0.18153616364473946</v>
          </cell>
          <cell r="R110">
            <v>1.9468195644288588E-2</v>
          </cell>
          <cell r="S110">
            <v>0.33111912825081591</v>
          </cell>
        </row>
        <row r="111">
          <cell r="A111" t="str">
            <v xml:space="preserve">  E.P.S. Fully Diluted</v>
          </cell>
          <cell r="C111">
            <v>-1.2727272727272727</v>
          </cell>
          <cell r="D111">
            <v>4.8974358974358969</v>
          </cell>
          <cell r="E111">
            <v>-1.3242299718676982</v>
          </cell>
          <cell r="F111">
            <v>1.1398014439214914</v>
          </cell>
          <cell r="G111">
            <v>0.14946892763537334</v>
          </cell>
          <cell r="H111">
            <v>0.20406994928603961</v>
          </cell>
          <cell r="I111">
            <v>9.7650633972782508E-2</v>
          </cell>
          <cell r="K111">
            <v>-1</v>
          </cell>
          <cell r="M111">
            <v>0.23304272205629473</v>
          </cell>
          <cell r="N111" t="e">
            <v>#DIV/0!</v>
          </cell>
          <cell r="P111">
            <v>0.30131682139783278</v>
          </cell>
          <cell r="Q111">
            <v>0.2003316023460362</v>
          </cell>
          <cell r="R111">
            <v>8.2397060220484875E-4</v>
          </cell>
          <cell r="S111">
            <v>0.32376082890619728</v>
          </cell>
        </row>
        <row r="113">
          <cell r="A113" t="str">
            <v>As Percent of Incremental Sales:</v>
          </cell>
        </row>
        <row r="114">
          <cell r="A114" t="str">
            <v xml:space="preserve">  Increm. Cost Of Goods Sold</v>
          </cell>
          <cell r="C114">
            <v>2.9458451247749422</v>
          </cell>
          <cell r="D114">
            <v>-0.41420731075903444</v>
          </cell>
          <cell r="E114">
            <v>1.6380794151852516</v>
          </cell>
          <cell r="F114">
            <v>0.45264794228854111</v>
          </cell>
          <cell r="G114">
            <v>0.6095862257069431</v>
          </cell>
          <cell r="H114">
            <v>0.36262108112023461</v>
          </cell>
          <cell r="I114">
            <v>0.53370036922323139</v>
          </cell>
          <cell r="K114">
            <v>0.64174719766249877</v>
          </cell>
          <cell r="N114">
            <v>0.46759140144808675</v>
          </cell>
        </row>
        <row r="115">
          <cell r="A115" t="str">
            <v xml:space="preserve">  Increm. Advert and Promo</v>
          </cell>
          <cell r="C115">
            <v>1.5971186004631048</v>
          </cell>
          <cell r="D115">
            <v>0.25882779331055139</v>
          </cell>
          <cell r="E115">
            <v>0.87496261837514766</v>
          </cell>
          <cell r="F115">
            <v>0.13490296410845995</v>
          </cell>
          <cell r="G115">
            <v>0.12874599997695071</v>
          </cell>
          <cell r="H115">
            <v>0.15654447158915047</v>
          </cell>
          <cell r="I115">
            <v>0.16511365426006611</v>
          </cell>
          <cell r="K115">
            <v>0.13188145225748502</v>
          </cell>
          <cell r="N115">
            <v>0.15764854247759111</v>
          </cell>
        </row>
        <row r="116">
          <cell r="A116" t="str">
            <v xml:space="preserve">  Increm. Design &amp; Dev.</v>
          </cell>
          <cell r="C116">
            <v>3.5374324671983863E-2</v>
          </cell>
          <cell r="D116">
            <v>3.3110696903800405E-2</v>
          </cell>
          <cell r="E116">
            <v>0.13577006147200554</v>
          </cell>
          <cell r="F116">
            <v>3.1025576669284516E-2</v>
          </cell>
          <cell r="G116">
            <v>1.8777539174295362E-2</v>
          </cell>
          <cell r="H116">
            <v>3.0205253488387408E-2</v>
          </cell>
          <cell r="I116">
            <v>1.2683299210807217E-2</v>
          </cell>
          <cell r="K116">
            <v>2.9126771696611725E-3</v>
          </cell>
          <cell r="N116">
            <v>2.098325850004059E-2</v>
          </cell>
        </row>
        <row r="117">
          <cell r="A117" t="str">
            <v xml:space="preserve">  Increm. Prov. for Doubtful Accts.</v>
          </cell>
          <cell r="C117">
            <v>0</v>
          </cell>
          <cell r="D117">
            <v>-3.1842187014600773E-2</v>
          </cell>
          <cell r="E117">
            <v>-0.12958963282937402</v>
          </cell>
          <cell r="F117">
            <v>-8.5822315421298541E-3</v>
          </cell>
          <cell r="G117">
            <v>6.8994395165782485E-2</v>
          </cell>
          <cell r="H117">
            <v>-0.12591119510605084</v>
          </cell>
          <cell r="I117">
            <v>2.2666325441405497E-2</v>
          </cell>
          <cell r="K117">
            <v>3.9829980644330305E-2</v>
          </cell>
          <cell r="N117">
            <v>0</v>
          </cell>
        </row>
        <row r="118">
          <cell r="A118" t="str">
            <v xml:space="preserve">  Increm. Oth Selling &amp; Admin.</v>
          </cell>
          <cell r="C118">
            <v>5.4666838178544683</v>
          </cell>
          <cell r="D118">
            <v>0.24409754582168353</v>
          </cell>
          <cell r="E118">
            <v>0.55255025751786135</v>
          </cell>
          <cell r="F118">
            <v>0.13343750759041703</v>
          </cell>
          <cell r="G118">
            <v>6.4119457110917252E-2</v>
          </cell>
          <cell r="H118">
            <v>0.17670106215552409</v>
          </cell>
          <cell r="I118">
            <v>0.1429810401245909</v>
          </cell>
          <cell r="K118">
            <v>0.12268431555564173</v>
          </cell>
          <cell r="N118">
            <v>0.15999999999999998</v>
          </cell>
        </row>
        <row r="119">
          <cell r="A119" t="str">
            <v xml:space="preserve">    Increm. Operating Profit</v>
          </cell>
          <cell r="C119">
            <v>-9.0450218677645005</v>
          </cell>
          <cell r="D119">
            <v>0.91001346173759978</v>
          </cell>
          <cell r="E119">
            <v>-2.0717727197208924</v>
          </cell>
          <cell r="F119">
            <v>0.25656824088542712</v>
          </cell>
          <cell r="G119">
            <v>0.10977638286511103</v>
          </cell>
          <cell r="H119">
            <v>0.36025707719559347</v>
          </cell>
          <cell r="I119">
            <v>0.12942936637093821</v>
          </cell>
          <cell r="K119">
            <v>5.0351207479722382E-2</v>
          </cell>
          <cell r="N119">
            <v>0.1887487702236928</v>
          </cell>
        </row>
        <row r="122">
          <cell r="A122" t="str">
            <v>Incremental:</v>
          </cell>
        </row>
        <row r="123">
          <cell r="A123" t="str">
            <v xml:space="preserve">  Net Product Sales</v>
          </cell>
          <cell r="C123">
            <v>7.7739999999998872</v>
          </cell>
          <cell r="D123">
            <v>-38.628000000000043</v>
          </cell>
          <cell r="E123">
            <v>-30.094999999999914</v>
          </cell>
          <cell r="F123">
            <v>247.02199999999993</v>
          </cell>
          <cell r="G123">
            <v>260.31099999999992</v>
          </cell>
          <cell r="H123">
            <v>151.8610000000001</v>
          </cell>
          <cell r="I123">
            <v>914.35200000000009</v>
          </cell>
          <cell r="K123">
            <v>-566.75900000000001</v>
          </cell>
          <cell r="N123">
            <v>1194.0615238095238</v>
          </cell>
        </row>
        <row r="124">
          <cell r="A124" t="str">
            <v xml:space="preserve">   Cost of Goods Sold</v>
          </cell>
          <cell r="C124">
            <v>22.901000000000067</v>
          </cell>
          <cell r="D124">
            <v>16</v>
          </cell>
          <cell r="E124">
            <v>-49.298000000000002</v>
          </cell>
          <cell r="F124">
            <v>111.81399999999996</v>
          </cell>
          <cell r="G124">
            <v>158.68200000000002</v>
          </cell>
          <cell r="H124">
            <v>55.067999999999984</v>
          </cell>
          <cell r="I124">
            <v>487.99000000000012</v>
          </cell>
          <cell r="K124">
            <v>-363.71600000000012</v>
          </cell>
          <cell r="N124">
            <v>558.33290133333321</v>
          </cell>
        </row>
        <row r="125">
          <cell r="A125" t="str">
            <v xml:space="preserve">  Advertising and Promotion</v>
          </cell>
          <cell r="C125">
            <v>12.415999999999997</v>
          </cell>
          <cell r="D125">
            <v>-9.9979999999999905</v>
          </cell>
          <cell r="E125">
            <v>-26.331999999999994</v>
          </cell>
          <cell r="F125">
            <v>33.323999999999984</v>
          </cell>
          <cell r="G125">
            <v>33.51400000000001</v>
          </cell>
          <cell r="H125">
            <v>23.772999999999996</v>
          </cell>
          <cell r="I125">
            <v>150.97199999999998</v>
          </cell>
          <cell r="K125">
            <v>-74.744999999999948</v>
          </cell>
          <cell r="N125">
            <v>188.24205885714287</v>
          </cell>
        </row>
        <row r="126">
          <cell r="A126" t="str">
            <v xml:space="preserve">  Design &amp; Development</v>
          </cell>
          <cell r="C126">
            <v>0.27499999999999858</v>
          </cell>
          <cell r="D126">
            <v>-1.2790000000000035</v>
          </cell>
          <cell r="E126">
            <v>-4.085999999999995</v>
          </cell>
          <cell r="F126">
            <v>7.6639999999999979</v>
          </cell>
          <cell r="G126">
            <v>4.8879999999999981</v>
          </cell>
          <cell r="H126">
            <v>4.5870000000000033</v>
          </cell>
          <cell r="I126">
            <v>11.597000000000001</v>
          </cell>
          <cell r="K126">
            <v>-1.6507859999999965</v>
          </cell>
          <cell r="N126">
            <v>25.055301619047611</v>
          </cell>
        </row>
        <row r="127">
          <cell r="A127" t="str">
            <v xml:space="preserve">  Provision for Doubtful Accts.</v>
          </cell>
          <cell r="C127">
            <v>0</v>
          </cell>
          <cell r="D127">
            <v>1.23</v>
          </cell>
          <cell r="E127">
            <v>3.9</v>
          </cell>
          <cell r="F127">
            <v>-2.12</v>
          </cell>
          <cell r="G127">
            <v>17.96</v>
          </cell>
          <cell r="H127">
            <v>-19.120999999999999</v>
          </cell>
          <cell r="I127">
            <v>20.725000000000001</v>
          </cell>
          <cell r="K127">
            <v>-22.574000000000002</v>
          </cell>
          <cell r="N127">
            <v>0</v>
          </cell>
        </row>
        <row r="128">
          <cell r="A128" t="str">
            <v xml:space="preserve">  Other Selling &amp; Admin.</v>
          </cell>
          <cell r="C128">
            <v>42.498000000000019</v>
          </cell>
          <cell r="D128">
            <v>-9.429000000000002</v>
          </cell>
          <cell r="E128">
            <v>-16.628999999999991</v>
          </cell>
          <cell r="F128">
            <v>32.961999999999989</v>
          </cell>
          <cell r="G128">
            <v>16.690999999999974</v>
          </cell>
          <cell r="H128">
            <v>26.83400000000006</v>
          </cell>
          <cell r="I128">
            <v>130.73499999999996</v>
          </cell>
          <cell r="K128">
            <v>-69.532439999999951</v>
          </cell>
          <cell r="N128">
            <v>191.04984380952379</v>
          </cell>
        </row>
        <row r="129">
          <cell r="A129" t="str">
            <v xml:space="preserve">    Operating Profit</v>
          </cell>
          <cell r="C129">
            <v>-70.316000000000201</v>
          </cell>
          <cell r="D129">
            <v>-35.152000000000044</v>
          </cell>
          <cell r="E129">
            <v>62.35000000000008</v>
          </cell>
          <cell r="F129">
            <v>63.377999999999957</v>
          </cell>
          <cell r="G129">
            <v>28.575999999999908</v>
          </cell>
          <cell r="H129">
            <v>54.70900000000006</v>
          </cell>
          <cell r="I129">
            <v>118.34400000000011</v>
          </cell>
          <cell r="K129">
            <v>-28.536999999999978</v>
          </cell>
          <cell r="N129">
            <v>225.3776441904763</v>
          </cell>
        </row>
        <row r="133">
          <cell r="A133" t="str">
            <v xml:space="preserve"> </v>
          </cell>
          <cell r="I133">
            <v>1992</v>
          </cell>
          <cell r="K133" t="str">
            <v xml:space="preserve">     1993E</v>
          </cell>
          <cell r="M133">
            <v>1993</v>
          </cell>
          <cell r="N133" t="str">
            <v>1994E</v>
          </cell>
          <cell r="P133">
            <v>1994</v>
          </cell>
          <cell r="Q133">
            <v>1995</v>
          </cell>
        </row>
      </sheetData>
      <sheetData sheetId="7" refreshError="1">
        <row r="2">
          <cell r="A2" t="str">
            <v>EBS DATA</v>
          </cell>
        </row>
        <row r="4">
          <cell r="B4" t="str">
            <v>Current Stock Price</v>
          </cell>
          <cell r="C4">
            <v>42.5</v>
          </cell>
          <cell r="E4" t="str">
            <v>Dividend</v>
          </cell>
          <cell r="F4">
            <v>0.2800000011920929</v>
          </cell>
          <cell r="G4" t="str">
            <v>Shares Out</v>
          </cell>
          <cell r="H4">
            <v>298500</v>
          </cell>
          <cell r="K4">
            <v>0.25</v>
          </cell>
        </row>
        <row r="5">
          <cell r="B5" t="str">
            <v>Price Range (High/Low)</v>
          </cell>
          <cell r="C5">
            <v>42.75</v>
          </cell>
          <cell r="D5">
            <v>23.375</v>
          </cell>
          <cell r="E5" t="str">
            <v>Yield</v>
          </cell>
          <cell r="F5">
            <v>6.5882353221668917E-3</v>
          </cell>
          <cell r="G5" t="str">
            <v>Market Capitalization</v>
          </cell>
          <cell r="H5">
            <v>12686.25</v>
          </cell>
          <cell r="K5">
            <v>0.27</v>
          </cell>
        </row>
        <row r="6">
          <cell r="B6" t="str">
            <v>Target Price</v>
          </cell>
          <cell r="C6">
            <v>37</v>
          </cell>
          <cell r="D6">
            <v>-0.12941176470588234</v>
          </cell>
          <cell r="E6" t="str">
            <v>5-yr Growth</v>
          </cell>
          <cell r="F6">
            <v>0.15</v>
          </cell>
          <cell r="G6" t="str">
            <v>Cap/Revenues</v>
          </cell>
          <cell r="H6">
            <v>2.797323053968265</v>
          </cell>
        </row>
        <row r="7">
          <cell r="E7" t="str">
            <v>5-yr EPS</v>
          </cell>
          <cell r="F7">
            <v>0.20756156401204087</v>
          </cell>
          <cell r="G7" t="str">
            <v>Net Debt/Cap</v>
          </cell>
          <cell r="H7">
            <v>0.24765439873497733</v>
          </cell>
        </row>
        <row r="9">
          <cell r="C9" t="str">
            <v>1994</v>
          </cell>
          <cell r="D9" t="str">
            <v>1995</v>
          </cell>
          <cell r="E9" t="str">
            <v>1996E</v>
          </cell>
          <cell r="F9" t="str">
            <v>1997E</v>
          </cell>
          <cell r="G9" t="str">
            <v>1998E</v>
          </cell>
        </row>
        <row r="10">
          <cell r="B10" t="str">
            <v>EPS</v>
          </cell>
          <cell r="C10">
            <v>0.91083668951537533</v>
          </cell>
          <cell r="D10">
            <v>1.1086959349593504</v>
          </cell>
          <cell r="E10">
            <v>1.2187442701102766</v>
          </cell>
          <cell r="F10">
            <v>1.648517011496585</v>
          </cell>
          <cell r="G10" t="e">
            <v>#REF!</v>
          </cell>
        </row>
        <row r="11">
          <cell r="B11" t="str">
            <v>P/E</v>
          </cell>
          <cell r="C11">
            <v>46.660395314787749</v>
          </cell>
          <cell r="D11">
            <v>38.333323555983128</v>
          </cell>
          <cell r="E11">
            <v>34.871958820495159</v>
          </cell>
          <cell r="F11">
            <v>25.780747000855587</v>
          </cell>
          <cell r="G11" t="e">
            <v>#REF!</v>
          </cell>
        </row>
        <row r="12">
          <cell r="B12" t="str">
            <v>SPX</v>
          </cell>
          <cell r="C12">
            <v>1042.89990234375</v>
          </cell>
        </row>
        <row r="13">
          <cell r="B13" t="str">
            <v>SPX-EPS</v>
          </cell>
          <cell r="D13">
            <v>38.74</v>
          </cell>
          <cell r="E13">
            <v>41.02</v>
          </cell>
          <cell r="F13">
            <v>45</v>
          </cell>
          <cell r="G13">
            <v>48</v>
          </cell>
        </row>
        <row r="14">
          <cell r="B14" t="str">
            <v>SPX P/E</v>
          </cell>
          <cell r="D14">
            <v>26.920493090958956</v>
          </cell>
          <cell r="E14">
            <v>25.424180944508773</v>
          </cell>
          <cell r="F14">
            <v>23.175553385416666</v>
          </cell>
          <cell r="G14">
            <v>21.727081298828125</v>
          </cell>
        </row>
        <row r="15">
          <cell r="B15" t="str">
            <v>Rel P/E</v>
          </cell>
          <cell r="D15">
            <v>1.4239458180228164</v>
          </cell>
          <cell r="E15">
            <v>1.3716059878824516</v>
          </cell>
          <cell r="F15">
            <v>1.1124112797702708</v>
          </cell>
          <cell r="G15" t="e">
            <v>#REF!</v>
          </cell>
        </row>
        <row r="16">
          <cell r="B16" t="str">
            <v>P/CEPS</v>
          </cell>
          <cell r="C16">
            <v>34.070698539630968</v>
          </cell>
          <cell r="D16">
            <v>24.939859684082425</v>
          </cell>
          <cell r="E16">
            <v>22.693877163680522</v>
          </cell>
          <cell r="F16">
            <v>17.790220941020923</v>
          </cell>
          <cell r="G16" t="e">
            <v>#REF!</v>
          </cell>
        </row>
        <row r="17">
          <cell r="B17" t="str">
            <v>CEPS</v>
          </cell>
          <cell r="C17">
            <v>1.247406182487397</v>
          </cell>
          <cell r="D17">
            <v>1.7040994030581949</v>
          </cell>
          <cell r="E17">
            <v>1.8727518305253441</v>
          </cell>
          <cell r="F17">
            <v>2.3889529051324452</v>
          </cell>
          <cell r="G17" t="e">
            <v>#REF!</v>
          </cell>
        </row>
        <row r="18">
          <cell r="B18" t="str">
            <v>Book Value/Share</v>
          </cell>
          <cell r="C18">
            <v>3.8958976209534266</v>
          </cell>
          <cell r="D18">
            <v>5.5682316532037852</v>
          </cell>
          <cell r="E18">
            <v>6.4805518431740543</v>
          </cell>
          <cell r="F18">
            <v>6.5383287846536389</v>
          </cell>
          <cell r="G18" t="e">
            <v>#REF!</v>
          </cell>
        </row>
        <row r="19">
          <cell r="B19" t="str">
            <v>P/Book</v>
          </cell>
          <cell r="C19">
            <v>10.908910894223949</v>
          </cell>
          <cell r="D19">
            <v>7.6325847498724011</v>
          </cell>
          <cell r="E19">
            <v>6.5580834824684135</v>
          </cell>
          <cell r="F19">
            <v>6.5001319755827165</v>
          </cell>
          <cell r="G19" t="e">
            <v>#REF!</v>
          </cell>
        </row>
        <row r="20">
          <cell r="B20" t="str">
            <v>Q1 EPS</v>
          </cell>
          <cell r="C20">
            <v>8.0524647887324025E-2</v>
          </cell>
          <cell r="D20">
            <v>9.2401834886972359E-2</v>
          </cell>
          <cell r="E20">
            <v>6.5941015465538988E-2</v>
          </cell>
          <cell r="F20">
            <v>8.9499499794542092E-3</v>
          </cell>
          <cell r="G20">
            <v>0</v>
          </cell>
        </row>
        <row r="21">
          <cell r="B21" t="str">
            <v>Q2 EPS</v>
          </cell>
          <cell r="C21">
            <v>0.19711029298295915</v>
          </cell>
          <cell r="D21">
            <v>0.23654816457584629</v>
          </cell>
          <cell r="E21">
            <v>0.2097269028853769</v>
          </cell>
          <cell r="F21">
            <v>0.24610359939942383</v>
          </cell>
          <cell r="G21">
            <v>0</v>
          </cell>
          <cell r="H21" t="str">
            <v xml:space="preserve"> </v>
          </cell>
        </row>
        <row r="22">
          <cell r="B22" t="str">
            <v>Q3 EPS</v>
          </cell>
          <cell r="C22">
            <v>0.46246873491596774</v>
          </cell>
          <cell r="D22">
            <v>0.53656966251779159</v>
          </cell>
          <cell r="E22">
            <v>0.6073492742234512</v>
          </cell>
          <cell r="F22">
            <v>0.74547972972972976</v>
          </cell>
          <cell r="G22">
            <v>0</v>
          </cell>
        </row>
        <row r="23">
          <cell r="B23" t="str">
            <v>Q4 EPS</v>
          </cell>
          <cell r="C23">
            <v>0.15273883818203704</v>
          </cell>
          <cell r="D23">
            <v>0.39877365584938612</v>
          </cell>
          <cell r="E23">
            <v>0.40777712020087653</v>
          </cell>
          <cell r="F23">
            <v>0.60401931469402759</v>
          </cell>
          <cell r="G23">
            <v>0</v>
          </cell>
        </row>
        <row r="24">
          <cell r="B24" t="str">
            <v>Total</v>
          </cell>
          <cell r="C24">
            <v>0.89284251396828795</v>
          </cell>
          <cell r="D24">
            <v>1.2642933178299964</v>
          </cell>
          <cell r="E24">
            <v>1.2907943127752435</v>
          </cell>
          <cell r="F24">
            <v>1.6045525938026353</v>
          </cell>
          <cell r="G24">
            <v>0</v>
          </cell>
        </row>
        <row r="25">
          <cell r="B25" t="str">
            <v>ROE</v>
          </cell>
          <cell r="C25">
            <v>0.22886694450588077</v>
          </cell>
          <cell r="D25">
            <v>0.24683762680015095</v>
          </cell>
          <cell r="E25">
            <v>0.20831540189600206</v>
          </cell>
          <cell r="F25">
            <v>0.27447003739485709</v>
          </cell>
          <cell r="G25" t="e">
            <v>#REF!</v>
          </cell>
        </row>
        <row r="26">
          <cell r="B26" t="str">
            <v>Revisions Comments</v>
          </cell>
          <cell r="D26" t="str">
            <v>NA</v>
          </cell>
        </row>
      </sheetData>
      <sheetData sheetId="8" refreshError="1">
        <row r="5">
          <cell r="A5" t="str">
            <v>Mattel, Inc.</v>
          </cell>
          <cell r="J5" t="str">
            <v>Morgan Stanley Research - Toy Group</v>
          </cell>
        </row>
        <row r="6">
          <cell r="A6" t="str">
            <v>Ratio Analysis -- Operating Statistics (1988-2000E)</v>
          </cell>
          <cell r="I6">
            <v>36077.757145601849</v>
          </cell>
          <cell r="J6">
            <v>36077.757145601849</v>
          </cell>
        </row>
        <row r="7">
          <cell r="B7">
            <v>1988</v>
          </cell>
          <cell r="C7">
            <v>1989</v>
          </cell>
          <cell r="D7">
            <v>1990</v>
          </cell>
          <cell r="E7">
            <v>1991</v>
          </cell>
          <cell r="F7" t="str">
            <v>1992R</v>
          </cell>
          <cell r="G7">
            <v>1993</v>
          </cell>
          <cell r="H7">
            <v>1994</v>
          </cell>
          <cell r="I7">
            <v>1995</v>
          </cell>
          <cell r="J7">
            <v>1996</v>
          </cell>
        </row>
        <row r="9">
          <cell r="A9" t="str">
            <v>Segment Operating Ratios</v>
          </cell>
        </row>
        <row r="10">
          <cell r="A10" t="str">
            <v>Revenue Growth Rates</v>
          </cell>
        </row>
        <row r="11">
          <cell r="A11" t="str">
            <v xml:space="preserve">          Barbie</v>
          </cell>
          <cell r="B11">
            <v>0.12790697674418605</v>
          </cell>
          <cell r="C11">
            <v>0.22680412371134029</v>
          </cell>
          <cell r="D11">
            <v>0.24369747899159666</v>
          </cell>
          <cell r="E11">
            <v>0.13513513513513509</v>
          </cell>
          <cell r="F11">
            <v>0.14880952380952372</v>
          </cell>
          <cell r="G11">
            <v>5.6994818652849721E-2</v>
          </cell>
          <cell r="H11">
            <v>0.13627450980392153</v>
          </cell>
          <cell r="I11">
            <v>0.22088006902502166</v>
          </cell>
          <cell r="J11">
            <v>0.21908127208480566</v>
          </cell>
        </row>
        <row r="12">
          <cell r="A12" t="str">
            <v xml:space="preserve">         Large Dolls</v>
          </cell>
          <cell r="B12">
            <v>0.25</v>
          </cell>
          <cell r="C12">
            <v>0.69230769230769229</v>
          </cell>
          <cell r="D12">
            <v>0.63636363636363646</v>
          </cell>
          <cell r="E12">
            <v>0.11111111111111116</v>
          </cell>
          <cell r="F12">
            <v>-0.17500000000000004</v>
          </cell>
          <cell r="G12">
            <v>-0.29090909090909089</v>
          </cell>
          <cell r="H12">
            <v>-0.27350427350427353</v>
          </cell>
          <cell r="I12">
            <v>-5.8823529411764719E-2</v>
          </cell>
          <cell r="J12">
            <v>0.37250000000000005</v>
          </cell>
        </row>
        <row r="13">
          <cell r="A13" t="str">
            <v xml:space="preserve">         Hot Wheels / Corgi </v>
          </cell>
          <cell r="B13">
            <v>0.74</v>
          </cell>
          <cell r="C13">
            <v>0.14942528735632177</v>
          </cell>
          <cell r="D13">
            <v>0</v>
          </cell>
          <cell r="E13">
            <v>-9.9999999999999978E-2</v>
          </cell>
          <cell r="F13">
            <v>0.33333333333333326</v>
          </cell>
          <cell r="G13">
            <v>0.22500000000000009</v>
          </cell>
          <cell r="H13">
            <v>0.19047619047619047</v>
          </cell>
          <cell r="I13">
            <v>-5.7142857142857162E-2</v>
          </cell>
          <cell r="J13">
            <v>0.1212121212121211</v>
          </cell>
        </row>
        <row r="14">
          <cell r="A14" t="str">
            <v xml:space="preserve">         Nintendo-Canada/Australia/Italy</v>
          </cell>
          <cell r="B14">
            <v>1.9</v>
          </cell>
          <cell r="C14">
            <v>1.0689655172413794</v>
          </cell>
          <cell r="D14">
            <v>0.25</v>
          </cell>
          <cell r="E14">
            <v>0.10000000000000009</v>
          </cell>
          <cell r="F14">
            <v>-0.45454545454545459</v>
          </cell>
          <cell r="G14">
            <v>-0.83333333333333337</v>
          </cell>
          <cell r="H14">
            <v>-0.82</v>
          </cell>
          <cell r="I14">
            <v>0</v>
          </cell>
          <cell r="J14">
            <v>0</v>
          </cell>
        </row>
        <row r="15">
          <cell r="A15" t="str">
            <v xml:space="preserve">         Pre-School See 'n Say</v>
          </cell>
          <cell r="B15">
            <v>0</v>
          </cell>
          <cell r="C15">
            <v>-5.7142857142857162E-2</v>
          </cell>
          <cell r="D15">
            <v>1.5151515151515138E-2</v>
          </cell>
          <cell r="E15">
            <v>4.4776119402984982E-2</v>
          </cell>
          <cell r="F15">
            <v>2.857142857142847E-2</v>
          </cell>
          <cell r="G15">
            <v>-2.777777777777779E-2</v>
          </cell>
          <cell r="H15">
            <v>0</v>
          </cell>
          <cell r="I15">
            <v>1.0000000000000009E-2</v>
          </cell>
          <cell r="J15">
            <v>-9.9009900990099098E-3</v>
          </cell>
        </row>
        <row r="16">
          <cell r="A16" t="str">
            <v xml:space="preserve">         Promotional &amp; Other Lines </v>
          </cell>
          <cell r="B16">
            <v>-0.47261663286004052</v>
          </cell>
          <cell r="C16">
            <v>-0.33461538461538465</v>
          </cell>
          <cell r="D16">
            <v>-4.3352601156069315E-2</v>
          </cell>
          <cell r="E16">
            <v>-0.14803625377643503</v>
          </cell>
          <cell r="F16">
            <v>2.8368794326241176E-2</v>
          </cell>
          <cell r="G16">
            <v>0.17310344827586199</v>
          </cell>
          <cell r="H16">
            <v>9.347442680776008E-2</v>
          </cell>
          <cell r="I16">
            <v>-0.22580645161290325</v>
          </cell>
          <cell r="J16">
            <v>-0.27083333333333337</v>
          </cell>
        </row>
        <row r="17">
          <cell r="A17" t="str">
            <v xml:space="preserve">         Disney Toys-Infant &amp; Pre-School </v>
          </cell>
          <cell r="B17">
            <v>0</v>
          </cell>
          <cell r="C17">
            <v>1.25</v>
          </cell>
          <cell r="D17">
            <v>0</v>
          </cell>
          <cell r="E17">
            <v>0.11111111111111116</v>
          </cell>
          <cell r="F17">
            <v>6.6666666666666652E-2</v>
          </cell>
          <cell r="G17">
            <v>0</v>
          </cell>
          <cell r="H17">
            <v>-3.125E-2</v>
          </cell>
          <cell r="I17">
            <v>0</v>
          </cell>
          <cell r="J17">
            <v>6.4516129032258007E-2</v>
          </cell>
        </row>
        <row r="18">
          <cell r="A18" t="str">
            <v xml:space="preserve">         Disney Classics &amp; Plush 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2.2857142857142856</v>
          </cell>
          <cell r="G18">
            <v>0.43478260869565211</v>
          </cell>
          <cell r="H18">
            <v>0.73939393939393949</v>
          </cell>
          <cell r="I18">
            <v>3.3101045296167309E-2</v>
          </cell>
          <cell r="J18">
            <v>8.9376053962900492E-2</v>
          </cell>
        </row>
        <row r="19">
          <cell r="A19" t="str">
            <v xml:space="preserve">        Games </v>
          </cell>
          <cell r="B19">
            <v>0</v>
          </cell>
          <cell r="C19">
            <v>0</v>
          </cell>
          <cell r="D19">
            <v>1</v>
          </cell>
          <cell r="E19">
            <v>1.5</v>
          </cell>
          <cell r="F19">
            <v>2</v>
          </cell>
          <cell r="G19">
            <v>0.19999999999999996</v>
          </cell>
          <cell r="H19">
            <v>0.58333333333333326</v>
          </cell>
          <cell r="I19">
            <v>0.31578947368421062</v>
          </cell>
          <cell r="J19">
            <v>4.0000000000000036E-2</v>
          </cell>
        </row>
        <row r="20">
          <cell r="A20" t="str">
            <v xml:space="preserve">        Corolle, S.A. </v>
          </cell>
          <cell r="B20">
            <v>0</v>
          </cell>
          <cell r="C20">
            <v>0</v>
          </cell>
          <cell r="D20">
            <v>0</v>
          </cell>
          <cell r="E20">
            <v>0.19999999999999996</v>
          </cell>
          <cell r="F20">
            <v>0</v>
          </cell>
          <cell r="G20">
            <v>0</v>
          </cell>
          <cell r="H20">
            <v>0</v>
          </cell>
          <cell r="I20">
            <v>2.7777777777777679E-2</v>
          </cell>
          <cell r="J20">
            <v>2.4999999999999911E-2</v>
          </cell>
        </row>
        <row r="21">
          <cell r="A21" t="str">
            <v xml:space="preserve">        Aviva  / Mattel Sports 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1</v>
          </cell>
          <cell r="G21">
            <v>9.375E-2</v>
          </cell>
          <cell r="H21">
            <v>-0.37142857142857144</v>
          </cell>
          <cell r="I21">
            <v>0.59090909090909083</v>
          </cell>
          <cell r="J21">
            <v>-0.1428571428571429</v>
          </cell>
        </row>
        <row r="22">
          <cell r="A22" t="str">
            <v xml:space="preserve">        Nickelodeon 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1.2000000000000002</v>
          </cell>
          <cell r="H22">
            <v>0.30909090909090908</v>
          </cell>
          <cell r="I22">
            <v>1.4999999999999902E-2</v>
          </cell>
          <cell r="J22">
            <v>-0.65790914066776129</v>
          </cell>
        </row>
        <row r="23">
          <cell r="A23" t="str">
            <v xml:space="preserve">        Polly Pocket/Mighty Max 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1.2222222222222223</v>
          </cell>
          <cell r="H23">
            <v>0.44999999999999996</v>
          </cell>
          <cell r="I23">
            <v>0.22999999999999998</v>
          </cell>
          <cell r="J23">
            <v>-0.58000000000000007</v>
          </cell>
        </row>
        <row r="24">
          <cell r="A24" t="str">
            <v xml:space="preserve">        McDonald's 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-0.31034482758620685</v>
          </cell>
          <cell r="I24">
            <v>-0.6</v>
          </cell>
          <cell r="J24">
            <v>-1</v>
          </cell>
        </row>
        <row r="25">
          <cell r="A25" t="str">
            <v xml:space="preserve">        Fisher-Price Preschool 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0.26315789473684204</v>
          </cell>
          <cell r="I25">
            <v>0.21666666666666656</v>
          </cell>
          <cell r="J25">
            <v>-4.4520547945205435E-2</v>
          </cell>
        </row>
        <row r="26">
          <cell r="A26" t="str">
            <v xml:space="preserve">        Fisher-Price Infant 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0.18857142857142861</v>
          </cell>
          <cell r="I26">
            <v>0.21999999999999997</v>
          </cell>
          <cell r="J26">
            <v>-2.6639344262295084E-2</v>
          </cell>
        </row>
        <row r="27">
          <cell r="A27" t="str">
            <v xml:space="preserve">        Fisher-Price Juvenile Products 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0.30000000000000004</v>
          </cell>
          <cell r="I27">
            <v>0.23076923076923084</v>
          </cell>
          <cell r="J27">
            <v>-1.8750000000000044E-2</v>
          </cell>
        </row>
        <row r="29">
          <cell r="A29" t="str">
            <v xml:space="preserve">        Total Gross Revenues Growth</v>
          </cell>
          <cell r="B29">
            <v>-2.777777777777779E-2</v>
          </cell>
          <cell r="C29">
            <v>0.25333333333333341</v>
          </cell>
          <cell r="D29">
            <v>0.17477203647416406</v>
          </cell>
          <cell r="E29">
            <v>0.10672703751617085</v>
          </cell>
          <cell r="F29">
            <v>0.14903565166569255</v>
          </cell>
          <cell r="G29">
            <v>0.46291963377416079</v>
          </cell>
          <cell r="H29">
            <v>0.18031361913702582</v>
          </cell>
          <cell r="I29">
            <v>0.14076059740183222</v>
          </cell>
          <cell r="J29">
            <v>4.0187964488423766E-2</v>
          </cell>
        </row>
        <row r="31">
          <cell r="A31" t="str">
            <v xml:space="preserve">        Total Net Revenue Growth</v>
          </cell>
          <cell r="B31">
            <v>-2.9411764705882359E-2</v>
          </cell>
          <cell r="C31">
            <v>0.24949494949494944</v>
          </cell>
          <cell r="D31">
            <v>0.18916734033953109</v>
          </cell>
          <cell r="E31">
            <v>0.10265125764785865</v>
          </cell>
          <cell r="F31">
            <v>0.13935881627620228</v>
          </cell>
          <cell r="G31">
            <v>0.46291963377416079</v>
          </cell>
          <cell r="H31">
            <v>0.18031361913702582</v>
          </cell>
          <cell r="I31">
            <v>0.14076059740183222</v>
          </cell>
          <cell r="J31">
            <v>4.0187964488423766E-2</v>
          </cell>
        </row>
        <row r="33">
          <cell r="A33" t="str">
            <v>Revenue Composition Analysis</v>
          </cell>
        </row>
        <row r="34">
          <cell r="A34" t="str">
            <v xml:space="preserve">         Core Products</v>
          </cell>
          <cell r="B34">
            <v>0.61428571428571432</v>
          </cell>
          <cell r="C34">
            <v>0.7523936170212765</v>
          </cell>
          <cell r="D34">
            <v>0.77846054333764547</v>
          </cell>
          <cell r="E34">
            <v>0.79953243717124489</v>
          </cell>
          <cell r="F34">
            <v>0.82054933875890146</v>
          </cell>
          <cell r="G34">
            <v>0.85762664719585557</v>
          </cell>
          <cell r="H34">
            <v>0.84141013933484565</v>
          </cell>
          <cell r="I34">
            <v>0.86777347683949024</v>
          </cell>
          <cell r="J34">
            <v>0.91286797886732407</v>
          </cell>
        </row>
        <row r="35">
          <cell r="A35" t="str">
            <v xml:space="preserve">         Other</v>
          </cell>
          <cell r="B35">
            <v>0.38571428571428568</v>
          </cell>
          <cell r="C35">
            <v>0.24760638297872339</v>
          </cell>
          <cell r="D35">
            <v>0.22153945666235453</v>
          </cell>
          <cell r="E35">
            <v>0.20046756282875511</v>
          </cell>
          <cell r="F35">
            <v>0.17945066124109854</v>
          </cell>
          <cell r="G35">
            <v>0.14237335280414465</v>
          </cell>
          <cell r="H35">
            <v>0.15858986066515457</v>
          </cell>
          <cell r="I35">
            <v>0.13222652316050965</v>
          </cell>
          <cell r="J35">
            <v>8.713202113267593E-2</v>
          </cell>
        </row>
        <row r="36">
          <cell r="A36" t="str">
            <v xml:space="preserve">               Total</v>
          </cell>
          <cell r="B36">
            <v>1</v>
          </cell>
          <cell r="C36">
            <v>0.99999999999999989</v>
          </cell>
          <cell r="D36">
            <v>1</v>
          </cell>
          <cell r="E36">
            <v>1</v>
          </cell>
          <cell r="F36">
            <v>1</v>
          </cell>
          <cell r="G36">
            <v>1.0000000000000002</v>
          </cell>
          <cell r="H36">
            <v>1.0000000000000002</v>
          </cell>
          <cell r="I36">
            <v>0.99999999999999989</v>
          </cell>
          <cell r="J36">
            <v>1</v>
          </cell>
        </row>
        <row r="38">
          <cell r="A38" t="str">
            <v>Margin Analysis</v>
          </cell>
        </row>
        <row r="39">
          <cell r="A39" t="str">
            <v xml:space="preserve">     Total Gross Profits</v>
          </cell>
          <cell r="B39">
            <v>0.48416784598461182</v>
          </cell>
          <cell r="C39">
            <v>0.49678537042411447</v>
          </cell>
          <cell r="D39">
            <v>0.4782924333739394</v>
          </cell>
          <cell r="E39">
            <v>0.49294161376641504</v>
          </cell>
          <cell r="F39">
            <v>0.48343901463804723</v>
          </cell>
          <cell r="G39">
            <v>0.49040210793478001</v>
          </cell>
          <cell r="H39">
            <v>0.49968502585783264</v>
          </cell>
          <cell r="I39">
            <v>0.49168849613555188</v>
          </cell>
          <cell r="J39">
            <v>0.49256768853967037</v>
          </cell>
        </row>
        <row r="40">
          <cell r="A40" t="str">
            <v xml:space="preserve">     Total Operating Profits</v>
          </cell>
          <cell r="B40">
            <v>0.10074759161557975</v>
          </cell>
          <cell r="C40">
            <v>0.13186408095062169</v>
          </cell>
          <cell r="D40">
            <v>0.12802408582847122</v>
          </cell>
          <cell r="E40">
            <v>0.14940882490799931</v>
          </cell>
          <cell r="F40">
            <v>0.14228259915545979</v>
          </cell>
          <cell r="G40">
            <v>0.15758298920888841</v>
          </cell>
          <cell r="H40">
            <v>0.17116091138134648</v>
          </cell>
          <cell r="I40">
            <v>0.16532978345679852</v>
          </cell>
          <cell r="J40">
            <v>0.15220804121947423</v>
          </cell>
        </row>
        <row r="41">
          <cell r="A41" t="str">
            <v xml:space="preserve">     Total EBIT Margins</v>
          </cell>
          <cell r="B41">
            <v>0.11384685937782521</v>
          </cell>
          <cell r="C41">
            <v>0.12777920147194707</v>
          </cell>
          <cell r="D41">
            <v>0.12917214314718636</v>
          </cell>
          <cell r="E41">
            <v>0.15098840449122072</v>
          </cell>
          <cell r="F41">
            <v>0.13717868949980985</v>
          </cell>
          <cell r="G41">
            <v>0.15317728423693111</v>
          </cell>
          <cell r="H41">
            <v>0.16258250715673045</v>
          </cell>
          <cell r="I41">
            <v>0.1666728042009315</v>
          </cell>
          <cell r="J41">
            <v>0.145257723139122</v>
          </cell>
        </row>
        <row r="42">
          <cell r="A42" t="str">
            <v xml:space="preserve">     Total EBT Margins</v>
          </cell>
          <cell r="B42">
            <v>5.8106283062570041E-2</v>
          </cell>
          <cell r="C42">
            <v>8.7335418483897739E-2</v>
          </cell>
          <cell r="D42">
            <v>9.5826387553161863E-2</v>
          </cell>
          <cell r="E42">
            <v>0.11744977634244554</v>
          </cell>
          <cell r="F42">
            <v>0.11037341161096538</v>
          </cell>
          <cell r="G42">
            <v>0.13002505502046993</v>
          </cell>
          <cell r="H42">
            <v>0.14528186207595886</v>
          </cell>
          <cell r="I42">
            <v>0.1464494455882854</v>
          </cell>
          <cell r="J42">
            <v>0.12315878969830664</v>
          </cell>
        </row>
        <row r="43">
          <cell r="A43" t="str">
            <v xml:space="preserve">     Total Net Income Margin</v>
          </cell>
          <cell r="B43">
            <v>3.6287638424653476E-2</v>
          </cell>
          <cell r="C43">
            <v>6.4376665823228915E-2</v>
          </cell>
          <cell r="D43">
            <v>6.383572695603848E-2</v>
          </cell>
          <cell r="E43">
            <v>7.4215985830473785E-2</v>
          </cell>
          <cell r="F43">
            <v>7.2104231478140476E-2</v>
          </cell>
          <cell r="G43">
            <v>8.3707654944742915E-2</v>
          </cell>
          <cell r="H43">
            <v>9.4424224460027628E-2</v>
          </cell>
          <cell r="I43">
            <v>9.8329344852111047E-2</v>
          </cell>
          <cell r="J43">
            <v>8.5399922210766588E-2</v>
          </cell>
        </row>
        <row r="46">
          <cell r="A46" t="str">
            <v>Mattel, Inc.</v>
          </cell>
          <cell r="I46" t="str">
            <v>Morgan Stanley Research - Toy Group</v>
          </cell>
        </row>
        <row r="47">
          <cell r="A47" t="str">
            <v>Ratio Analysis 1988-2000E - Returns Analyses</v>
          </cell>
          <cell r="H47">
            <v>36077.757145601849</v>
          </cell>
          <cell r="I47">
            <v>36077.757145601849</v>
          </cell>
        </row>
        <row r="48">
          <cell r="B48">
            <v>1988</v>
          </cell>
          <cell r="C48">
            <v>1989</v>
          </cell>
          <cell r="D48">
            <v>1990</v>
          </cell>
          <cell r="E48">
            <v>1991</v>
          </cell>
          <cell r="F48" t="str">
            <v>1992R</v>
          </cell>
          <cell r="G48">
            <v>1993</v>
          </cell>
          <cell r="H48">
            <v>1994</v>
          </cell>
          <cell r="I48">
            <v>1995</v>
          </cell>
          <cell r="J48">
            <v>1996</v>
          </cell>
          <cell r="K48" t="str">
            <v>1997E</v>
          </cell>
        </row>
        <row r="49">
          <cell r="A49" t="str">
            <v>Performance Ratios</v>
          </cell>
        </row>
        <row r="50">
          <cell r="A50" t="str">
            <v xml:space="preserve">     Shareholders Financing Leverage</v>
          </cell>
          <cell r="B50">
            <v>6.2360065591598843</v>
          </cell>
          <cell r="C50">
            <v>4.422343482425334</v>
          </cell>
          <cell r="D50">
            <v>3.2495033564977214</v>
          </cell>
          <cell r="E50">
            <v>2.6073357971893536</v>
          </cell>
          <cell r="F50">
            <v>2.3460270287858735</v>
          </cell>
          <cell r="G50">
            <v>2.3706007987664135</v>
          </cell>
          <cell r="H50">
            <v>2.3425886135466958</v>
          </cell>
          <cell r="I50">
            <v>2.1992766385494251</v>
          </cell>
          <cell r="J50">
            <v>2.0616997304998037</v>
          </cell>
          <cell r="K50">
            <v>2.0355285596433776</v>
          </cell>
        </row>
        <row r="51">
          <cell r="A51" t="str">
            <v xml:space="preserve">     Operating Assets Ratio</v>
          </cell>
          <cell r="B51">
            <v>0.86970273746396287</v>
          </cell>
          <cell r="C51">
            <v>0.78679535057724004</v>
          </cell>
          <cell r="D51">
            <v>0.76235307218894044</v>
          </cell>
          <cell r="E51">
            <v>0.80036786467469045</v>
          </cell>
          <cell r="F51">
            <v>0.80975899985312449</v>
          </cell>
          <cell r="G51">
            <v>0.77068546458260623</v>
          </cell>
          <cell r="H51">
            <v>0.82434538964450921</v>
          </cell>
          <cell r="I51">
            <v>0.86712263514194965</v>
          </cell>
          <cell r="J51">
            <v>0.84668431051262061</v>
          </cell>
          <cell r="K51">
            <v>0.83138973498971269</v>
          </cell>
        </row>
        <row r="52">
          <cell r="A52" t="str">
            <v xml:space="preserve">          Shareholders' Operating Asset Leverage</v>
          </cell>
          <cell r="B52">
            <v>5.4234719753445795</v>
          </cell>
          <cell r="C52">
            <v>3.4794792906278134</v>
          </cell>
          <cell r="D52">
            <v>2.4772688669143115</v>
          </cell>
          <cell r="E52">
            <v>2.0868277844863248</v>
          </cell>
          <cell r="F52">
            <v>1.8997165004580463</v>
          </cell>
          <cell r="G52">
            <v>1.8269875779371909</v>
          </cell>
          <cell r="H52">
            <v>1.9311021234109416</v>
          </cell>
          <cell r="I52">
            <v>1.9070425542251066</v>
          </cell>
          <cell r="J52">
            <v>1.7456088148022819</v>
          </cell>
          <cell r="K52">
            <v>1.6923175497658993</v>
          </cell>
        </row>
        <row r="54">
          <cell r="A54" t="str">
            <v xml:space="preserve">     Operating Asset Turnover</v>
          </cell>
          <cell r="B54">
            <v>1.0862037768836048</v>
          </cell>
          <cell r="C54">
            <v>1.3851908390578791</v>
          </cell>
          <cell r="D54">
            <v>1.4599075953193144</v>
          </cell>
          <cell r="E54">
            <v>1.5410514510023834</v>
          </cell>
          <cell r="F54">
            <v>1.7155210494209894</v>
          </cell>
          <cell r="G54">
            <v>1.5558015355947852</v>
          </cell>
          <cell r="H54">
            <v>1.5842545191686972</v>
          </cell>
          <cell r="I54">
            <v>1.6863167047992556</v>
          </cell>
          <cell r="J54">
            <v>1.5518626653334187</v>
          </cell>
          <cell r="K54">
            <v>1.5435729955789026</v>
          </cell>
        </row>
        <row r="55">
          <cell r="A55" t="str">
            <v xml:space="preserve">     Net Profit Rate</v>
          </cell>
          <cell r="B55">
            <v>3.6287638424653476E-2</v>
          </cell>
          <cell r="C55">
            <v>6.4376665823228915E-2</v>
          </cell>
          <cell r="D55">
            <v>6.383572695603848E-2</v>
          </cell>
          <cell r="E55">
            <v>7.4215985830473785E-2</v>
          </cell>
          <cell r="F55">
            <v>7.2104231478140476E-2</v>
          </cell>
          <cell r="G55">
            <v>8.3707654944742915E-2</v>
          </cell>
          <cell r="H55">
            <v>9.4424224460027628E-2</v>
          </cell>
          <cell r="I55">
            <v>9.8329344852111047E-2</v>
          </cell>
          <cell r="J55">
            <v>8.5399922210766588E-2</v>
          </cell>
          <cell r="K55">
            <v>0.10611910455856609</v>
          </cell>
        </row>
        <row r="56">
          <cell r="A56" t="str">
            <v xml:space="preserve">           Return on Operating Assets</v>
          </cell>
          <cell r="B56">
            <v>3.9415769911045229E-2</v>
          </cell>
          <cell r="C56">
            <v>8.9173967747427155E-2</v>
          </cell>
          <cell r="D56">
            <v>9.3194262635850469E-2</v>
          </cell>
          <cell r="E56">
            <v>0.11437065265162395</v>
          </cell>
          <cell r="F56">
            <v>0.12369632685307348</v>
          </cell>
          <cell r="G56">
            <v>0.13023249810406945</v>
          </cell>
          <cell r="H56">
            <v>0.14959200431979822</v>
          </cell>
          <cell r="I56">
            <v>0.16581441679608155</v>
          </cell>
          <cell r="J56">
            <v>0.13252895090126685</v>
          </cell>
          <cell r="K56">
            <v>0.16380258411161663</v>
          </cell>
        </row>
        <row r="58">
          <cell r="A58" t="str">
            <v xml:space="preserve">     Return on Operating Assets</v>
          </cell>
          <cell r="B58">
            <v>3.9415769911045229E-2</v>
          </cell>
          <cell r="C58">
            <v>8.9173967747427155E-2</v>
          </cell>
          <cell r="D58">
            <v>9.3194262635850469E-2</v>
          </cell>
          <cell r="E58">
            <v>0.11437065265162395</v>
          </cell>
          <cell r="F58">
            <v>0.12369632685307348</v>
          </cell>
          <cell r="G58">
            <v>0.13023249810406945</v>
          </cell>
          <cell r="H58">
            <v>0.14959200431979822</v>
          </cell>
          <cell r="I58">
            <v>0.16581441679608155</v>
          </cell>
          <cell r="J58">
            <v>0.13252895090126685</v>
          </cell>
          <cell r="K58">
            <v>0.16380258411161663</v>
          </cell>
        </row>
        <row r="59">
          <cell r="A59" t="str">
            <v xml:space="preserve">     Shareholders' Operating Asset Leverage</v>
          </cell>
          <cell r="B59">
            <v>5.4234608914340097</v>
          </cell>
          <cell r="C59">
            <v>3.4794792906278125</v>
          </cell>
          <cell r="D59">
            <v>2.4772688669143115</v>
          </cell>
          <cell r="E59">
            <v>2.086848354630781</v>
          </cell>
          <cell r="F59">
            <v>1.8997300124981849</v>
          </cell>
          <cell r="G59">
            <v>1.8269875779371907</v>
          </cell>
          <cell r="H59">
            <v>1.9311060210455531</v>
          </cell>
          <cell r="I59">
            <v>1.9070455132290822</v>
          </cell>
          <cell r="J59">
            <v>1.7455997369625667</v>
          </cell>
          <cell r="K59">
            <v>1.6923652143761412</v>
          </cell>
        </row>
        <row r="60">
          <cell r="A60" t="str">
            <v xml:space="preserve">          Return on Shareholder Equity</v>
          </cell>
          <cell r="B60">
            <v>0.21376988661831517</v>
          </cell>
          <cell r="C60">
            <v>0.31027897404028526</v>
          </cell>
          <cell r="D60">
            <v>0.23086724540282805</v>
          </cell>
          <cell r="E60">
            <v>0.23867420830409</v>
          </cell>
          <cell r="F60">
            <v>0.23498962455856884</v>
          </cell>
          <cell r="G60">
            <v>0.23793315627986361</v>
          </cell>
          <cell r="H60">
            <v>0.28887802024223475</v>
          </cell>
          <cell r="I60">
            <v>0.31621563957966431</v>
          </cell>
          <cell r="J60">
            <v>0.23134250183317631</v>
          </cell>
          <cell r="K60">
            <v>0.27721379537542196</v>
          </cell>
        </row>
        <row r="62">
          <cell r="A62" t="str">
            <v>DuPont Formula</v>
          </cell>
        </row>
        <row r="63">
          <cell r="A63" t="str">
            <v xml:space="preserve">     Net Profit / Sales</v>
          </cell>
          <cell r="B63">
            <v>3.6287638424653476E-2</v>
          </cell>
          <cell r="C63">
            <v>6.4376665823228915E-2</v>
          </cell>
          <cell r="D63">
            <v>6.383572695603848E-2</v>
          </cell>
          <cell r="E63">
            <v>7.4215985830473785E-2</v>
          </cell>
          <cell r="F63">
            <v>7.2104231478140476E-2</v>
          </cell>
          <cell r="G63">
            <v>8.3707654944742915E-2</v>
          </cell>
          <cell r="H63">
            <v>9.4424224460027628E-2</v>
          </cell>
          <cell r="I63">
            <v>9.8329344852111047E-2</v>
          </cell>
          <cell r="J63">
            <v>8.5399922210766588E-2</v>
          </cell>
          <cell r="K63">
            <v>0.10611910455856609</v>
          </cell>
        </row>
        <row r="64">
          <cell r="A64" t="str">
            <v xml:space="preserve">     Sales / Assets</v>
          </cell>
          <cell r="B64">
            <v>1.0862037768836048</v>
          </cell>
          <cell r="C64">
            <v>1.3851908390578791</v>
          </cell>
          <cell r="D64">
            <v>1.4599075953193144</v>
          </cell>
          <cell r="E64">
            <v>1.5410514510023834</v>
          </cell>
          <cell r="F64">
            <v>1.7155210494209894</v>
          </cell>
          <cell r="G64">
            <v>1.5558015355947852</v>
          </cell>
          <cell r="H64">
            <v>1.5842545191686972</v>
          </cell>
          <cell r="I64">
            <v>1.6863167047992556</v>
          </cell>
          <cell r="J64">
            <v>1.5518626653334187</v>
          </cell>
          <cell r="K64">
            <v>1.5435729955789026</v>
          </cell>
        </row>
        <row r="65">
          <cell r="A65" t="str">
            <v xml:space="preserve">     Assets / Shareholder Equity</v>
          </cell>
          <cell r="B65">
            <v>5.4234608914340097</v>
          </cell>
          <cell r="C65">
            <v>3.4794792906278125</v>
          </cell>
          <cell r="D65">
            <v>2.4772688669143115</v>
          </cell>
          <cell r="E65">
            <v>2.086848354630781</v>
          </cell>
          <cell r="F65">
            <v>1.8997300124981849</v>
          </cell>
          <cell r="G65">
            <v>1.8269875779371907</v>
          </cell>
          <cell r="H65">
            <v>1.9311060210455531</v>
          </cell>
          <cell r="I65">
            <v>1.9070455132290822</v>
          </cell>
          <cell r="J65">
            <v>1.7455997369625667</v>
          </cell>
          <cell r="K65">
            <v>1.6923652143761412</v>
          </cell>
        </row>
        <row r="66">
          <cell r="A66" t="str">
            <v xml:space="preserve">          Return on Shareholder Equity</v>
          </cell>
          <cell r="B66">
            <v>0.21376988661831517</v>
          </cell>
          <cell r="C66">
            <v>0.31027897404028526</v>
          </cell>
          <cell r="D66">
            <v>0.23086724540282805</v>
          </cell>
          <cell r="E66">
            <v>0.23867420830409</v>
          </cell>
          <cell r="F66">
            <v>0.23498962455856884</v>
          </cell>
          <cell r="G66">
            <v>0.23793315627986361</v>
          </cell>
          <cell r="H66">
            <v>0.28887802024223469</v>
          </cell>
          <cell r="I66">
            <v>0.31621563957966425</v>
          </cell>
          <cell r="J66">
            <v>0.23134250183317634</v>
          </cell>
          <cell r="K66">
            <v>0.27721379537542201</v>
          </cell>
        </row>
        <row r="69">
          <cell r="A69" t="str">
            <v>Financing Ratios</v>
          </cell>
        </row>
        <row r="70">
          <cell r="A70" t="str">
            <v xml:space="preserve">     Debt / Equity</v>
          </cell>
          <cell r="B70">
            <v>2.0602475928473183</v>
          </cell>
          <cell r="C70">
            <v>1.0670145551551458</v>
          </cell>
          <cell r="D70">
            <v>0.51605044425336766</v>
          </cell>
          <cell r="E70">
            <v>0.44237458297980081</v>
          </cell>
          <cell r="F70">
            <v>0.54531265868116241</v>
          </cell>
          <cell r="G70">
            <v>0.5294316888173155</v>
          </cell>
          <cell r="H70">
            <v>0.34825975585830465</v>
          </cell>
          <cell r="I70">
            <v>0.45407055875772051</v>
          </cell>
          <cell r="J70">
            <v>0.36286337140892228</v>
          </cell>
          <cell r="K70">
            <v>0.38783526428732157</v>
          </cell>
        </row>
        <row r="71">
          <cell r="A71" t="str">
            <v xml:space="preserve">     Net Debt / Equity</v>
          </cell>
          <cell r="B71">
            <v>1.315252942075501</v>
          </cell>
          <cell r="C71">
            <v>8.4686666354658921E-2</v>
          </cell>
          <cell r="D71">
            <v>-5.6301567845447403E-2</v>
          </cell>
          <cell r="E71">
            <v>1.676965381215312E-3</v>
          </cell>
          <cell r="F71">
            <v>0.12613649118868558</v>
          </cell>
          <cell r="G71">
            <v>-8.943286268554157E-2</v>
          </cell>
          <cell r="H71">
            <v>0.12802931984625324</v>
          </cell>
          <cell r="I71">
            <v>0.13591815060371412</v>
          </cell>
          <cell r="J71">
            <v>5.816766511496043E-2</v>
          </cell>
          <cell r="K71">
            <v>6.4300493394875103E-3</v>
          </cell>
        </row>
        <row r="72">
          <cell r="A72" t="str">
            <v xml:space="preserve">     Debt / Total Capitalization</v>
          </cell>
          <cell r="B72">
            <v>0.67322905429701552</v>
          </cell>
          <cell r="C72">
            <v>0.51621047006853704</v>
          </cell>
          <cell r="D72">
            <v>0.34039134133661025</v>
          </cell>
          <cell r="E72">
            <v>0.30669882026477435</v>
          </cell>
          <cell r="F72">
            <v>0.35288176513519026</v>
          </cell>
          <cell r="G72">
            <v>0.34616236389525601</v>
          </cell>
          <cell r="H72">
            <v>0.25830316031097567</v>
          </cell>
          <cell r="I72">
            <v>0.31227546422895314</v>
          </cell>
          <cell r="J72">
            <v>0.26625073284770706</v>
          </cell>
          <cell r="K72">
            <v>0.27945338634011574</v>
          </cell>
        </row>
        <row r="73">
          <cell r="A73" t="str">
            <v xml:space="preserve">     Net Debt / Total Capitalization</v>
          </cell>
          <cell r="B73">
            <v>0.42978644772064406</v>
          </cell>
          <cell r="C73">
            <v>4.0970522507183076E-2</v>
          </cell>
          <cell r="D73">
            <v>-3.7137001647181402E-2</v>
          </cell>
          <cell r="E73">
            <v>1.1626420771717082E-3</v>
          </cell>
          <cell r="F73">
            <v>8.1625223530062838E-2</v>
          </cell>
          <cell r="G73">
            <v>-5.8474571528394671E-2</v>
          </cell>
          <cell r="H73">
            <v>9.4958941917501288E-2</v>
          </cell>
          <cell r="I73">
            <v>9.3474247026798504E-2</v>
          </cell>
          <cell r="J73">
            <v>4.2680481650062219E-2</v>
          </cell>
          <cell r="K73">
            <v>4.6331502772337003E-3</v>
          </cell>
        </row>
        <row r="75">
          <cell r="A75" t="str">
            <v xml:space="preserve">     Long Term / Short Term Liabilities</v>
          </cell>
          <cell r="B75">
            <v>1.3137404615477168</v>
          </cell>
          <cell r="C75">
            <v>0.64764985920267382</v>
          </cell>
          <cell r="D75">
            <v>0.62884022953790408</v>
          </cell>
          <cell r="E75">
            <v>0.5809649090754071</v>
          </cell>
          <cell r="F75">
            <v>0.82156977194463798</v>
          </cell>
          <cell r="G75">
            <v>0.50928664711762239</v>
          </cell>
          <cell r="H75">
            <v>0.49946990930044405</v>
          </cell>
          <cell r="I75">
            <v>0.67584192645808427</v>
          </cell>
          <cell r="J75">
            <v>0.55464467714123333</v>
          </cell>
          <cell r="K75">
            <v>0.68883743444387446</v>
          </cell>
        </row>
        <row r="77">
          <cell r="A77" t="str">
            <v>Solvency Ratios</v>
          </cell>
        </row>
        <row r="78">
          <cell r="A78" t="str">
            <v xml:space="preserve">     Total Tangible Assets/Total  Liabilities</v>
          </cell>
          <cell r="B78">
            <v>1.2326412407532839</v>
          </cell>
          <cell r="C78">
            <v>1.3465276685322647</v>
          </cell>
          <cell r="D78">
            <v>1.4319194295864635</v>
          </cell>
          <cell r="E78">
            <v>1.4944868519585699</v>
          </cell>
          <cell r="F78">
            <v>1.6194941715345232</v>
          </cell>
          <cell r="G78">
            <v>1.5739240172279043</v>
          </cell>
          <cell r="H78">
            <v>1.4758180081203722</v>
          </cell>
          <cell r="I78">
            <v>1.5125189492676485</v>
          </cell>
          <cell r="J78">
            <v>1.6728933162612611</v>
          </cell>
          <cell r="K78">
            <v>1.6169461967110372</v>
          </cell>
        </row>
        <row r="79">
          <cell r="A79" t="str">
            <v xml:space="preserve">     Loss Buffer Coverage</v>
          </cell>
          <cell r="B79">
            <v>0.1887339422548556</v>
          </cell>
          <cell r="C79">
            <v>0.2573490887936859</v>
          </cell>
          <cell r="D79">
            <v>0.27956548627356081</v>
          </cell>
          <cell r="E79">
            <v>0.29194837850426492</v>
          </cell>
          <cell r="F79">
            <v>0.34880523158217408</v>
          </cell>
          <cell r="G79">
            <v>0.33925293876185764</v>
          </cell>
          <cell r="H79">
            <v>0.26573854851473699</v>
          </cell>
          <cell r="I79">
            <v>0.27450615390370714</v>
          </cell>
          <cell r="J79">
            <v>0.33356109989187832</v>
          </cell>
          <cell r="K79">
            <v>0.32139942003657695</v>
          </cell>
        </row>
        <row r="82">
          <cell r="A82" t="str">
            <v>Liquidity Ratios</v>
          </cell>
        </row>
        <row r="83">
          <cell r="A83" t="str">
            <v xml:space="preserve">     Current Ratio</v>
          </cell>
          <cell r="B83">
            <v>2.1937260237206093</v>
          </cell>
          <cell r="C83">
            <v>1.7418547185688926</v>
          </cell>
          <cell r="D83">
            <v>1.8372334642102086</v>
          </cell>
          <cell r="E83">
            <v>1.694931852230789</v>
          </cell>
          <cell r="F83">
            <v>2.0875877662739497</v>
          </cell>
          <cell r="G83">
            <v>1.6900778600051831</v>
          </cell>
          <cell r="H83">
            <v>1.4858349501736579</v>
          </cell>
          <cell r="I83">
            <v>1.6901793038351616</v>
          </cell>
          <cell r="J83">
            <v>1.7019425034395124</v>
          </cell>
          <cell r="K83">
            <v>1.8878178524009264</v>
          </cell>
        </row>
        <row r="84">
          <cell r="A84" t="str">
            <v xml:space="preserve">     Quick Ratio</v>
          </cell>
          <cell r="B84">
            <v>1.7814659022022312</v>
          </cell>
          <cell r="C84">
            <v>1.3949402168903269</v>
          </cell>
          <cell r="D84">
            <v>1.3816701902748416</v>
          </cell>
          <cell r="E84">
            <v>1.338217561296452</v>
          </cell>
          <cell r="F84">
            <v>1.6363222507456709</v>
          </cell>
          <cell r="G84">
            <v>1.4092341787422655</v>
          </cell>
          <cell r="H84">
            <v>1.1155433948296776</v>
          </cell>
          <cell r="I84">
            <v>1.3085443689905871</v>
          </cell>
          <cell r="J84">
            <v>1.3129531464422175</v>
          </cell>
          <cell r="K84">
            <v>1.522353424428722</v>
          </cell>
        </row>
        <row r="85">
          <cell r="A85" t="str">
            <v xml:space="preserve">     Cash Ratio</v>
          </cell>
          <cell r="B85">
            <v>0.21434622524435146</v>
          </cell>
          <cell r="C85">
            <v>0.36526389250352675</v>
          </cell>
          <cell r="D85">
            <v>0.31554680462665508</v>
          </cell>
          <cell r="E85">
            <v>0.28519402771352415</v>
          </cell>
          <cell r="F85">
            <v>0.27518063065218429</v>
          </cell>
          <cell r="G85">
            <v>0.35599592044875067</v>
          </cell>
          <cell r="H85">
            <v>0.16823915160318312</v>
          </cell>
          <cell r="I85">
            <v>0.2536358402731595</v>
          </cell>
          <cell r="J85">
            <v>0.25724633277265663</v>
          </cell>
          <cell r="K85">
            <v>0.28229956420997215</v>
          </cell>
        </row>
        <row r="87">
          <cell r="A87" t="str">
            <v>Operating Ratios</v>
          </cell>
        </row>
        <row r="88">
          <cell r="A88" t="str">
            <v>Receivables</v>
          </cell>
        </row>
        <row r="89">
          <cell r="A89" t="str">
            <v xml:space="preserve">    Receivables as a % of Sales</v>
          </cell>
          <cell r="B89">
            <v>0.28331510062334653</v>
          </cell>
          <cell r="C89">
            <v>0.20110654720570154</v>
          </cell>
          <cell r="D89">
            <v>0.17334329785642538</v>
          </cell>
          <cell r="E89">
            <v>0.20750521625081175</v>
          </cell>
          <cell r="F89">
            <v>0.21004047161623154</v>
          </cell>
          <cell r="G89">
            <v>0.21457724459852806</v>
          </cell>
          <cell r="H89">
            <v>0.23775914384443178</v>
          </cell>
          <cell r="I89">
            <v>0.24358059718391609</v>
          </cell>
          <cell r="J89">
            <v>0.20923716279205137</v>
          </cell>
          <cell r="K89">
            <v>0.22423345906987829</v>
          </cell>
        </row>
        <row r="90">
          <cell r="A90" t="str">
            <v xml:space="preserve">     Average Receivable Turnover </v>
          </cell>
          <cell r="B90">
            <v>4.3199827425037753</v>
          </cell>
          <cell r="C90">
            <v>6.0506327883512512</v>
          </cell>
          <cell r="D90">
            <v>5.8403537891022186</v>
          </cell>
          <cell r="E90">
            <v>5.62604366400915</v>
          </cell>
          <cell r="F90">
            <v>6.873193746626252</v>
          </cell>
          <cell r="G90">
            <v>6.0066116350830701</v>
          </cell>
          <cell r="H90">
            <v>5.735713672523322</v>
          </cell>
          <cell r="I90">
            <v>5.8</v>
          </cell>
          <cell r="J90">
            <v>5.9</v>
          </cell>
          <cell r="K90">
            <v>6</v>
          </cell>
        </row>
        <row r="91">
          <cell r="A91" t="str">
            <v xml:space="preserve">     Days Receivable</v>
          </cell>
          <cell r="B91">
            <v>103.1</v>
          </cell>
          <cell r="C91">
            <v>73.400000000000006</v>
          </cell>
          <cell r="D91">
            <v>64.400000000000006</v>
          </cell>
          <cell r="E91">
            <v>77</v>
          </cell>
          <cell r="F91">
            <v>75</v>
          </cell>
          <cell r="G91">
            <v>74.461132179283908</v>
          </cell>
          <cell r="H91">
            <v>75.388073415964001</v>
          </cell>
          <cell r="I91">
            <v>81.539315578820776</v>
          </cell>
          <cell r="J91">
            <v>90.786421502402447</v>
          </cell>
          <cell r="K91">
            <v>100.9306553897261</v>
          </cell>
        </row>
        <row r="92">
          <cell r="A92" t="str">
            <v xml:space="preserve">     Doubful Accounts as % Receivables</v>
          </cell>
          <cell r="B92">
            <v>1.8545994065281898E-2</v>
          </cell>
          <cell r="C92">
            <v>2.0474939854864177E-2</v>
          </cell>
          <cell r="D92">
            <v>6.1132433107010699E-2</v>
          </cell>
          <cell r="E92">
            <v>2.533970932103706E-2</v>
          </cell>
          <cell r="F92">
            <v>6.1222995367521044E-2</v>
          </cell>
          <cell r="G92">
            <v>3.4962092803203532E-2</v>
          </cell>
          <cell r="H92">
            <v>2.069078964278187E-2</v>
          </cell>
          <cell r="I92">
            <v>1.784044217702151E-2</v>
          </cell>
          <cell r="J92">
            <v>1.6682900545043833E-2</v>
          </cell>
          <cell r="K92">
            <v>1.4537036033790937E-2</v>
          </cell>
        </row>
        <row r="93">
          <cell r="A93" t="str">
            <v>Inventories</v>
          </cell>
        </row>
        <row r="94">
          <cell r="A94" t="str">
            <v xml:space="preserve">     Average Inventory Turnover</v>
          </cell>
          <cell r="B94">
            <v>4.3199827425037753</v>
          </cell>
          <cell r="C94">
            <v>6.0506327883512512</v>
          </cell>
          <cell r="D94">
            <v>5.8403537891022186</v>
          </cell>
          <cell r="E94">
            <v>5.62604366400915</v>
          </cell>
          <cell r="F94">
            <v>6.873193746626252</v>
          </cell>
          <cell r="G94">
            <v>6.0066116350830701</v>
          </cell>
          <cell r="H94">
            <v>5.735713672523322</v>
          </cell>
          <cell r="I94">
            <v>4.9542382823485935</v>
          </cell>
          <cell r="J94">
            <v>5.85</v>
          </cell>
          <cell r="K94">
            <v>5.95</v>
          </cell>
        </row>
        <row r="95">
          <cell r="A95" t="str">
            <v xml:space="preserve">     Days Inventory</v>
          </cell>
          <cell r="B95">
            <v>83.333666233895926</v>
          </cell>
          <cell r="C95">
            <v>59.497909159695858</v>
          </cell>
          <cell r="D95">
            <v>61.640101439015623</v>
          </cell>
          <cell r="E95">
            <v>63.98812762563275</v>
          </cell>
          <cell r="F95">
            <v>52.377397360100339</v>
          </cell>
          <cell r="G95">
            <v>59.93395642517202</v>
          </cell>
          <cell r="H95">
            <v>62.764639337657975</v>
          </cell>
          <cell r="I95">
            <v>72.665055551050187</v>
          </cell>
          <cell r="J95">
            <v>82.886610980455757</v>
          </cell>
          <cell r="K95">
            <v>64.571041147900701</v>
          </cell>
        </row>
      </sheetData>
      <sheetData sheetId="9" refreshError="1"/>
      <sheetData sheetId="10" refreshError="1">
        <row r="1">
          <cell r="A1" t="str">
            <v>PrintQtrs</v>
          </cell>
        </row>
        <row r="2">
          <cell r="A2" t="b">
            <v>0</v>
          </cell>
        </row>
        <row r="3">
          <cell r="A3" t="b">
            <v>0</v>
          </cell>
        </row>
        <row r="4">
          <cell r="A4" t="b">
            <v>0</v>
          </cell>
        </row>
        <row r="5">
          <cell r="A5" t="b">
            <v>0</v>
          </cell>
        </row>
        <row r="6">
          <cell r="A6" t="b">
            <v>0</v>
          </cell>
        </row>
        <row r="7">
          <cell r="A7" t="b">
            <v>0</v>
          </cell>
        </row>
        <row r="8">
          <cell r="A8" t="b">
            <v>0</v>
          </cell>
        </row>
        <row r="9">
          <cell r="A9" t="b">
            <v>0</v>
          </cell>
        </row>
        <row r="10">
          <cell r="A10" t="b">
            <v>0</v>
          </cell>
        </row>
        <row r="11">
          <cell r="A11" t="b">
            <v>0</v>
          </cell>
        </row>
        <row r="12">
          <cell r="A12" t="b">
            <v>0</v>
          </cell>
        </row>
        <row r="13">
          <cell r="A13" t="b">
            <v>0</v>
          </cell>
        </row>
        <row r="14">
          <cell r="A14" t="b">
            <v>0</v>
          </cell>
        </row>
        <row r="15">
          <cell r="A15" t="b">
            <v>0</v>
          </cell>
        </row>
      </sheetData>
      <sheetData sheetId="1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-Up"/>
      <sheetName val="~#%%£-ML-RANGES"/>
      <sheetName val="IS"/>
      <sheetName val="CF&amp;BS"/>
      <sheetName val="Hedging"/>
      <sheetName val="Qtrly Var"/>
      <sheetName val="E&amp;P"/>
      <sheetName val="Reserve Qtrly"/>
      <sheetName val="Val"/>
      <sheetName val="PV10(2008)"/>
      <sheetName val="PV10(2007)"/>
      <sheetName val="PV10(2006)"/>
      <sheetName val="Hist'l Guidance"/>
      <sheetName val="Probable NAV Summary"/>
      <sheetName val="NAV- S. Oklahoma"/>
      <sheetName val="NAV- S. Texas"/>
      <sheetName val="NAV- Mountain Front"/>
      <sheetName val="NAV- Ft. Worth Barnett"/>
      <sheetName val="NAV- Fayetteville"/>
      <sheetName val="NAV- Sahara"/>
      <sheetName val="NAV- Deep Haley"/>
      <sheetName val="NAV- ArkLaTex"/>
      <sheetName val="NAV- Caney &amp; Woodford"/>
      <sheetName val="NAV- Deep Bossier"/>
      <sheetName val="NAV- Delaware"/>
      <sheetName val="NAV- Marcellus"/>
      <sheetName val="NAV- Haynesville"/>
      <sheetName val="NAV- Wash Plays"/>
      <sheetName val="NAV- Colony Granite Wash"/>
      <sheetName val="NAV- Mtn Front Granite Wash"/>
      <sheetName val="PV10(2005)"/>
      <sheetName val="PV10(2004)"/>
      <sheetName val="Charts"/>
      <sheetName val="Charts 2"/>
      <sheetName val="M&amp;A"/>
      <sheetName val="Disclaimer"/>
      <sheetName val="CUS Image"/>
      <sheetName val="NAV- Appalachia"/>
      <sheetName val="Chkqtrs"/>
      <sheetName val="Resource Plays"/>
      <sheetName val="Charts 3"/>
      <sheetName val="Sensitivity"/>
      <sheetName val="NAV Calculator"/>
      <sheetName val="NAV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6">
          <cell r="A6" t="str">
            <v>Chesapeake Energy Corp</v>
          </cell>
        </row>
        <row r="7">
          <cell r="A7" t="str">
            <v>Price</v>
          </cell>
          <cell r="B7">
            <v>1997</v>
          </cell>
          <cell r="C7">
            <v>1998</v>
          </cell>
          <cell r="D7">
            <v>1999</v>
          </cell>
          <cell r="E7">
            <v>2000</v>
          </cell>
          <cell r="F7">
            <v>2001</v>
          </cell>
          <cell r="G7">
            <v>2002</v>
          </cell>
          <cell r="H7">
            <v>2003</v>
          </cell>
          <cell r="I7">
            <v>2004</v>
          </cell>
          <cell r="J7">
            <v>2005</v>
          </cell>
          <cell r="K7">
            <v>2006</v>
          </cell>
        </row>
        <row r="8">
          <cell r="A8" t="str">
            <v xml:space="preserve"> Avg.</v>
          </cell>
          <cell r="B8">
            <v>14.32</v>
          </cell>
          <cell r="C8">
            <v>3.69</v>
          </cell>
          <cell r="D8">
            <v>2.4</v>
          </cell>
          <cell r="E8">
            <v>5.28</v>
          </cell>
          <cell r="F8">
            <v>7.54</v>
          </cell>
          <cell r="G8">
            <v>6.76</v>
          </cell>
          <cell r="H8">
            <v>9.9139999999999997</v>
          </cell>
          <cell r="I8">
            <v>14.57</v>
          </cell>
          <cell r="J8">
            <v>25.23</v>
          </cell>
          <cell r="K8">
            <v>31.050999999999998</v>
          </cell>
        </row>
        <row r="9">
          <cell r="A9" t="str">
            <v xml:space="preserve"> High</v>
          </cell>
          <cell r="B9">
            <v>31.5</v>
          </cell>
          <cell r="C9">
            <v>7.63</v>
          </cell>
          <cell r="D9">
            <v>3.94</v>
          </cell>
          <cell r="E9">
            <v>10.25</v>
          </cell>
          <cell r="F9">
            <v>10.97</v>
          </cell>
          <cell r="G9">
            <v>8.5500000000000007</v>
          </cell>
          <cell r="H9">
            <v>13.95</v>
          </cell>
          <cell r="I9">
            <v>18.13</v>
          </cell>
          <cell r="J9">
            <v>38.86</v>
          </cell>
          <cell r="K9">
            <v>35.04</v>
          </cell>
        </row>
        <row r="10">
          <cell r="A10" t="str">
            <v xml:space="preserve"> Low</v>
          </cell>
          <cell r="B10">
            <v>7</v>
          </cell>
          <cell r="C10">
            <v>0.75</v>
          </cell>
          <cell r="D10">
            <v>0.75</v>
          </cell>
          <cell r="E10">
            <v>2.06</v>
          </cell>
          <cell r="F10">
            <v>4.99</v>
          </cell>
          <cell r="G10">
            <v>5.15</v>
          </cell>
          <cell r="H10">
            <v>7.4</v>
          </cell>
          <cell r="I10">
            <v>11.9</v>
          </cell>
          <cell r="J10">
            <v>15.22</v>
          </cell>
          <cell r="K10">
            <v>27.02</v>
          </cell>
        </row>
        <row r="12">
          <cell r="A12" t="str">
            <v xml:space="preserve"> Dilluted Shares Outstanding</v>
          </cell>
          <cell r="C12">
            <v>94.911000000000001</v>
          </cell>
          <cell r="D12">
            <v>102.038</v>
          </cell>
          <cell r="E12">
            <v>151.56399999999999</v>
          </cell>
          <cell r="F12">
            <v>173.98099999999999</v>
          </cell>
          <cell r="G12">
            <v>172.714</v>
          </cell>
          <cell r="H12">
            <v>258.32624999999996</v>
          </cell>
          <cell r="I12">
            <v>327.10000000000002</v>
          </cell>
          <cell r="J12">
            <v>374.20499999999998</v>
          </cell>
          <cell r="K12">
            <v>460.41075000000001</v>
          </cell>
        </row>
        <row r="13">
          <cell r="A13" t="str">
            <v xml:space="preserve"> Long-Term Debt &amp; Prefered Stock</v>
          </cell>
          <cell r="C13">
            <v>-574.53800000000001</v>
          </cell>
          <cell r="D13">
            <v>-1171.4965</v>
          </cell>
          <cell r="E13">
            <v>-1069.3809999999999</v>
          </cell>
          <cell r="F13">
            <v>-1137.1489999999999</v>
          </cell>
          <cell r="G13">
            <v>-1640.2720000000002</v>
          </cell>
          <cell r="H13">
            <v>-1929.4019999999998</v>
          </cell>
          <cell r="I13">
            <v>-2566.4110000000001</v>
          </cell>
          <cell r="J13">
            <v>-4282.4255000000003</v>
          </cell>
          <cell r="K13">
            <v>-6722.6279999999997</v>
          </cell>
        </row>
        <row r="14">
          <cell r="A14" t="str">
            <v xml:space="preserve"> Working Capital</v>
          </cell>
          <cell r="C14">
            <v>-6.6424999999999983</v>
          </cell>
          <cell r="D14">
            <v>-1.9624999999999986</v>
          </cell>
          <cell r="E14">
            <v>6.7924999999999969</v>
          </cell>
          <cell r="F14">
            <v>96.113500000000002</v>
          </cell>
          <cell r="G14">
            <v>178.88349999999997</v>
          </cell>
          <cell r="H14">
            <v>-0.49349999999998317</v>
          </cell>
          <cell r="I14">
            <v>-283.58249999999998</v>
          </cell>
          <cell r="J14">
            <v>-588.55200000000002</v>
          </cell>
          <cell r="K14">
            <v>-758.31550000000004</v>
          </cell>
        </row>
        <row r="16">
          <cell r="A16" t="str">
            <v>EBITDX</v>
          </cell>
          <cell r="C16">
            <v>183.44900000000001</v>
          </cell>
          <cell r="D16">
            <v>218.93599999999998</v>
          </cell>
          <cell r="E16">
            <v>391.19000000000005</v>
          </cell>
          <cell r="F16">
            <v>619.93299999999999</v>
          </cell>
          <cell r="G16">
            <v>503.60199999999998</v>
          </cell>
          <cell r="H16">
            <v>1023.7090000000001</v>
          </cell>
          <cell r="I16">
            <v>1520.046</v>
          </cell>
          <cell r="J16">
            <v>2586.9930000000004</v>
          </cell>
          <cell r="K16">
            <v>4300.838999999999</v>
          </cell>
        </row>
        <row r="18">
          <cell r="A18" t="str">
            <v>EV/EBITDX Multiple</v>
          </cell>
        </row>
        <row r="19">
          <cell r="A19" t="str">
            <v xml:space="preserve">  Avg.</v>
          </cell>
          <cell r="C19">
            <v>5.0771718025173209</v>
          </cell>
          <cell r="D19">
            <v>6.4783781561734948</v>
          </cell>
          <cell r="E19">
            <v>4.7619990797310763</v>
          </cell>
          <cell r="F19">
            <v>3.7953331085778621</v>
          </cell>
          <cell r="G19">
            <v>5.2202635017335126</v>
          </cell>
          <cell r="H19">
            <v>4.3869321677351651</v>
          </cell>
          <cell r="I19">
            <v>5.0102697549942565</v>
          </cell>
          <cell r="J19">
            <v>5.5323573160035604</v>
          </cell>
          <cell r="K19">
            <v>5.0634673137613397</v>
          </cell>
        </row>
        <row r="20">
          <cell r="A20" t="str">
            <v xml:space="preserve">  High</v>
          </cell>
          <cell r="C20">
            <v>7.1156094064290336</v>
          </cell>
          <cell r="D20">
            <v>7.1961153944531748</v>
          </cell>
          <cell r="E20">
            <v>6.6875929855057628</v>
          </cell>
          <cell r="F20">
            <v>4.7579449230803972</v>
          </cell>
          <cell r="G20">
            <v>5.8341571320209225</v>
          </cell>
          <cell r="H20">
            <v>5.4053902891348988</v>
          </cell>
          <cell r="I20">
            <v>5.7763492025899223</v>
          </cell>
          <cell r="J20">
            <v>7.5039181783638371</v>
          </cell>
          <cell r="K20">
            <v>5.4904952684813368</v>
          </cell>
        </row>
        <row r="21">
          <cell r="A21" t="str">
            <v xml:space="preserve">  Low</v>
          </cell>
          <cell r="C21">
            <v>3.5561041488370067</v>
          </cell>
          <cell r="D21">
            <v>5.7093739723024086</v>
          </cell>
          <cell r="E21">
            <v>3.5144311971164894</v>
          </cell>
          <cell r="F21">
            <v>3.0796887566882232</v>
          </cell>
          <cell r="G21">
            <v>4.6681021918101999</v>
          </cell>
          <cell r="H21">
            <v>3.7525407610951937</v>
          </cell>
          <cell r="I21">
            <v>4.4357101692975078</v>
          </cell>
          <cell r="J21">
            <v>4.0844245036612001</v>
          </cell>
          <cell r="K21">
            <v>4.6319432010823949</v>
          </cell>
        </row>
        <row r="23">
          <cell r="A23" t="str">
            <v>3 Year Average</v>
          </cell>
          <cell r="F23">
            <v>5.0119034481608109</v>
          </cell>
          <cell r="G23">
            <v>4.5925318966808168</v>
          </cell>
          <cell r="H23">
            <v>4.4675095926821804</v>
          </cell>
          <cell r="I23">
            <v>4.8724884748209778</v>
          </cell>
          <cell r="J23">
            <v>4.9765197462443274</v>
          </cell>
          <cell r="K23">
            <v>5.2020314615863859</v>
          </cell>
        </row>
        <row r="24">
          <cell r="A24" t="str">
            <v>5 Year Average</v>
          </cell>
          <cell r="H24">
            <v>4.9285812027902214</v>
          </cell>
          <cell r="I24">
            <v>4.6349595225543752</v>
          </cell>
          <cell r="J24">
            <v>4.7890311698088723</v>
          </cell>
          <cell r="K24">
            <v>5.0426580108455665</v>
          </cell>
        </row>
        <row r="26">
          <cell r="A26" t="str">
            <v>Cash Flow and Earnings Per Share Multiple History</v>
          </cell>
        </row>
        <row r="27">
          <cell r="A27" t="str">
            <v>Price</v>
          </cell>
          <cell r="B27">
            <v>1997</v>
          </cell>
          <cell r="C27">
            <v>1998</v>
          </cell>
          <cell r="D27">
            <v>1999</v>
          </cell>
          <cell r="E27">
            <v>2000</v>
          </cell>
          <cell r="F27">
            <v>2001</v>
          </cell>
          <cell r="G27">
            <v>2002</v>
          </cell>
          <cell r="H27">
            <v>2003</v>
          </cell>
          <cell r="I27">
            <v>2004</v>
          </cell>
          <cell r="J27">
            <v>2005</v>
          </cell>
          <cell r="K27">
            <v>2006</v>
          </cell>
        </row>
        <row r="28">
          <cell r="A28" t="str">
            <v xml:space="preserve"> Avg.</v>
          </cell>
          <cell r="B28">
            <v>14.32</v>
          </cell>
          <cell r="C28">
            <v>3.69</v>
          </cell>
          <cell r="D28">
            <v>2.4</v>
          </cell>
          <cell r="E28">
            <v>5.28</v>
          </cell>
          <cell r="F28">
            <v>7.54</v>
          </cell>
          <cell r="G28">
            <v>6.76</v>
          </cell>
          <cell r="H28">
            <v>9.9139999999999997</v>
          </cell>
          <cell r="I28">
            <v>14.57</v>
          </cell>
          <cell r="J28">
            <v>25.23</v>
          </cell>
          <cell r="K28">
            <v>31.050999999999998</v>
          </cell>
        </row>
        <row r="29">
          <cell r="A29" t="str">
            <v xml:space="preserve"> High</v>
          </cell>
          <cell r="B29">
            <v>31.5</v>
          </cell>
          <cell r="C29">
            <v>7.63</v>
          </cell>
          <cell r="D29">
            <v>3.94</v>
          </cell>
          <cell r="E29">
            <v>10.25</v>
          </cell>
          <cell r="F29">
            <v>10.97</v>
          </cell>
          <cell r="G29">
            <v>8.5500000000000007</v>
          </cell>
          <cell r="H29">
            <v>13.95</v>
          </cell>
          <cell r="I29">
            <v>18.13</v>
          </cell>
          <cell r="J29">
            <v>38.86</v>
          </cell>
          <cell r="K29">
            <v>35.04</v>
          </cell>
        </row>
        <row r="30">
          <cell r="A30" t="str">
            <v xml:space="preserve"> Low</v>
          </cell>
          <cell r="B30">
            <v>7</v>
          </cell>
          <cell r="C30">
            <v>0.75</v>
          </cell>
          <cell r="D30">
            <v>0.75</v>
          </cell>
          <cell r="E30">
            <v>2.06</v>
          </cell>
          <cell r="F30">
            <v>4.99</v>
          </cell>
          <cell r="G30">
            <v>5.15</v>
          </cell>
          <cell r="H30">
            <v>7.4</v>
          </cell>
          <cell r="I30">
            <v>11.9</v>
          </cell>
          <cell r="J30">
            <v>15.22</v>
          </cell>
          <cell r="K30">
            <v>27.02</v>
          </cell>
        </row>
        <row r="32">
          <cell r="A32" t="str">
            <v>Cash Flow Per Share</v>
          </cell>
          <cell r="C32">
            <v>0.96259653780910559</v>
          </cell>
          <cell r="D32">
            <v>1.1266684960504909</v>
          </cell>
          <cell r="E32">
            <v>1.8949222770578766</v>
          </cell>
          <cell r="F32">
            <v>2.8459831820716062</v>
          </cell>
          <cell r="G32">
            <v>2.227902775686974</v>
          </cell>
          <cell r="H32">
            <v>3.32185366372949</v>
          </cell>
          <cell r="I32">
            <v>4.0553776826658501</v>
          </cell>
          <cell r="J32">
            <v>6.1524672305287202</v>
          </cell>
          <cell r="K32">
            <v>8.4637773553289115</v>
          </cell>
        </row>
        <row r="33">
          <cell r="A33" t="str">
            <v>Earnings Per Share</v>
          </cell>
          <cell r="C33">
            <v>-0.24400459377732814</v>
          </cell>
          <cell r="D33">
            <v>0.32601579803602565</v>
          </cell>
          <cell r="E33">
            <v>1.2586762027922203</v>
          </cell>
          <cell r="F33">
            <v>1.1636167167679234</v>
          </cell>
          <cell r="G33">
            <v>0.60482647613974538</v>
          </cell>
          <cell r="H33">
            <v>1.26102167317491</v>
          </cell>
          <cell r="I33">
            <v>1.5622653622745333</v>
          </cell>
          <cell r="J33">
            <v>2.5811760933178354</v>
          </cell>
          <cell r="K33">
            <v>3.6132388307614431</v>
          </cell>
        </row>
        <row r="35">
          <cell r="A35" t="str">
            <v>Cash Flow Multiple</v>
          </cell>
        </row>
        <row r="36">
          <cell r="A36" t="str">
            <v xml:space="preserve"> Avg.</v>
          </cell>
          <cell r="C36">
            <v>3.8333817493241091</v>
          </cell>
          <cell r="D36">
            <v>2.1301740560006266</v>
          </cell>
          <cell r="E36">
            <v>2.7863939666158313</v>
          </cell>
          <cell r="F36">
            <v>2.6493480521946</v>
          </cell>
          <cell r="G36">
            <v>3.0342437173523216</v>
          </cell>
          <cell r="H36">
            <v>2.9844782472655398</v>
          </cell>
          <cell r="I36">
            <v>3.5927603148474794</v>
          </cell>
          <cell r="J36">
            <v>4.1007938855501758</v>
          </cell>
          <cell r="K36">
            <v>3.6686929129166965</v>
          </cell>
        </row>
        <row r="37">
          <cell r="A37" t="str">
            <v xml:space="preserve"> High</v>
          </cell>
          <cell r="C37">
            <v>7.9264777093070329</v>
          </cell>
          <cell r="D37">
            <v>3.4970357419343618</v>
          </cell>
          <cell r="E37">
            <v>5.4091928329189907</v>
          </cell>
          <cell r="F37">
            <v>3.8545554552486427</v>
          </cell>
          <cell r="G37">
            <v>3.8376899087814134</v>
          </cell>
          <cell r="H37">
            <v>4.199462532716792</v>
          </cell>
          <cell r="I37">
            <v>4.4706070355651883</v>
          </cell>
          <cell r="J37">
            <v>6.3161652949853284</v>
          </cell>
          <cell r="K37">
            <v>4.139995480615795</v>
          </cell>
        </row>
        <row r="38">
          <cell r="A38" t="str">
            <v xml:space="preserve"> Low</v>
          </cell>
          <cell r="C38">
            <v>0.77914263197644495</v>
          </cell>
          <cell r="D38">
            <v>0.66567939250019581</v>
          </cell>
          <cell r="E38">
            <v>1.0871158278842068</v>
          </cell>
          <cell r="F38">
            <v>1.7533483793701665</v>
          </cell>
          <cell r="G38">
            <v>2.3115909976870501</v>
          </cell>
          <cell r="H38">
            <v>2.2276718811544276</v>
          </cell>
          <cell r="I38">
            <v>2.9343752743091973</v>
          </cell>
          <cell r="J38">
            <v>2.4738043177991944</v>
          </cell>
          <cell r="K38">
            <v>3.1924280218675452</v>
          </cell>
        </row>
        <row r="40">
          <cell r="A40" t="str">
            <v>3 Year Average</v>
          </cell>
          <cell r="E40">
            <v>2.9166499239801893</v>
          </cell>
          <cell r="F40">
            <v>2.5219720249370194</v>
          </cell>
          <cell r="G40">
            <v>2.8233285787209179</v>
          </cell>
          <cell r="H40">
            <v>2.8893566722708202</v>
          </cell>
          <cell r="I40">
            <v>3.2038274264884468</v>
          </cell>
          <cell r="J40">
            <v>3.5593441492210651</v>
          </cell>
          <cell r="K40">
            <v>3.7874157044381174</v>
          </cell>
        </row>
        <row r="41">
          <cell r="A41" t="str">
            <v>5 Year Average</v>
          </cell>
          <cell r="G41">
            <v>2.8867083082974978</v>
          </cell>
          <cell r="H41">
            <v>2.716927607885784</v>
          </cell>
          <cell r="I41">
            <v>3.0094448596551548</v>
          </cell>
          <cell r="J41">
            <v>3.2723248434420236</v>
          </cell>
          <cell r="K41">
            <v>3.4761938155864427</v>
          </cell>
        </row>
        <row r="43">
          <cell r="A43" t="str">
            <v>Earnings Per Share Multiple</v>
          </cell>
        </row>
        <row r="44">
          <cell r="A44" t="str">
            <v xml:space="preserve"> Avg.</v>
          </cell>
          <cell r="C44">
            <v>-15.122666105898777</v>
          </cell>
          <cell r="D44">
            <v>7.3616064450189409</v>
          </cell>
          <cell r="E44">
            <v>4.1948834722440624</v>
          </cell>
          <cell r="F44">
            <v>6.4797969050695663</v>
          </cell>
          <cell r="G44">
            <v>11.17675939576114</v>
          </cell>
          <cell r="H44">
            <v>7.8618791499746719</v>
          </cell>
          <cell r="I44">
            <v>9.3262004982221764</v>
          </cell>
          <cell r="J44">
            <v>9.7746140084419579</v>
          </cell>
          <cell r="K44">
            <v>8.593674942172699</v>
          </cell>
        </row>
        <row r="45">
          <cell r="A45" t="str">
            <v xml:space="preserve"> High</v>
          </cell>
          <cell r="C45">
            <v>-31.269903086180939</v>
          </cell>
          <cell r="D45">
            <v>12.085303913906095</v>
          </cell>
          <cell r="E45">
            <v>8.1434764375950071</v>
          </cell>
          <cell r="F45">
            <v>9.4275029242192492</v>
          </cell>
          <cell r="G45">
            <v>14.136285922153514</v>
          </cell>
          <cell r="H45">
            <v>11.06245855781185</v>
          </cell>
          <cell r="I45">
            <v>11.604942692708857</v>
          </cell>
          <cell r="J45">
            <v>15.055152610703706</v>
          </cell>
          <cell r="K45">
            <v>9.6976706055757109</v>
          </cell>
        </row>
        <row r="46">
          <cell r="A46" t="str">
            <v xml:space="preserve"> Low</v>
          </cell>
          <cell r="C46">
            <v>-3.0737126231501581</v>
          </cell>
          <cell r="D46">
            <v>2.3005020140684191</v>
          </cell>
          <cell r="E46">
            <v>1.6366401425800696</v>
          </cell>
          <cell r="F46">
            <v>4.2883536546813179</v>
          </cell>
          <cell r="G46">
            <v>8.5148388887825259</v>
          </cell>
          <cell r="H46">
            <v>5.8682575862227733</v>
          </cell>
          <cell r="I46">
            <v>7.6171438523571648</v>
          </cell>
          <cell r="J46">
            <v>5.8965368691433451</v>
          </cell>
          <cell r="K46">
            <v>7.4780553585232798</v>
          </cell>
        </row>
        <row r="48">
          <cell r="A48" t="str">
            <v>3 Year Average</v>
          </cell>
          <cell r="F48">
            <v>6.0120956074441905</v>
          </cell>
          <cell r="G48">
            <v>7.2838132576915884</v>
          </cell>
          <cell r="H48">
            <v>8.5061451502684609</v>
          </cell>
          <cell r="I48">
            <v>9.4549463479859952</v>
          </cell>
          <cell r="J48">
            <v>8.9875645522129357</v>
          </cell>
          <cell r="K48">
            <v>9.2314964829456105</v>
          </cell>
        </row>
        <row r="49">
          <cell r="A49" t="str">
            <v>5 Year Average</v>
          </cell>
          <cell r="H49">
            <v>7.4149850736136758</v>
          </cell>
          <cell r="I49">
            <v>7.8079038842543227</v>
          </cell>
          <cell r="J49">
            <v>8.9238499914939027</v>
          </cell>
          <cell r="K49">
            <v>9.3466255989145282</v>
          </cell>
        </row>
        <row r="51">
          <cell r="A51" t="str">
            <v>Free Cash Flow Multiple History</v>
          </cell>
        </row>
        <row r="52">
          <cell r="A52" t="str">
            <v>Price</v>
          </cell>
          <cell r="B52">
            <v>1997</v>
          </cell>
          <cell r="C52">
            <v>1998</v>
          </cell>
          <cell r="D52">
            <v>1999</v>
          </cell>
          <cell r="E52">
            <v>2000</v>
          </cell>
          <cell r="F52">
            <v>2001</v>
          </cell>
          <cell r="G52">
            <v>2002</v>
          </cell>
          <cell r="H52">
            <v>2003</v>
          </cell>
          <cell r="I52">
            <v>2004</v>
          </cell>
          <cell r="J52">
            <v>2005</v>
          </cell>
          <cell r="K52">
            <v>2006</v>
          </cell>
        </row>
        <row r="53">
          <cell r="A53" t="str">
            <v xml:space="preserve"> Avg.</v>
          </cell>
          <cell r="B53">
            <v>14.32</v>
          </cell>
          <cell r="C53">
            <v>3.69</v>
          </cell>
          <cell r="D53">
            <v>2.4</v>
          </cell>
          <cell r="E53">
            <v>5.28</v>
          </cell>
          <cell r="F53">
            <v>7.54</v>
          </cell>
          <cell r="G53">
            <v>6.76</v>
          </cell>
          <cell r="H53">
            <v>9.9139999999999997</v>
          </cell>
          <cell r="I53">
            <v>14.57</v>
          </cell>
          <cell r="J53">
            <v>25.23</v>
          </cell>
          <cell r="K53">
            <v>31.050999999999998</v>
          </cell>
        </row>
        <row r="54">
          <cell r="A54" t="str">
            <v xml:space="preserve"> High</v>
          </cell>
          <cell r="B54">
            <v>31.5</v>
          </cell>
          <cell r="C54">
            <v>7.63</v>
          </cell>
          <cell r="D54">
            <v>3.94</v>
          </cell>
          <cell r="E54">
            <v>10.25</v>
          </cell>
          <cell r="F54">
            <v>10.97</v>
          </cell>
          <cell r="G54">
            <v>8.5500000000000007</v>
          </cell>
          <cell r="H54">
            <v>13.95</v>
          </cell>
          <cell r="I54">
            <v>18.13</v>
          </cell>
          <cell r="J54">
            <v>38.86</v>
          </cell>
          <cell r="K54">
            <v>35.04</v>
          </cell>
        </row>
        <row r="55">
          <cell r="A55" t="str">
            <v xml:space="preserve"> Low</v>
          </cell>
          <cell r="B55">
            <v>7</v>
          </cell>
          <cell r="C55">
            <v>0.75</v>
          </cell>
          <cell r="D55">
            <v>0.75</v>
          </cell>
          <cell r="E55">
            <v>2.06</v>
          </cell>
          <cell r="F55">
            <v>4.99</v>
          </cell>
          <cell r="G55">
            <v>5.15</v>
          </cell>
          <cell r="H55">
            <v>7.4</v>
          </cell>
          <cell r="I55">
            <v>11.9</v>
          </cell>
          <cell r="J55">
            <v>15.22</v>
          </cell>
          <cell r="K55">
            <v>27.02</v>
          </cell>
        </row>
        <row r="57">
          <cell r="A57" t="str">
            <v>Free Cash Flow Per Share</v>
          </cell>
          <cell r="C57">
            <v>-1.8946381346735359</v>
          </cell>
          <cell r="D57">
            <v>-0.37539936102236432</v>
          </cell>
          <cell r="E57">
            <v>0.69276345306273268</v>
          </cell>
          <cell r="F57">
            <v>0.20220598801018563</v>
          </cell>
          <cell r="G57">
            <v>-0.30397072617158993</v>
          </cell>
          <cell r="H57">
            <v>0.22537005046912612</v>
          </cell>
          <cell r="I57">
            <v>-0.30457645979822706</v>
          </cell>
          <cell r="J57">
            <v>-1.4799321227669333</v>
          </cell>
          <cell r="K57">
            <v>-1.8870061570021976</v>
          </cell>
        </row>
        <row r="59">
          <cell r="A59" t="str">
            <v>Price/FCF</v>
          </cell>
        </row>
        <row r="60">
          <cell r="A60" t="str">
            <v xml:space="preserve"> Avg.</v>
          </cell>
          <cell r="C60">
            <v>-1.9476014614452073</v>
          </cell>
          <cell r="D60">
            <v>-6.3931914893617003</v>
          </cell>
          <cell r="E60">
            <v>7.6216491742699857</v>
          </cell>
          <cell r="F60">
            <v>37.288707788516092</v>
          </cell>
          <cell r="G60">
            <v>-22.238983619047627</v>
          </cell>
          <cell r="H60">
            <v>43.989873451965785</v>
          </cell>
          <cell r="I60">
            <v>-47.83692084953708</v>
          </cell>
          <cell r="J60">
            <v>-17.048079173272559</v>
          </cell>
          <cell r="K60">
            <v>-16.455166235031971</v>
          </cell>
        </row>
        <row r="61">
          <cell r="A61" t="str">
            <v xml:space="preserve"> High</v>
          </cell>
          <cell r="C61">
            <v>-4.0271542414165129</v>
          </cell>
          <cell r="D61">
            <v>-10.495489361702125</v>
          </cell>
          <cell r="E61">
            <v>14.795815158383967</v>
          </cell>
          <cell r="F61">
            <v>54.251608015917974</v>
          </cell>
          <cell r="G61">
            <v>-28.127708571428581</v>
          </cell>
          <cell r="H61">
            <v>61.898197968017215</v>
          </cell>
          <cell r="I61">
            <v>-59.525283116136386</v>
          </cell>
          <cell r="J61">
            <v>-26.257961025500258</v>
          </cell>
          <cell r="K61">
            <v>-18.569096804467495</v>
          </cell>
        </row>
        <row r="62">
          <cell r="A62" t="str">
            <v xml:space="preserve"> Low</v>
          </cell>
          <cell r="C62">
            <v>-0.39585395557829417</v>
          </cell>
          <cell r="D62">
            <v>-1.9978723404255314</v>
          </cell>
          <cell r="E62">
            <v>2.9735979732947291</v>
          </cell>
          <cell r="F62">
            <v>24.677805287094866</v>
          </cell>
          <cell r="G62">
            <v>-16.94242095238096</v>
          </cell>
          <cell r="H62">
            <v>32.834886377299455</v>
          </cell>
          <cell r="I62">
            <v>-39.070649149587595</v>
          </cell>
          <cell r="J62">
            <v>-10.284255450543334</v>
          </cell>
          <cell r="K62">
            <v>-14.318978186549993</v>
          </cell>
        </row>
        <row r="64">
          <cell r="A64" t="str">
            <v>3 Year Average</v>
          </cell>
          <cell r="E64">
            <v>-0.23971459217897392</v>
          </cell>
          <cell r="F64">
            <v>12.839055157808126</v>
          </cell>
          <cell r="G64">
            <v>7.5571244479128161</v>
          </cell>
          <cell r="H64">
            <v>19.679865873811419</v>
          </cell>
          <cell r="I64">
            <v>-8.6953436722063078</v>
          </cell>
          <cell r="J64">
            <v>-6.9650421902812845</v>
          </cell>
          <cell r="K64">
            <v>-27.113388752613869</v>
          </cell>
        </row>
        <row r="65">
          <cell r="A65" t="str">
            <v>5 Year Average</v>
          </cell>
          <cell r="G65">
            <v>2.866116078586308</v>
          </cell>
          <cell r="H65">
            <v>12.053611061268507</v>
          </cell>
          <cell r="I65">
            <v>3.7648651892334302</v>
          </cell>
          <cell r="J65">
            <v>-1.1690804802750769</v>
          </cell>
          <cell r="K65">
            <v>-11.917855284984691</v>
          </cell>
        </row>
        <row r="67">
          <cell r="A67" t="str">
            <v>Free Cash Flow Yield</v>
          </cell>
        </row>
        <row r="68">
          <cell r="A68" t="str">
            <v xml:space="preserve"> Avg.</v>
          </cell>
          <cell r="C68">
            <v>-0.5134520690172184</v>
          </cell>
          <cell r="D68">
            <v>-0.15641640042598515</v>
          </cell>
          <cell r="E68">
            <v>0.13120519944369938</v>
          </cell>
          <cell r="F68">
            <v>2.6817770293128068E-2</v>
          </cell>
          <cell r="G68">
            <v>-4.4966083753193775E-2</v>
          </cell>
          <cell r="H68">
            <v>2.2732504586355267E-2</v>
          </cell>
          <cell r="I68">
            <v>-2.0904355511202954E-2</v>
          </cell>
          <cell r="J68">
            <v>-5.8657634671697712E-2</v>
          </cell>
          <cell r="K68">
            <v>-6.0771187948929106E-2</v>
          </cell>
        </row>
        <row r="69">
          <cell r="A69" t="str">
            <v xml:space="preserve"> High</v>
          </cell>
          <cell r="C69">
            <v>-0.24831430336481466</v>
          </cell>
          <cell r="D69">
            <v>-9.5279025640193984E-2</v>
          </cell>
          <cell r="E69">
            <v>6.7586678347583681E-2</v>
          </cell>
          <cell r="F69">
            <v>1.8432633364647732E-2</v>
          </cell>
          <cell r="G69">
            <v>-3.5552131715975425E-2</v>
          </cell>
          <cell r="H69">
            <v>1.6155559173414061E-2</v>
          </cell>
          <cell r="I69">
            <v>-1.6799584103597744E-2</v>
          </cell>
          <cell r="J69">
            <v>-3.8083688182370908E-2</v>
          </cell>
          <cell r="K69">
            <v>-5.3852915439560438E-2</v>
          </cell>
        </row>
        <row r="70">
          <cell r="A70" t="str">
            <v xml:space="preserve"> Low</v>
          </cell>
          <cell r="C70">
            <v>-2.5261841795647144</v>
          </cell>
          <cell r="D70">
            <v>-0.50053248136315243</v>
          </cell>
          <cell r="E70">
            <v>0.33629293837996732</v>
          </cell>
          <cell r="F70">
            <v>4.0522242086209546E-2</v>
          </cell>
          <cell r="G70">
            <v>-5.9023441975066003E-2</v>
          </cell>
          <cell r="H70">
            <v>3.0455412225557581E-2</v>
          </cell>
          <cell r="I70">
            <v>-2.5594660487245971E-2</v>
          </cell>
          <cell r="J70">
            <v>-9.7236013322400339E-2</v>
          </cell>
          <cell r="K70">
            <v>-6.9837385529318938E-2</v>
          </cell>
        </row>
        <row r="72">
          <cell r="A72" t="str">
            <v>3 Year Average</v>
          </cell>
          <cell r="F72">
            <v>5.3552310361409949E-4</v>
          </cell>
          <cell r="G72">
            <v>3.7685628661211223E-2</v>
          </cell>
          <cell r="H72">
            <v>1.5280637087631867E-3</v>
          </cell>
          <cell r="I72">
            <v>-1.4379311559347152E-2</v>
          </cell>
          <cell r="J72">
            <v>-1.8943161865515132E-2</v>
          </cell>
          <cell r="K72">
            <v>-4.6777726043943257E-2</v>
          </cell>
        </row>
        <row r="73">
          <cell r="A73" t="str">
            <v>5 Year Average</v>
          </cell>
          <cell r="H73">
            <v>-4.1254019711992416E-3</v>
          </cell>
          <cell r="I73">
            <v>2.2977007011757193E-2</v>
          </cell>
          <cell r="J73">
            <v>-1.499555981132222E-2</v>
          </cell>
          <cell r="K73">
            <v>-3.251335145973365E-2</v>
          </cell>
        </row>
        <row r="76">
          <cell r="A76" t="str">
            <v>Liquidation Value</v>
          </cell>
        </row>
        <row r="77">
          <cell r="A77" t="str">
            <v>As of Jan 1 (millions)</v>
          </cell>
          <cell r="B77">
            <v>1997</v>
          </cell>
          <cell r="C77">
            <v>1998</v>
          </cell>
          <cell r="D77">
            <v>1999</v>
          </cell>
          <cell r="E77">
            <v>2000</v>
          </cell>
          <cell r="F77">
            <v>2001</v>
          </cell>
          <cell r="G77">
            <v>2002</v>
          </cell>
          <cell r="H77">
            <v>2003</v>
          </cell>
          <cell r="I77">
            <v>2004</v>
          </cell>
          <cell r="J77">
            <v>2005</v>
          </cell>
          <cell r="K77">
            <v>2006</v>
          </cell>
        </row>
        <row r="78">
          <cell r="A78" t="str">
            <v>Adjusted PV10</v>
          </cell>
          <cell r="E78">
            <v>1781.9494701943133</v>
          </cell>
          <cell r="F78">
            <v>1282.3511832567467</v>
          </cell>
          <cell r="G78">
            <v>2415.1767579827824</v>
          </cell>
          <cell r="H78">
            <v>3265.6770682644133</v>
          </cell>
          <cell r="I78">
            <v>5537.9792025458737</v>
          </cell>
          <cell r="J78">
            <v>12491.837710869771</v>
          </cell>
          <cell r="K78">
            <v>16445.959963761947</v>
          </cell>
        </row>
        <row r="79">
          <cell r="A79" t="str">
            <v>Undeveloped Acreage &amp; Seismic</v>
          </cell>
          <cell r="E79">
            <v>40.008000000000003</v>
          </cell>
          <cell r="F79">
            <v>25.684999999999999</v>
          </cell>
          <cell r="G79">
            <v>66.204999999999998</v>
          </cell>
          <cell r="H79">
            <v>72.506</v>
          </cell>
          <cell r="I79">
            <v>227.33099999999999</v>
          </cell>
          <cell r="J79">
            <v>761.78499999999997</v>
          </cell>
          <cell r="K79">
            <v>1739.095</v>
          </cell>
        </row>
        <row r="80">
          <cell r="A80" t="str">
            <v>Other PP&amp;E</v>
          </cell>
          <cell r="E80">
            <v>34.283000000000001</v>
          </cell>
          <cell r="F80">
            <v>42.863999999999997</v>
          </cell>
          <cell r="G80">
            <v>75.800000000000011</v>
          </cell>
          <cell r="H80">
            <v>106.31800000000001</v>
          </cell>
          <cell r="I80">
            <v>164.471</v>
          </cell>
          <cell r="J80">
            <v>288.928</v>
          </cell>
          <cell r="K80">
            <v>737.57600000000002</v>
          </cell>
        </row>
        <row r="81">
          <cell r="A81" t="str">
            <v>Other Assets</v>
          </cell>
          <cell r="E81">
            <v>33.89</v>
          </cell>
          <cell r="F81">
            <v>385.26600000000002</v>
          </cell>
          <cell r="G81">
            <v>91.102999999999994</v>
          </cell>
          <cell r="H81">
            <v>47.741</v>
          </cell>
          <cell r="I81">
            <v>79.277000000000001</v>
          </cell>
          <cell r="J81">
            <v>188.416</v>
          </cell>
          <cell r="K81">
            <v>444.31799999999998</v>
          </cell>
        </row>
        <row r="82">
          <cell r="A82" t="str">
            <v>Working Capital</v>
          </cell>
          <cell r="E82">
            <v>9.36</v>
          </cell>
          <cell r="F82">
            <v>4.2249999999999943</v>
          </cell>
          <cell r="G82">
            <v>188.00199999999998</v>
          </cell>
          <cell r="H82">
            <v>169.76499999999999</v>
          </cell>
          <cell r="I82">
            <v>-170.75199999999995</v>
          </cell>
          <cell r="J82">
            <v>-396.41300000000001</v>
          </cell>
          <cell r="K82">
            <v>-780.69100000000003</v>
          </cell>
        </row>
        <row r="83">
          <cell r="A83" t="str">
            <v>Long-Term Debt</v>
          </cell>
          <cell r="E83">
            <v>-964.09699999999998</v>
          </cell>
          <cell r="F83">
            <v>-944.84699999999998</v>
          </cell>
          <cell r="G83">
            <v>-1479.453</v>
          </cell>
          <cell r="H83">
            <v>-1651.191</v>
          </cell>
          <cell r="I83">
            <v>-2057.7230000000004</v>
          </cell>
          <cell r="J83">
            <v>-3075.1089999999999</v>
          </cell>
          <cell r="K83">
            <v>-5975.4920000000002</v>
          </cell>
        </row>
        <row r="84">
          <cell r="A84" t="str">
            <v>Shares Outstanding</v>
          </cell>
          <cell r="E84">
            <v>127.953395</v>
          </cell>
          <cell r="F84">
            <v>157.51942400000001</v>
          </cell>
          <cell r="G84">
            <v>164.74246199999999</v>
          </cell>
          <cell r="H84">
            <v>216.31938300000002</v>
          </cell>
          <cell r="I84">
            <v>269.12532299999998</v>
          </cell>
          <cell r="J84">
            <v>341.69766300000003</v>
          </cell>
          <cell r="K84">
            <v>421.30670500000002</v>
          </cell>
        </row>
        <row r="86">
          <cell r="A86" t="str">
            <v>Liquidation Value (LV)</v>
          </cell>
          <cell r="E86">
            <v>935.39347019431329</v>
          </cell>
          <cell r="F86">
            <v>795.54418325674669</v>
          </cell>
          <cell r="G86">
            <v>1356.8337579827826</v>
          </cell>
          <cell r="H86">
            <v>2010.8160682644132</v>
          </cell>
          <cell r="I86">
            <v>3780.5832025458726</v>
          </cell>
          <cell r="J86">
            <v>10259.44471086977</v>
          </cell>
          <cell r="K86">
            <v>12610.765963761949</v>
          </cell>
        </row>
        <row r="87">
          <cell r="A87" t="str">
            <v>LV Per Share</v>
          </cell>
          <cell r="E87">
            <v>7.3104232224108889</v>
          </cell>
          <cell r="F87">
            <v>5.0504513224778336</v>
          </cell>
          <cell r="G87">
            <v>8.2360900857653974</v>
          </cell>
          <cell r="H87">
            <v>9.2955889591475636</v>
          </cell>
          <cell r="I87">
            <v>14.047668054432295</v>
          </cell>
          <cell r="J87">
            <v>30.024919166244835</v>
          </cell>
          <cell r="K87">
            <v>29.932507159509719</v>
          </cell>
        </row>
        <row r="88">
          <cell r="A88" t="str">
            <v>Adjusted LV Per Share</v>
          </cell>
        </row>
        <row r="90">
          <cell r="A90" t="str">
            <v>LV Multiple</v>
          </cell>
        </row>
        <row r="91">
          <cell r="A91" t="str">
            <v xml:space="preserve">  Avg.</v>
          </cell>
          <cell r="E91">
            <v>0.72225640559545068</v>
          </cell>
          <cell r="F91">
            <v>1.4929358820749417</v>
          </cell>
          <cell r="G91">
            <v>0.82077781199642852</v>
          </cell>
          <cell r="H91">
            <v>1.0665273651374045</v>
          </cell>
          <cell r="I91">
            <v>1.0371828223406019</v>
          </cell>
          <cell r="J91">
            <v>0.84030201248183656</v>
          </cell>
          <cell r="K91">
            <v>1.037367161879553</v>
          </cell>
        </row>
        <row r="92">
          <cell r="A92" t="str">
            <v xml:space="preserve">  High</v>
          </cell>
          <cell r="E92">
            <v>1.4021076055593502</v>
          </cell>
          <cell r="F92">
            <v>2.172083106944577</v>
          </cell>
          <cell r="G92">
            <v>1.0381139486049504</v>
          </cell>
          <cell r="H92">
            <v>1.5007117958106508</v>
          </cell>
          <cell r="I92">
            <v>1.2906056670580035</v>
          </cell>
          <cell r="J92">
            <v>1.2942582720984608</v>
          </cell>
          <cell r="K92">
            <v>1.1706336463321483</v>
          </cell>
        </row>
        <row r="93">
          <cell r="A93" t="str">
            <v xml:space="preserve">  Low</v>
          </cell>
          <cell r="E93">
            <v>0.28178943097095233</v>
          </cell>
          <cell r="F93">
            <v>0.98803051081617499</v>
          </cell>
          <cell r="G93">
            <v>0.62529670588485309</v>
          </cell>
          <cell r="H93">
            <v>0.7960765081719583</v>
          </cell>
          <cell r="I93">
            <v>0.84711568880255061</v>
          </cell>
          <cell r="J93">
            <v>0.50691227229383873</v>
          </cell>
          <cell r="K93">
            <v>0.90269752065909392</v>
          </cell>
        </row>
        <row r="95">
          <cell r="A95" t="str">
            <v>3 Year Average</v>
          </cell>
          <cell r="G95">
            <v>1.0119900332222735</v>
          </cell>
          <cell r="H95">
            <v>1.1267470197362581</v>
          </cell>
          <cell r="I95">
            <v>0.97482933315814491</v>
          </cell>
          <cell r="J95">
            <v>0.9813373999866144</v>
          </cell>
          <cell r="K95">
            <v>0.97161733223399727</v>
          </cell>
        </row>
        <row r="96">
          <cell r="A96" t="str">
            <v>5 Year Average</v>
          </cell>
          <cell r="E96" t="str">
            <v xml:space="preserve"> </v>
          </cell>
          <cell r="I96">
            <v>1.0279360574289655</v>
          </cell>
          <cell r="J96">
            <v>1.0515451788062427</v>
          </cell>
          <cell r="K96">
            <v>0.96043143476716486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>
        <row r="4">
          <cell r="L4" t="str">
            <v>Production</v>
          </cell>
          <cell r="N4" t="str">
            <v>Reserves</v>
          </cell>
          <cell r="P4" t="str">
            <v>Upside Potential</v>
          </cell>
        </row>
        <row r="5">
          <cell r="K5" t="str">
            <v>Region</v>
          </cell>
          <cell r="L5" t="str">
            <v>MMcfed</v>
          </cell>
          <cell r="M5" t="str">
            <v>% of Total</v>
          </cell>
          <cell r="N5" t="str">
            <v>Bcfe</v>
          </cell>
          <cell r="O5" t="str">
            <v>% of Total</v>
          </cell>
          <cell r="P5" t="str">
            <v>Bcfe</v>
          </cell>
          <cell r="Q5" t="str">
            <v>% of Total</v>
          </cell>
        </row>
        <row r="6">
          <cell r="K6" t="str">
            <v>Mid - Continent</v>
          </cell>
          <cell r="L6">
            <v>763.60655737704917</v>
          </cell>
          <cell r="M6">
            <v>0.74811285400717387</v>
          </cell>
          <cell r="N6">
            <v>3660.4389999999999</v>
          </cell>
          <cell r="O6">
            <v>0.71426670290907801</v>
          </cell>
          <cell r="P6">
            <v>2500</v>
          </cell>
          <cell r="Q6">
            <v>0.625</v>
          </cell>
        </row>
        <row r="7">
          <cell r="K7" t="str">
            <v>S. TX/Gulf Coast</v>
          </cell>
          <cell r="L7">
            <v>115.84699453551913</v>
          </cell>
          <cell r="M7">
            <v>0.11349643985224049</v>
          </cell>
          <cell r="N7">
            <v>390.13600000000002</v>
          </cell>
          <cell r="O7">
            <v>7.6127796257808439E-2</v>
          </cell>
          <cell r="P7">
            <v>250</v>
          </cell>
          <cell r="Q7">
            <v>6.25E-2</v>
          </cell>
        </row>
        <row r="8">
          <cell r="K8" t="str">
            <v>Permian</v>
          </cell>
          <cell r="L8">
            <v>80.601092896174862</v>
          </cell>
          <cell r="M8">
            <v>7.8965683387761651E-2</v>
          </cell>
          <cell r="N8">
            <v>481.61399999999998</v>
          </cell>
          <cell r="O8">
            <v>9.3978029371573374E-2</v>
          </cell>
          <cell r="P8">
            <v>400</v>
          </cell>
          <cell r="Q8">
            <v>0.1</v>
          </cell>
        </row>
        <row r="9">
          <cell r="K9" t="str">
            <v>Ark-La-Tex</v>
          </cell>
          <cell r="L9">
            <v>53.551912568306015</v>
          </cell>
          <cell r="M9">
            <v>5.2465335403394188E-2</v>
          </cell>
          <cell r="N9">
            <v>546.84799999999996</v>
          </cell>
          <cell r="O9">
            <v>0.1067072331904516</v>
          </cell>
          <cell r="P9">
            <v>850</v>
          </cell>
          <cell r="Q9">
            <v>0.21249999999999999</v>
          </cell>
        </row>
        <row r="10">
          <cell r="K10" t="str">
            <v>Other</v>
          </cell>
          <cell r="L10">
            <v>7.1038251366120226</v>
          </cell>
          <cell r="M10">
            <v>6.9596873494298418E-3</v>
          </cell>
          <cell r="N10">
            <v>45.713999999999999</v>
          </cell>
          <cell r="O10">
            <v>8.920238271088685E-3</v>
          </cell>
          <cell r="P10">
            <v>0</v>
          </cell>
          <cell r="Q10">
            <v>0</v>
          </cell>
        </row>
        <row r="11">
          <cell r="K11" t="str">
            <v>Total</v>
          </cell>
          <cell r="L11">
            <v>1020.7103825136612</v>
          </cell>
          <cell r="N11">
            <v>5124.7509999999993</v>
          </cell>
          <cell r="P11">
            <v>4000</v>
          </cell>
        </row>
      </sheetData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"/>
      <sheetName val="Project"/>
      <sheetName val="CC"/>
      <sheetName val="Peak"/>
      <sheetName val="Gas Steam"/>
      <sheetName val="Cost"/>
      <sheetName val="Pricing Curves"/>
      <sheetName val="PJM_CIN"/>
      <sheetName val="Sheet2"/>
    </sheetNames>
    <sheetDataSet>
      <sheetData sheetId="0"/>
      <sheetData sheetId="1"/>
      <sheetData sheetId="2" refreshError="1">
        <row r="3">
          <cell r="B3" t="str">
            <v>SERC SOCO</v>
          </cell>
          <cell r="C3" t="str">
            <v>SERC ENT</v>
          </cell>
          <cell r="D3" t="str">
            <v>ECAR C</v>
          </cell>
          <cell r="E3" t="str">
            <v>ECAR W</v>
          </cell>
          <cell r="F3" t="str">
            <v>PJM C</v>
          </cell>
          <cell r="G3" t="str">
            <v>NEN</v>
          </cell>
          <cell r="H3" t="str">
            <v>NEC</v>
          </cell>
          <cell r="I3" t="str">
            <v>DESERT</v>
          </cell>
        </row>
        <row r="4">
          <cell r="B4">
            <v>0.2</v>
          </cell>
          <cell r="C4">
            <v>0.2</v>
          </cell>
          <cell r="D4">
            <v>0.2</v>
          </cell>
          <cell r="E4">
            <v>0.2</v>
          </cell>
          <cell r="F4">
            <v>0.2</v>
          </cell>
          <cell r="G4">
            <v>0.2</v>
          </cell>
          <cell r="H4">
            <v>0.2</v>
          </cell>
          <cell r="I4">
            <v>0.2</v>
          </cell>
        </row>
        <row r="5">
          <cell r="B5">
            <v>86102.827156109488</v>
          </cell>
          <cell r="C5">
            <v>84342.477486958887</v>
          </cell>
          <cell r="D5">
            <v>37083.49254925584</v>
          </cell>
          <cell r="E5">
            <v>30626.798418677125</v>
          </cell>
          <cell r="F5">
            <v>70026.058811454219</v>
          </cell>
          <cell r="G5">
            <v>108866.94494683432</v>
          </cell>
          <cell r="H5">
            <v>125728.96873368679</v>
          </cell>
          <cell r="I5">
            <v>97476.891268841486</v>
          </cell>
        </row>
        <row r="6">
          <cell r="B6">
            <v>2.7E-2</v>
          </cell>
          <cell r="C6">
            <v>2.7E-2</v>
          </cell>
          <cell r="D6">
            <v>2.7E-2</v>
          </cell>
          <cell r="E6">
            <v>2.7E-2</v>
          </cell>
          <cell r="F6">
            <v>2.7E-2</v>
          </cell>
          <cell r="G6">
            <v>2.7E-2</v>
          </cell>
          <cell r="H6">
            <v>2.7E-2</v>
          </cell>
          <cell r="I6">
            <v>2.7E-2</v>
          </cell>
        </row>
        <row r="7">
          <cell r="B7">
            <v>576000</v>
          </cell>
          <cell r="C7">
            <v>576000</v>
          </cell>
          <cell r="D7">
            <v>602400</v>
          </cell>
          <cell r="E7">
            <v>602400</v>
          </cell>
          <cell r="F7">
            <v>597600</v>
          </cell>
          <cell r="G7">
            <v>630000</v>
          </cell>
          <cell r="H7">
            <v>630000</v>
          </cell>
          <cell r="I7">
            <v>206000</v>
          </cell>
        </row>
        <row r="8">
          <cell r="B8">
            <v>5</v>
          </cell>
          <cell r="C8">
            <v>6</v>
          </cell>
          <cell r="D8">
            <v>5</v>
          </cell>
          <cell r="E8">
            <v>5</v>
          </cell>
          <cell r="F8">
            <v>4</v>
          </cell>
          <cell r="G8">
            <v>3</v>
          </cell>
          <cell r="H8">
            <v>3</v>
          </cell>
          <cell r="I8">
            <v>5</v>
          </cell>
        </row>
        <row r="9">
          <cell r="B9">
            <v>0.5</v>
          </cell>
          <cell r="C9">
            <v>0.5</v>
          </cell>
          <cell r="D9">
            <v>0.5</v>
          </cell>
          <cell r="E9">
            <v>0.5</v>
          </cell>
          <cell r="F9">
            <v>0.5</v>
          </cell>
          <cell r="G9">
            <v>0.5</v>
          </cell>
          <cell r="H9">
            <v>0.5</v>
          </cell>
          <cell r="I9">
            <v>0.5</v>
          </cell>
        </row>
        <row r="10">
          <cell r="B10">
            <v>329036.97644752508</v>
          </cell>
          <cell r="C10">
            <v>337920.9748116082</v>
          </cell>
          <cell r="D10">
            <v>344117.83786803664</v>
          </cell>
          <cell r="E10">
            <v>344117.83786803664</v>
          </cell>
          <cell r="F10">
            <v>332401.03511617071</v>
          </cell>
          <cell r="G10">
            <v>341210.10514499992</v>
          </cell>
          <cell r="H10">
            <v>341210.10514499992</v>
          </cell>
          <cell r="I10">
            <v>117676.41866005237</v>
          </cell>
        </row>
        <row r="11">
          <cell r="B11">
            <v>132232.58119836883</v>
          </cell>
          <cell r="C11">
            <v>113169.05074227063</v>
          </cell>
          <cell r="D11">
            <v>138293.24116996073</v>
          </cell>
          <cell r="E11">
            <v>138293.24116996073</v>
          </cell>
          <cell r="F11">
            <v>160301.42511389407</v>
          </cell>
          <cell r="G11">
            <v>197459.55158854162</v>
          </cell>
          <cell r="H11">
            <v>197459.55158854162</v>
          </cell>
          <cell r="I11">
            <v>47291.513414694404</v>
          </cell>
        </row>
        <row r="13">
          <cell r="B13">
            <v>205.78542314315754</v>
          </cell>
          <cell r="C13">
            <v>184.96154301790872</v>
          </cell>
          <cell r="D13">
            <v>171.44843456359956</v>
          </cell>
          <cell r="E13">
            <v>164.99174043302085</v>
          </cell>
          <cell r="F13">
            <v>241.70507356710215</v>
          </cell>
          <cell r="G13">
            <v>342.93115518932194</v>
          </cell>
          <cell r="H13">
            <v>359.79317897617443</v>
          </cell>
          <cell r="I13">
            <v>134.66068977043437</v>
          </cell>
        </row>
        <row r="14">
          <cell r="B14">
            <v>252.26863875737962</v>
          </cell>
          <cell r="C14">
            <v>229.02903205822776</v>
          </cell>
          <cell r="D14">
            <v>224.44272979169713</v>
          </cell>
          <cell r="E14">
            <v>217.35726075257924</v>
          </cell>
          <cell r="F14">
            <v>321.13402011902355</v>
          </cell>
          <cell r="G14">
            <v>416.13676349029379</v>
          </cell>
          <cell r="H14">
            <v>434.02623476550582</v>
          </cell>
          <cell r="I14">
            <v>186.67418444334012</v>
          </cell>
        </row>
      </sheetData>
      <sheetData sheetId="3" refreshError="1">
        <row r="3">
          <cell r="B3" t="str">
            <v>SERC TVA</v>
          </cell>
          <cell r="C3" t="str">
            <v>ECAR C</v>
          </cell>
          <cell r="D3" t="str">
            <v>MAIN C</v>
          </cell>
        </row>
        <row r="4">
          <cell r="B4">
            <v>0.2</v>
          </cell>
          <cell r="C4">
            <v>0.2</v>
          </cell>
          <cell r="D4">
            <v>0.2</v>
          </cell>
        </row>
        <row r="5">
          <cell r="B5">
            <v>242.08545444561403</v>
          </cell>
          <cell r="C5">
            <v>41.56497116107434</v>
          </cell>
          <cell r="D5">
            <v>903.20691958828888</v>
          </cell>
        </row>
        <row r="6">
          <cell r="B6">
            <v>2.7E-2</v>
          </cell>
          <cell r="C6">
            <v>2.7E-2</v>
          </cell>
          <cell r="D6">
            <v>2.7E-2</v>
          </cell>
        </row>
        <row r="7">
          <cell r="B7">
            <v>288000</v>
          </cell>
          <cell r="C7">
            <v>301200</v>
          </cell>
          <cell r="D7">
            <v>301200</v>
          </cell>
        </row>
        <row r="8">
          <cell r="B8">
            <v>6</v>
          </cell>
          <cell r="C8">
            <v>5</v>
          </cell>
          <cell r="D8">
            <v>6</v>
          </cell>
        </row>
        <row r="9">
          <cell r="B9">
            <v>0.5</v>
          </cell>
          <cell r="C9">
            <v>0.5</v>
          </cell>
          <cell r="D9">
            <v>0.5</v>
          </cell>
        </row>
        <row r="10">
          <cell r="B10">
            <v>168960.4874058041</v>
          </cell>
          <cell r="C10">
            <v>172058.91893401832</v>
          </cell>
          <cell r="D10">
            <v>176704.50974523678</v>
          </cell>
        </row>
        <row r="11">
          <cell r="B11">
            <v>56584.525371135314</v>
          </cell>
          <cell r="C11">
            <v>69146.620584980366</v>
          </cell>
          <cell r="D11">
            <v>59177.982783979016</v>
          </cell>
        </row>
        <row r="13">
          <cell r="B13">
            <v>46.451828210196069</v>
          </cell>
          <cell r="C13">
            <v>69.982637731693231</v>
          </cell>
          <cell r="D13">
            <v>60.875641879119094</v>
          </cell>
        </row>
        <row r="14">
          <cell r="B14">
            <v>94.316321687520869</v>
          </cell>
          <cell r="C14">
            <v>113.02359112181819</v>
          </cell>
          <cell r="D14">
            <v>134.25763043166347</v>
          </cell>
        </row>
      </sheetData>
      <sheetData sheetId="4" refreshError="1">
        <row r="3">
          <cell r="B3" t="str">
            <v>SP15</v>
          </cell>
          <cell r="C3" t="str">
            <v>NP15</v>
          </cell>
        </row>
        <row r="4">
          <cell r="B4">
            <v>0.2</v>
          </cell>
          <cell r="C4">
            <v>0.2</v>
          </cell>
        </row>
        <row r="5">
          <cell r="B5">
            <v>12237.093466327911</v>
          </cell>
          <cell r="C5">
            <v>9204.5109143012087</v>
          </cell>
        </row>
        <row r="6">
          <cell r="B6">
            <v>2.7E-2</v>
          </cell>
          <cell r="C6">
            <v>2.7E-2</v>
          </cell>
        </row>
        <row r="7">
          <cell r="B7">
            <v>206000</v>
          </cell>
          <cell r="C7">
            <v>206000</v>
          </cell>
        </row>
        <row r="8">
          <cell r="B8">
            <v>6</v>
          </cell>
          <cell r="C8">
            <v>6</v>
          </cell>
        </row>
        <row r="9">
          <cell r="B9">
            <v>0.5</v>
          </cell>
          <cell r="C9">
            <v>0.5</v>
          </cell>
        </row>
        <row r="10">
          <cell r="B10">
            <v>120853.68196387377</v>
          </cell>
          <cell r="C10">
            <v>120853.68196387377</v>
          </cell>
        </row>
        <row r="11">
          <cell r="B11">
            <v>40473.653564075954</v>
          </cell>
          <cell r="C11">
            <v>40473.653564075954</v>
          </cell>
        </row>
        <row r="13">
          <cell r="B13">
            <v>-17.467155434886795</v>
          </cell>
          <cell r="C13">
            <v>-20.499737986913491</v>
          </cell>
        </row>
        <row r="14">
          <cell r="B14">
            <v>79.167828370481743</v>
          </cell>
          <cell r="C14">
            <v>76.031235910939827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2"/>
      <sheetName val="Macro1"/>
      <sheetName val="Model Introduction"/>
      <sheetName val="__FDSCACHE__"/>
      <sheetName val="NYSE NBP"/>
      <sheetName val="Macro3"/>
      <sheetName val="Segment Analysis"/>
      <sheetName val="Charts"/>
      <sheetName val="Expansions"/>
      <sheetName val="Acquisitions"/>
      <sheetName val="Corporate History"/>
      <sheetName val="Distribution"/>
      <sheetName val="Maturities"/>
      <sheetName val="Financing"/>
      <sheetName val="Mgmt."/>
      <sheetName val="Da Splits"/>
      <sheetName val="To Do"/>
      <sheetName val="WEG Accretion Model"/>
      <sheetName val="Tables &amp; Charts"/>
      <sheetName val="NBP Performance"/>
      <sheetName val="Prices"/>
      <sheetName val="Assumptions"/>
      <sheetName val="Liquidity"/>
      <sheetName val="Events"/>
    </sheetNames>
    <sheetDataSet>
      <sheetData sheetId="0"/>
      <sheetData sheetId="1"/>
      <sheetData sheetId="2"/>
      <sheetData sheetId="3"/>
      <sheetData sheetId="4">
        <row r="142">
          <cell r="A142" t="str">
            <v>Cash Paid during the period for: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Notes"/>
      <sheetName val="Q-Breakdown"/>
      <sheetName val="Balance Sheet"/>
      <sheetName val="Hedge - Gas"/>
      <sheetName val="Hedge - Oil"/>
      <sheetName val="Hedge - NGL"/>
      <sheetName val="NAV"/>
      <sheetName val="1P SMOG"/>
      <sheetName val="3P SMOG"/>
      <sheetName val="Reserves"/>
      <sheetName val="Marcellus--&gt;"/>
      <sheetName val="Well Base"/>
      <sheetName val="PlantCap"/>
      <sheetName val="Dry Development"/>
      <sheetName val="Development "/>
      <sheetName val="Link"/>
      <sheetName val="SMOG Hedges"/>
      <sheetName val="Disclaimer"/>
      <sheetName val="Hedging Analysis - Gas"/>
      <sheetName val="Hedge Analysis- Oil"/>
      <sheetName val="Hedge Analysis- NGL"/>
      <sheetName val="LSP Valuation"/>
      <sheetName val="Graphs"/>
      <sheetName val="Projects"/>
      <sheetName val="Permian LSP Valuation A"/>
      <sheetName val="Permian LSP Valuation B"/>
      <sheetName val="Stock Price"/>
      <sheetName val="Appalachia"/>
      <sheetName val="Sensitivity Analysis"/>
      <sheetName val="databox"/>
      <sheetName val="Acquisition"/>
      <sheetName val="Front Tear"/>
      <sheetName val="Data Tear"/>
      <sheetName val="Back Tear"/>
      <sheetName val="Notes from Analyst Conf."/>
      <sheetName val="RRC vs CNG"/>
      <sheetName val="Data Collection Sheet"/>
      <sheetName val="RRC Consol S&amp;C Analyst"/>
      <sheetName val="Disclosure"/>
      <sheetName val="wizard"/>
      <sheetName val="RRC Consolidated S&amp;C"/>
      <sheetName val="Current Hedges Table 5"/>
      <sheetName val="RRC"/>
      <sheetName val="SW Development"/>
      <sheetName val="NE  Development"/>
      <sheetName val="TotMarcNAV"/>
      <sheetName val="MarcNAV"/>
    </sheetNames>
    <sheetDataSet>
      <sheetData sheetId="0"/>
      <sheetData sheetId="1">
        <row r="3">
          <cell r="B3">
            <v>40189</v>
          </cell>
        </row>
      </sheetData>
      <sheetData sheetId="2">
        <row r="3">
          <cell r="A3" t="str">
            <v>Natural Gas</v>
          </cell>
        </row>
      </sheetData>
      <sheetData sheetId="3">
        <row r="1">
          <cell r="AM1" t="str">
            <v>Proprietary to Friedman, Billings, Ramsey &amp; Co., Inc                                                                             Rehan Rashid, 703.469.1184</v>
          </cell>
        </row>
        <row r="2">
          <cell r="A2" t="str">
            <v>Consolidated Balance Sheet ($ 000)</v>
          </cell>
        </row>
        <row r="3">
          <cell r="A3" t="str">
            <v>Ticker: RRC</v>
          </cell>
        </row>
        <row r="5">
          <cell r="A5" t="str">
            <v>Assets</v>
          </cell>
          <cell r="B5" t="str">
            <v>12/31/12E</v>
          </cell>
          <cell r="C5" t="str">
            <v>9/30/12E</v>
          </cell>
          <cell r="D5" t="str">
            <v>6/30/12E</v>
          </cell>
          <cell r="E5" t="str">
            <v>3/31/12E</v>
          </cell>
          <cell r="F5" t="str">
            <v>12/31/11E</v>
          </cell>
          <cell r="G5" t="str">
            <v>9/30/11E</v>
          </cell>
          <cell r="H5" t="str">
            <v>6/30/11E</v>
          </cell>
          <cell r="I5" t="str">
            <v>3/31/11E</v>
          </cell>
          <cell r="J5" t="str">
            <v>12/31/10E</v>
          </cell>
          <cell r="K5" t="str">
            <v>9/30/10</v>
          </cell>
          <cell r="L5" t="str">
            <v>6/30/10</v>
          </cell>
          <cell r="M5" t="str">
            <v>3/31/10</v>
          </cell>
          <cell r="N5" t="str">
            <v>12/31/09</v>
          </cell>
          <cell r="O5" t="str">
            <v>9/30/09</v>
          </cell>
          <cell r="P5" t="str">
            <v>6/30/09</v>
          </cell>
          <cell r="Q5" t="str">
            <v>3/31/09</v>
          </cell>
          <cell r="R5" t="str">
            <v>12/31/08</v>
          </cell>
          <cell r="S5" t="str">
            <v>9/30/08</v>
          </cell>
          <cell r="T5" t="str">
            <v>6/30/08</v>
          </cell>
          <cell r="U5" t="str">
            <v>3/31/08</v>
          </cell>
          <cell r="V5" t="str">
            <v>12/31/07</v>
          </cell>
          <cell r="W5" t="str">
            <v>9/30/07</v>
          </cell>
          <cell r="X5" t="str">
            <v>6/30/07</v>
          </cell>
          <cell r="Y5" t="str">
            <v>3/31/07</v>
          </cell>
          <cell r="Z5" t="str">
            <v>12/31/06</v>
          </cell>
          <cell r="AA5" t="str">
            <v>9/30/06</v>
          </cell>
          <cell r="AB5" t="str">
            <v>6/30/06</v>
          </cell>
          <cell r="AC5" t="str">
            <v>3/31/06</v>
          </cell>
          <cell r="AD5" t="str">
            <v>12/31/05</v>
          </cell>
          <cell r="AE5" t="str">
            <v>9/30/05</v>
          </cell>
          <cell r="AF5" t="str">
            <v>6/30/05</v>
          </cell>
          <cell r="AG5" t="str">
            <v>3/31/05</v>
          </cell>
          <cell r="AH5" t="str">
            <v>12/31/04</v>
          </cell>
          <cell r="AI5" t="str">
            <v>9/30/04</v>
          </cell>
          <cell r="AJ5" t="str">
            <v>6/30/04</v>
          </cell>
          <cell r="AK5" t="str">
            <v>3/31/04</v>
          </cell>
          <cell r="AL5" t="str">
            <v>12/31/03</v>
          </cell>
        </row>
        <row r="6">
          <cell r="A6" t="str">
            <v>Cash &amp; Cash Equivalents</v>
          </cell>
          <cell r="B6">
            <v>-1082680.0105890722</v>
          </cell>
          <cell r="C6">
            <v>-868664.94911722839</v>
          </cell>
          <cell r="D6">
            <v>-657065.86146257073</v>
          </cell>
          <cell r="E6">
            <v>-431009.02737513249</v>
          </cell>
          <cell r="F6">
            <v>-199736.05573535146</v>
          </cell>
          <cell r="G6">
            <v>-179790.34255982994</v>
          </cell>
          <cell r="H6">
            <v>-133671.5716364356</v>
          </cell>
          <cell r="I6">
            <v>-72545.657728628983</v>
          </cell>
          <cell r="J6">
            <v>-3788.5263311500894</v>
          </cell>
          <cell r="K6">
            <v>2078</v>
          </cell>
          <cell r="L6">
            <v>166858</v>
          </cell>
          <cell r="M6">
            <v>286514</v>
          </cell>
          <cell r="N6">
            <v>153735</v>
          </cell>
          <cell r="O6">
            <v>1376.3538577643631</v>
          </cell>
          <cell r="P6">
            <v>2669.3538577643631</v>
          </cell>
          <cell r="Q6">
            <v>133180</v>
          </cell>
          <cell r="R6">
            <v>182881</v>
          </cell>
          <cell r="S6">
            <v>265</v>
          </cell>
          <cell r="T6">
            <v>73</v>
          </cell>
          <cell r="U6">
            <v>90</v>
          </cell>
          <cell r="V6">
            <v>4018</v>
          </cell>
          <cell r="W6">
            <v>187</v>
          </cell>
          <cell r="X6">
            <v>16594</v>
          </cell>
          <cell r="Y6">
            <v>167855</v>
          </cell>
          <cell r="Z6">
            <v>2382</v>
          </cell>
          <cell r="AA6">
            <v>191664</v>
          </cell>
          <cell r="AB6">
            <v>125470</v>
          </cell>
          <cell r="AC6">
            <v>108312</v>
          </cell>
          <cell r="AD6">
            <v>207977</v>
          </cell>
          <cell r="AE6">
            <v>116164</v>
          </cell>
          <cell r="AF6">
            <v>86347</v>
          </cell>
          <cell r="AG6">
            <v>91116</v>
          </cell>
          <cell r="AH6">
            <v>110026</v>
          </cell>
          <cell r="AI6">
            <v>60421</v>
          </cell>
          <cell r="AJ6">
            <v>73569</v>
          </cell>
          <cell r="AK6">
            <v>50003</v>
          </cell>
          <cell r="AL6">
            <v>46221</v>
          </cell>
        </row>
        <row r="7">
          <cell r="A7" t="str">
            <v>Other Current Assets</v>
          </cell>
          <cell r="B7">
            <v>274885</v>
          </cell>
          <cell r="C7">
            <v>274885</v>
          </cell>
          <cell r="D7">
            <v>274885</v>
          </cell>
          <cell r="E7">
            <v>274885</v>
          </cell>
          <cell r="F7">
            <v>274885</v>
          </cell>
          <cell r="G7">
            <v>274885</v>
          </cell>
          <cell r="H7">
            <v>274885</v>
          </cell>
          <cell r="I7">
            <v>274885</v>
          </cell>
          <cell r="J7">
            <v>274885</v>
          </cell>
          <cell r="K7">
            <v>274885</v>
          </cell>
          <cell r="L7">
            <v>206554</v>
          </cell>
          <cell r="M7">
            <v>274432</v>
          </cell>
          <cell r="N7">
            <v>21545</v>
          </cell>
          <cell r="O7">
            <v>117389.64614223564</v>
          </cell>
          <cell r="P7">
            <v>120726.64614223564</v>
          </cell>
          <cell r="Q7">
            <v>279383</v>
          </cell>
          <cell r="R7">
            <v>221430</v>
          </cell>
          <cell r="S7">
            <v>315091</v>
          </cell>
          <cell r="T7">
            <v>438038</v>
          </cell>
          <cell r="U7">
            <v>272943</v>
          </cell>
          <cell r="V7">
            <v>257796</v>
          </cell>
          <cell r="W7">
            <v>230873</v>
          </cell>
          <cell r="X7">
            <v>220496</v>
          </cell>
          <cell r="Y7">
            <v>203336</v>
          </cell>
          <cell r="Z7">
            <v>317955</v>
          </cell>
        </row>
        <row r="8">
          <cell r="A8" t="str">
            <v>Property, Plant &amp; Equipment - Net</v>
          </cell>
          <cell r="B8">
            <v>7354678.8642700482</v>
          </cell>
          <cell r="C8">
            <v>7107931.3948340556</v>
          </cell>
          <cell r="D8">
            <v>6856591.9347125776</v>
          </cell>
          <cell r="E8">
            <v>6598433.3864019206</v>
          </cell>
          <cell r="F8">
            <v>6331866.827924096</v>
          </cell>
          <cell r="G8">
            <v>6125545.920940157</v>
          </cell>
          <cell r="H8">
            <v>5913691.2794886995</v>
          </cell>
          <cell r="I8">
            <v>5694043.6969504217</v>
          </cell>
          <cell r="J8">
            <v>5468417.2000000002</v>
          </cell>
          <cell r="K8">
            <v>5195004</v>
          </cell>
          <cell r="L8">
            <v>5055513</v>
          </cell>
          <cell r="M8">
            <v>4742319</v>
          </cell>
          <cell r="N8">
            <v>4990654</v>
          </cell>
          <cell r="O8">
            <v>4871939</v>
          </cell>
          <cell r="P8">
            <v>4916634</v>
          </cell>
          <cell r="Q8">
            <v>5084847</v>
          </cell>
          <cell r="R8">
            <v>4938938</v>
          </cell>
          <cell r="S8">
            <v>4740218</v>
          </cell>
          <cell r="T8">
            <v>4233711</v>
          </cell>
          <cell r="U8">
            <v>4026160</v>
          </cell>
          <cell r="V8">
            <v>3564934</v>
          </cell>
          <cell r="W8">
            <v>3420703</v>
          </cell>
          <cell r="X8">
            <v>3249595</v>
          </cell>
          <cell r="Y8">
            <v>2789850</v>
          </cell>
          <cell r="Z8">
            <v>2755980</v>
          </cell>
          <cell r="AA8">
            <v>2707612</v>
          </cell>
          <cell r="AB8">
            <v>2432628</v>
          </cell>
          <cell r="AC8">
            <v>1804438</v>
          </cell>
          <cell r="AD8">
            <v>1741182</v>
          </cell>
          <cell r="AE8">
            <v>1732840</v>
          </cell>
          <cell r="AF8">
            <v>1617790</v>
          </cell>
          <cell r="AG8">
            <v>1421456</v>
          </cell>
          <cell r="AH8">
            <v>1402359</v>
          </cell>
          <cell r="AI8">
            <v>1088648</v>
          </cell>
          <cell r="AJ8">
            <v>1058390</v>
          </cell>
          <cell r="AK8">
            <v>723294</v>
          </cell>
          <cell r="AL8">
            <v>723382</v>
          </cell>
        </row>
        <row r="9">
          <cell r="A9" t="str">
            <v>Deposits &amp; Other Assets</v>
          </cell>
          <cell r="B9">
            <v>365198</v>
          </cell>
          <cell r="C9">
            <v>365198</v>
          </cell>
          <cell r="D9">
            <v>365198</v>
          </cell>
          <cell r="E9">
            <v>365198</v>
          </cell>
          <cell r="F9">
            <v>365198</v>
          </cell>
          <cell r="G9">
            <v>365198</v>
          </cell>
          <cell r="H9">
            <v>365198</v>
          </cell>
          <cell r="I9">
            <v>365198</v>
          </cell>
          <cell r="J9">
            <v>365198</v>
          </cell>
          <cell r="K9">
            <v>365198</v>
          </cell>
          <cell r="L9">
            <v>333920</v>
          </cell>
          <cell r="M9">
            <v>338836</v>
          </cell>
          <cell r="N9">
            <v>229947</v>
          </cell>
          <cell r="O9">
            <v>405677</v>
          </cell>
          <cell r="P9">
            <v>395969</v>
          </cell>
          <cell r="Q9">
            <v>217848</v>
          </cell>
          <cell r="R9">
            <v>219294</v>
          </cell>
          <cell r="S9">
            <v>215620</v>
          </cell>
          <cell r="T9">
            <v>207834</v>
          </cell>
          <cell r="U9">
            <v>188502</v>
          </cell>
          <cell r="V9">
            <v>189760</v>
          </cell>
          <cell r="W9">
            <v>196663</v>
          </cell>
          <cell r="X9">
            <v>188991</v>
          </cell>
          <cell r="Y9">
            <v>119843</v>
          </cell>
          <cell r="Z9">
            <v>190661</v>
          </cell>
          <cell r="AA9">
            <v>151974</v>
          </cell>
          <cell r="AB9">
            <v>313688</v>
          </cell>
          <cell r="AC9">
            <v>122203</v>
          </cell>
          <cell r="AD9">
            <v>69826</v>
          </cell>
          <cell r="AE9">
            <v>121420</v>
          </cell>
          <cell r="AF9">
            <v>98541</v>
          </cell>
          <cell r="AG9">
            <v>104582</v>
          </cell>
          <cell r="AH9">
            <v>83021</v>
          </cell>
          <cell r="AI9">
            <v>94522</v>
          </cell>
          <cell r="AJ9">
            <v>87721</v>
          </cell>
          <cell r="AK9">
            <v>69023</v>
          </cell>
          <cell r="AL9">
            <v>60488</v>
          </cell>
        </row>
        <row r="10">
          <cell r="A10" t="str">
            <v>Total Assets</v>
          </cell>
          <cell r="B10">
            <v>6912081.8536809757</v>
          </cell>
          <cell r="C10">
            <v>6879349.4457168272</v>
          </cell>
          <cell r="D10">
            <v>6839609.0732500069</v>
          </cell>
          <cell r="E10">
            <v>6807507.3590267878</v>
          </cell>
          <cell r="F10">
            <v>6772213.7721887445</v>
          </cell>
          <cell r="G10">
            <v>6585838.5783803267</v>
          </cell>
          <cell r="H10">
            <v>6420102.7078522639</v>
          </cell>
          <cell r="I10">
            <v>6261581.0392217925</v>
          </cell>
          <cell r="J10">
            <v>6104711.6736688502</v>
          </cell>
          <cell r="K10">
            <v>5837165</v>
          </cell>
          <cell r="L10">
            <v>5762845</v>
          </cell>
          <cell r="M10">
            <v>5642101</v>
          </cell>
          <cell r="N10">
            <v>5395881</v>
          </cell>
          <cell r="O10">
            <v>5396382</v>
          </cell>
          <cell r="P10">
            <v>5435999</v>
          </cell>
          <cell r="Q10">
            <v>5715258</v>
          </cell>
          <cell r="R10">
            <v>5562543</v>
          </cell>
          <cell r="S10">
            <v>5271194</v>
          </cell>
          <cell r="T10">
            <v>4879656</v>
          </cell>
          <cell r="U10">
            <v>4487695</v>
          </cell>
          <cell r="V10">
            <v>4016508</v>
          </cell>
          <cell r="W10">
            <v>3848426</v>
          </cell>
          <cell r="X10">
            <v>3675676</v>
          </cell>
          <cell r="Y10">
            <v>3280884</v>
          </cell>
          <cell r="Z10">
            <v>3266978</v>
          </cell>
          <cell r="AA10">
            <v>3051250</v>
          </cell>
          <cell r="AB10">
            <v>2871786</v>
          </cell>
          <cell r="AC10">
            <v>2034953</v>
          </cell>
          <cell r="AD10">
            <v>2018985</v>
          </cell>
          <cell r="AE10">
            <v>1970424</v>
          </cell>
          <cell r="AF10">
            <v>1802678</v>
          </cell>
          <cell r="AG10">
            <v>1617154</v>
          </cell>
          <cell r="AH10">
            <v>1595406</v>
          </cell>
          <cell r="AI10">
            <v>1243591</v>
          </cell>
          <cell r="AJ10">
            <v>1219680</v>
          </cell>
          <cell r="AK10">
            <v>842320</v>
          </cell>
          <cell r="AL10">
            <v>830091</v>
          </cell>
        </row>
        <row r="11">
          <cell r="A11" t="str">
            <v>Liabilities &amp; Owners Equity</v>
          </cell>
        </row>
        <row r="12">
          <cell r="A12" t="str">
            <v>Current Liabilities</v>
          </cell>
          <cell r="B12">
            <v>378647</v>
          </cell>
          <cell r="C12">
            <v>378647</v>
          </cell>
          <cell r="D12">
            <v>378647</v>
          </cell>
          <cell r="E12">
            <v>378647</v>
          </cell>
          <cell r="F12">
            <v>378647</v>
          </cell>
          <cell r="G12">
            <v>378647</v>
          </cell>
          <cell r="H12">
            <v>378647</v>
          </cell>
          <cell r="I12">
            <v>378647</v>
          </cell>
          <cell r="J12">
            <v>378647</v>
          </cell>
          <cell r="K12">
            <v>378647</v>
          </cell>
          <cell r="L12">
            <v>351621</v>
          </cell>
          <cell r="M12">
            <v>337906</v>
          </cell>
          <cell r="N12">
            <v>314104</v>
          </cell>
          <cell r="O12">
            <v>246365</v>
          </cell>
          <cell r="P12">
            <v>232790</v>
          </cell>
          <cell r="Q12">
            <v>313970</v>
          </cell>
          <cell r="R12">
            <v>353514</v>
          </cell>
          <cell r="S12">
            <v>422488</v>
          </cell>
          <cell r="T12">
            <v>872376</v>
          </cell>
          <cell r="U12">
            <v>502056</v>
          </cell>
          <cell r="V12">
            <v>305433</v>
          </cell>
          <cell r="W12">
            <v>243967</v>
          </cell>
          <cell r="X12">
            <v>239912</v>
          </cell>
          <cell r="Y12">
            <v>184944</v>
          </cell>
          <cell r="Z12">
            <v>232356</v>
          </cell>
          <cell r="AA12">
            <v>201040</v>
          </cell>
          <cell r="AB12">
            <v>278111</v>
          </cell>
          <cell r="AC12">
            <v>121209</v>
          </cell>
          <cell r="AD12">
            <v>321760</v>
          </cell>
          <cell r="AE12">
            <v>132273</v>
          </cell>
          <cell r="AF12">
            <v>101820</v>
          </cell>
          <cell r="AG12">
            <v>84281</v>
          </cell>
          <cell r="AH12">
            <v>109335</v>
          </cell>
          <cell r="AI12">
            <v>75296</v>
          </cell>
          <cell r="AJ12">
            <v>62771</v>
          </cell>
          <cell r="AK12">
            <v>41170</v>
          </cell>
          <cell r="AL12">
            <v>46805</v>
          </cell>
        </row>
        <row r="13">
          <cell r="A13" t="str">
            <v>Long-term Debt</v>
          </cell>
          <cell r="B13">
            <v>2636260</v>
          </cell>
          <cell r="C13">
            <v>2636260</v>
          </cell>
          <cell r="D13">
            <v>2611260</v>
          </cell>
          <cell r="E13">
            <v>2586260</v>
          </cell>
          <cell r="F13">
            <v>2566260</v>
          </cell>
          <cell r="G13">
            <v>2441260</v>
          </cell>
          <cell r="H13">
            <v>2326260</v>
          </cell>
          <cell r="I13">
            <v>2211260</v>
          </cell>
          <cell r="J13">
            <v>2101260</v>
          </cell>
          <cell r="K13">
            <v>1851260</v>
          </cell>
          <cell r="L13">
            <v>1859562</v>
          </cell>
          <cell r="M13">
            <v>1738194</v>
          </cell>
          <cell r="N13">
            <v>1707833</v>
          </cell>
          <cell r="O13">
            <v>1781480</v>
          </cell>
          <cell r="P13">
            <v>1786134</v>
          </cell>
          <cell r="Q13">
            <v>1904770</v>
          </cell>
          <cell r="R13">
            <v>1790668</v>
          </cell>
          <cell r="S13">
            <v>1647459</v>
          </cell>
          <cell r="T13">
            <v>1303356</v>
          </cell>
          <cell r="U13">
            <v>1439757</v>
          </cell>
          <cell r="V13">
            <v>1150658</v>
          </cell>
          <cell r="W13">
            <v>1113062</v>
          </cell>
          <cell r="X13">
            <v>1043467</v>
          </cell>
          <cell r="Y13">
            <v>1134374</v>
          </cell>
          <cell r="Z13">
            <v>1048782</v>
          </cell>
          <cell r="AA13">
            <v>981394</v>
          </cell>
          <cell r="AB13">
            <v>894702</v>
          </cell>
          <cell r="AC13">
            <v>593125</v>
          </cell>
          <cell r="AD13">
            <v>616148</v>
          </cell>
          <cell r="AE13">
            <v>626673</v>
          </cell>
          <cell r="AF13">
            <v>612499</v>
          </cell>
          <cell r="AG13">
            <v>609627</v>
          </cell>
          <cell r="AH13">
            <v>620556</v>
          </cell>
          <cell r="AI13">
            <v>503487</v>
          </cell>
          <cell r="AJ13">
            <v>525422</v>
          </cell>
          <cell r="AK13">
            <v>348611</v>
          </cell>
          <cell r="AL13">
            <v>358180</v>
          </cell>
        </row>
        <row r="14">
          <cell r="A14" t="str">
            <v>Other</v>
          </cell>
          <cell r="B14">
            <v>200560</v>
          </cell>
          <cell r="C14">
            <v>199360</v>
          </cell>
          <cell r="D14">
            <v>198160</v>
          </cell>
          <cell r="E14">
            <v>196960</v>
          </cell>
          <cell r="F14">
            <v>195760</v>
          </cell>
          <cell r="G14">
            <v>194560</v>
          </cell>
          <cell r="H14">
            <v>193360</v>
          </cell>
          <cell r="I14">
            <v>192160</v>
          </cell>
          <cell r="J14">
            <v>190960</v>
          </cell>
          <cell r="K14">
            <v>189760</v>
          </cell>
          <cell r="L14">
            <v>185578</v>
          </cell>
          <cell r="M14">
            <v>198574</v>
          </cell>
          <cell r="N14">
            <v>218390</v>
          </cell>
          <cell r="O14">
            <v>223802</v>
          </cell>
          <cell r="P14">
            <v>200972</v>
          </cell>
          <cell r="Q14">
            <v>189907</v>
          </cell>
          <cell r="R14">
            <v>177137</v>
          </cell>
          <cell r="S14">
            <v>203224</v>
          </cell>
          <cell r="T14">
            <v>444494</v>
          </cell>
          <cell r="U14">
            <v>314952</v>
          </cell>
          <cell r="V14">
            <v>241609</v>
          </cell>
          <cell r="W14">
            <v>219882</v>
          </cell>
          <cell r="X14">
            <v>217152</v>
          </cell>
          <cell r="Y14">
            <v>177373</v>
          </cell>
          <cell r="Z14">
            <v>181732</v>
          </cell>
          <cell r="AA14">
            <v>175075</v>
          </cell>
          <cell r="AB14">
            <v>139319</v>
          </cell>
          <cell r="AC14">
            <v>292905</v>
          </cell>
          <cell r="AD14">
            <v>209337</v>
          </cell>
          <cell r="AE14">
            <v>502580</v>
          </cell>
          <cell r="AF14">
            <v>254693</v>
          </cell>
          <cell r="AG14">
            <v>260042</v>
          </cell>
          <cell r="AH14">
            <v>181462</v>
          </cell>
          <cell r="AI14">
            <v>236661</v>
          </cell>
          <cell r="AJ14">
            <v>200165</v>
          </cell>
          <cell r="AK14">
            <v>169665</v>
          </cell>
          <cell r="AL14">
            <v>140197</v>
          </cell>
        </row>
        <row r="15">
          <cell r="A15" t="str">
            <v>Deferred Taxes</v>
          </cell>
          <cell r="B15">
            <v>946877.85190086835</v>
          </cell>
          <cell r="C15">
            <v>935053.81656102417</v>
          </cell>
          <cell r="D15">
            <v>930028.40350752405</v>
          </cell>
          <cell r="E15">
            <v>927889.39828600176</v>
          </cell>
          <cell r="F15">
            <v>922654.94298411999</v>
          </cell>
          <cell r="G15">
            <v>900007.70299837959</v>
          </cell>
          <cell r="H15">
            <v>881380.72744443011</v>
          </cell>
          <cell r="I15">
            <v>865479.77106749022</v>
          </cell>
          <cell r="J15">
            <v>848313.82569536858</v>
          </cell>
          <cell r="K15">
            <v>842228</v>
          </cell>
          <cell r="L15">
            <v>839245</v>
          </cell>
          <cell r="M15">
            <v>832491</v>
          </cell>
          <cell r="N15">
            <v>776965</v>
          </cell>
          <cell r="O15">
            <v>759406</v>
          </cell>
          <cell r="P15">
            <v>773277</v>
          </cell>
          <cell r="Q15">
            <v>798040</v>
          </cell>
          <cell r="R15">
            <v>783391</v>
          </cell>
          <cell r="S15">
            <v>744070</v>
          </cell>
          <cell r="T15">
            <v>535575</v>
          </cell>
          <cell r="U15">
            <v>586932</v>
          </cell>
          <cell r="V15">
            <v>590786</v>
          </cell>
          <cell r="W15">
            <v>562703</v>
          </cell>
          <cell r="X15">
            <v>527036</v>
          </cell>
          <cell r="Y15">
            <v>485279</v>
          </cell>
          <cell r="Z15">
            <v>468643</v>
          </cell>
          <cell r="AA15">
            <v>469612</v>
          </cell>
          <cell r="AB15">
            <v>418835</v>
          </cell>
          <cell r="AC15">
            <v>213071</v>
          </cell>
          <cell r="AD15">
            <v>174817</v>
          </cell>
          <cell r="AE15">
            <v>141242</v>
          </cell>
          <cell r="AF15">
            <v>151050</v>
          </cell>
          <cell r="AG15">
            <v>119109</v>
          </cell>
          <cell r="AH15">
            <v>117713</v>
          </cell>
          <cell r="AI15">
            <v>19425</v>
          </cell>
          <cell r="AJ15">
            <v>18748</v>
          </cell>
          <cell r="AK15">
            <v>15374</v>
          </cell>
          <cell r="AL15">
            <v>10843</v>
          </cell>
        </row>
        <row r="16">
          <cell r="A16" t="str">
            <v>Preferred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50000</v>
          </cell>
          <cell r="AJ16">
            <v>50000</v>
          </cell>
          <cell r="AK16">
            <v>50000</v>
          </cell>
          <cell r="AL16">
            <v>50000</v>
          </cell>
        </row>
        <row r="17">
          <cell r="A17" t="str">
            <v>Common Equity</v>
          </cell>
          <cell r="B17">
            <v>2749737.0017801072</v>
          </cell>
          <cell r="C17">
            <v>2730028.6291558021</v>
          </cell>
          <cell r="D17">
            <v>2721513.6697424822</v>
          </cell>
          <cell r="E17">
            <v>2717750.9607407856</v>
          </cell>
          <cell r="F17">
            <v>2708891.8292046241</v>
          </cell>
          <cell r="G17">
            <v>2671363.8753819475</v>
          </cell>
          <cell r="H17">
            <v>2640454.9804078336</v>
          </cell>
          <cell r="I17">
            <v>2614034.2681543021</v>
          </cell>
          <cell r="J17">
            <v>2585530.8479734813</v>
          </cell>
          <cell r="K17">
            <v>2575270</v>
          </cell>
          <cell r="L17">
            <v>2526839</v>
          </cell>
          <cell r="M17">
            <v>2534936</v>
          </cell>
          <cell r="N17">
            <v>2378589</v>
          </cell>
          <cell r="O17">
            <v>2385329</v>
          </cell>
          <cell r="P17">
            <v>2442826</v>
          </cell>
          <cell r="Q17">
            <v>2508571</v>
          </cell>
          <cell r="R17">
            <v>2457833</v>
          </cell>
          <cell r="S17">
            <v>2253953</v>
          </cell>
          <cell r="T17">
            <v>1723855</v>
          </cell>
          <cell r="U17">
            <v>1643998</v>
          </cell>
          <cell r="V17">
            <v>1728022</v>
          </cell>
          <cell r="W17">
            <v>1708812</v>
          </cell>
          <cell r="X17">
            <v>1648109</v>
          </cell>
          <cell r="Y17">
            <v>1298914</v>
          </cell>
          <cell r="Z17">
            <v>1256161</v>
          </cell>
          <cell r="AA17">
            <v>1224129</v>
          </cell>
          <cell r="AB17">
            <v>1086819</v>
          </cell>
          <cell r="AC17">
            <v>814643</v>
          </cell>
          <cell r="AD17">
            <v>696923</v>
          </cell>
          <cell r="AE17">
            <v>567656</v>
          </cell>
          <cell r="AF17">
            <v>682616</v>
          </cell>
          <cell r="AG17">
            <v>544095</v>
          </cell>
          <cell r="AH17">
            <v>566340</v>
          </cell>
          <cell r="AI17">
            <v>358722</v>
          </cell>
          <cell r="AJ17">
            <v>362574</v>
          </cell>
          <cell r="AK17">
            <v>217500</v>
          </cell>
          <cell r="AL17">
            <v>224066</v>
          </cell>
        </row>
        <row r="19">
          <cell r="A19" t="str">
            <v>Total Liabilities &amp; Owners Equity</v>
          </cell>
          <cell r="B19">
            <v>6912081.8536809757</v>
          </cell>
          <cell r="C19">
            <v>6879349.4457168262</v>
          </cell>
          <cell r="D19">
            <v>6839609.0732500069</v>
          </cell>
          <cell r="E19">
            <v>6807507.3590267878</v>
          </cell>
          <cell r="F19">
            <v>6772213.7721887436</v>
          </cell>
          <cell r="G19">
            <v>6585838.5783803277</v>
          </cell>
          <cell r="H19">
            <v>6420102.707852263</v>
          </cell>
          <cell r="I19">
            <v>6261581.0392217925</v>
          </cell>
          <cell r="J19">
            <v>6104711.6736688502</v>
          </cell>
          <cell r="K19">
            <v>5837165</v>
          </cell>
          <cell r="L19">
            <v>5762845</v>
          </cell>
          <cell r="M19">
            <v>5642101</v>
          </cell>
          <cell r="N19">
            <v>5395881</v>
          </cell>
          <cell r="O19">
            <v>5396382</v>
          </cell>
          <cell r="P19">
            <v>5435999</v>
          </cell>
          <cell r="Q19">
            <v>5715258</v>
          </cell>
          <cell r="R19">
            <v>5562543</v>
          </cell>
          <cell r="S19">
            <v>5271194</v>
          </cell>
          <cell r="T19">
            <v>4879656</v>
          </cell>
          <cell r="U19">
            <v>4487695</v>
          </cell>
          <cell r="V19">
            <v>4016508</v>
          </cell>
          <cell r="W19">
            <v>3848426</v>
          </cell>
          <cell r="X19">
            <v>3675676</v>
          </cell>
          <cell r="Y19">
            <v>3280884</v>
          </cell>
          <cell r="Z19">
            <v>3187674</v>
          </cell>
          <cell r="AA19">
            <v>3051250</v>
          </cell>
          <cell r="AB19">
            <v>2817786</v>
          </cell>
          <cell r="AC19">
            <v>2034953</v>
          </cell>
          <cell r="AD19">
            <v>2018985</v>
          </cell>
          <cell r="AE19">
            <v>1970424</v>
          </cell>
          <cell r="AF19">
            <v>1802678</v>
          </cell>
          <cell r="AG19">
            <v>1617154</v>
          </cell>
          <cell r="AH19">
            <v>1595405</v>
          </cell>
          <cell r="AI19">
            <v>1243591</v>
          </cell>
          <cell r="AJ19">
            <v>1219680</v>
          </cell>
          <cell r="AK19">
            <v>842320</v>
          </cell>
          <cell r="AL19">
            <v>830091</v>
          </cell>
        </row>
        <row r="21">
          <cell r="A21" t="str">
            <v>Net Debt</v>
          </cell>
          <cell r="B21">
            <v>3822702.0105890725</v>
          </cell>
          <cell r="C21">
            <v>3608686.9491172284</v>
          </cell>
          <cell r="D21">
            <v>3372087.8614625707</v>
          </cell>
          <cell r="E21">
            <v>3121031.0273751328</v>
          </cell>
          <cell r="F21">
            <v>2869758.0557353515</v>
          </cell>
          <cell r="G21">
            <v>2724812.3425598298</v>
          </cell>
          <cell r="H21">
            <v>2563693.5716364356</v>
          </cell>
          <cell r="I21">
            <v>2387567.6577286292</v>
          </cell>
          <cell r="J21">
            <v>2208810.52633115</v>
          </cell>
          <cell r="K21">
            <v>1952944</v>
          </cell>
          <cell r="L21">
            <v>1837771</v>
          </cell>
          <cell r="M21">
            <v>1515154</v>
          </cell>
          <cell r="N21">
            <v>1846657</v>
          </cell>
          <cell r="O21">
            <v>1909079</v>
          </cell>
          <cell r="P21">
            <v>1895528</v>
          </cell>
          <cell r="Q21">
            <v>1806177</v>
          </cell>
          <cell r="R21">
            <v>1739871</v>
          </cell>
          <cell r="S21">
            <v>1754591</v>
          </cell>
          <cell r="T21">
            <v>1737621</v>
          </cell>
          <cell r="U21">
            <v>1668780</v>
          </cell>
          <cell r="V21">
            <v>1452073</v>
          </cell>
          <cell r="W21">
            <v>1356842</v>
          </cell>
          <cell r="X21">
            <v>1266785</v>
          </cell>
          <cell r="Y21">
            <v>1151463</v>
          </cell>
          <cell r="Z21">
            <v>1278756</v>
          </cell>
          <cell r="AA21">
            <v>990770</v>
          </cell>
          <cell r="AB21">
            <v>1047343</v>
          </cell>
          <cell r="AC21">
            <v>606022</v>
          </cell>
          <cell r="AD21">
            <v>729931</v>
          </cell>
          <cell r="AE21">
            <v>642782</v>
          </cell>
          <cell r="AF21">
            <v>627972</v>
          </cell>
          <cell r="AG21">
            <v>602792</v>
          </cell>
          <cell r="AH21">
            <v>619865</v>
          </cell>
          <cell r="AI21">
            <v>518362</v>
          </cell>
          <cell r="AJ21">
            <v>514624</v>
          </cell>
          <cell r="AK21">
            <v>339778</v>
          </cell>
          <cell r="AL21">
            <v>358764</v>
          </cell>
        </row>
        <row r="22">
          <cell r="A22" t="str">
            <v>Working Capital</v>
          </cell>
          <cell r="B22">
            <v>-1186442.0105890722</v>
          </cell>
          <cell r="C22">
            <v>-972426.94911722839</v>
          </cell>
          <cell r="D22">
            <v>-760827.86146257073</v>
          </cell>
          <cell r="E22">
            <v>-534771.02737513254</v>
          </cell>
          <cell r="F22">
            <v>-303498.05573535146</v>
          </cell>
          <cell r="G22">
            <v>-283552.34255982994</v>
          </cell>
          <cell r="H22">
            <v>-237433.5716364356</v>
          </cell>
          <cell r="I22">
            <v>-176307.65772862898</v>
          </cell>
          <cell r="J22">
            <v>-107550.52633115009</v>
          </cell>
          <cell r="K22">
            <v>-101684</v>
          </cell>
          <cell r="L22">
            <v>21791</v>
          </cell>
          <cell r="M22">
            <v>223040</v>
          </cell>
          <cell r="N22">
            <v>-138824</v>
          </cell>
          <cell r="O22">
            <v>-127599</v>
          </cell>
          <cell r="P22">
            <v>-109394</v>
          </cell>
          <cell r="Q22">
            <v>98593</v>
          </cell>
          <cell r="R22">
            <v>50797</v>
          </cell>
          <cell r="S22">
            <v>-107132</v>
          </cell>
          <cell r="T22">
            <v>-434265</v>
          </cell>
          <cell r="U22">
            <v>-229023</v>
          </cell>
          <cell r="V22">
            <v>-43619</v>
          </cell>
          <cell r="W22">
            <v>-12907</v>
          </cell>
          <cell r="X22">
            <v>-2822</v>
          </cell>
          <cell r="Y22">
            <v>186247</v>
          </cell>
          <cell r="Z22">
            <v>87981</v>
          </cell>
          <cell r="AA22">
            <v>-9376</v>
          </cell>
          <cell r="AB22">
            <v>-152641</v>
          </cell>
          <cell r="AC22">
            <v>-12897</v>
          </cell>
          <cell r="AD22">
            <v>-113783</v>
          </cell>
          <cell r="AE22">
            <v>-16109</v>
          </cell>
          <cell r="AF22">
            <v>-15473</v>
          </cell>
          <cell r="AG22">
            <v>6835</v>
          </cell>
          <cell r="AH22">
            <v>691</v>
          </cell>
          <cell r="AI22">
            <v>-14875</v>
          </cell>
          <cell r="AJ22">
            <v>10798</v>
          </cell>
          <cell r="AK22">
            <v>8833</v>
          </cell>
          <cell r="AL22">
            <v>-584</v>
          </cell>
        </row>
        <row r="23">
          <cell r="A23" t="str">
            <v>Debt/Total Cap.</v>
          </cell>
          <cell r="B23">
            <v>0.4894655528268394</v>
          </cell>
          <cell r="C23">
            <v>0.49126317687737264</v>
          </cell>
          <cell r="D23">
            <v>0.48966263369022694</v>
          </cell>
          <cell r="E23">
            <v>0.48760457305668714</v>
          </cell>
          <cell r="F23">
            <v>0.48648078445676413</v>
          </cell>
          <cell r="G23">
            <v>0.47749649876554268</v>
          </cell>
          <cell r="H23">
            <v>0.46836994052938041</v>
          </cell>
          <cell r="I23">
            <v>0.4582642792572767</v>
          </cell>
          <cell r="J23">
            <v>0.44833662694988036</v>
          </cell>
          <cell r="K23">
            <v>0.41821923719030485</v>
          </cell>
          <cell r="L23">
            <v>0.42393798469405786</v>
          </cell>
          <cell r="M23">
            <v>0.40677302118119507</v>
          </cell>
          <cell r="N23">
            <v>0.41792869165250185</v>
          </cell>
          <cell r="O23">
            <v>0.42754059521326754</v>
          </cell>
          <cell r="P23">
            <v>0.42235774280201277</v>
          </cell>
          <cell r="Q23">
            <v>0.4315936611288364</v>
          </cell>
          <cell r="R23">
            <v>0.42148230634757999</v>
          </cell>
          <cell r="S23">
            <v>0.42227250031527047</v>
          </cell>
          <cell r="T23">
            <v>0.43054679703529092</v>
          </cell>
          <cell r="U23">
            <v>0.4668843666244562</v>
          </cell>
          <cell r="V23">
            <v>0.399717231508886</v>
          </cell>
          <cell r="W23">
            <v>0.39444071563790589</v>
          </cell>
          <cell r="X23">
            <v>0.38767881716882602</v>
          </cell>
          <cell r="Y23">
            <v>0.46618978106989389</v>
          </cell>
          <cell r="Z23">
            <v>0.45501428885660078</v>
          </cell>
          <cell r="AA23">
            <v>0.4449711020923382</v>
          </cell>
          <cell r="AB23">
            <v>0.45152284532942116</v>
          </cell>
          <cell r="AC23">
            <v>0.42132297367179822</v>
          </cell>
          <cell r="AD23">
            <v>0.46924195264384028</v>
          </cell>
          <cell r="AE23">
            <v>0.52470717867522265</v>
          </cell>
          <cell r="AF23">
            <v>0.47293020310937639</v>
          </cell>
          <cell r="AG23">
            <v>0.52840025586753137</v>
          </cell>
          <cell r="AH23">
            <v>0.52283940631698145</v>
          </cell>
          <cell r="AI23">
            <v>0.55194259210334473</v>
          </cell>
          <cell r="AJ23">
            <v>0.56015377464296223</v>
          </cell>
          <cell r="AK23">
            <v>0.56582498932822167</v>
          </cell>
          <cell r="AL23">
            <v>0.56651999379988172</v>
          </cell>
        </row>
        <row r="24">
          <cell r="A24" t="str">
            <v>Net Debt/Total Cap.</v>
          </cell>
          <cell r="B24">
            <v>0.58474629336795314</v>
          </cell>
          <cell r="C24">
            <v>0.57189975766810153</v>
          </cell>
          <cell r="D24">
            <v>0.55546116676106616</v>
          </cell>
          <cell r="E24">
            <v>0.53603991907594306</v>
          </cell>
          <cell r="F24">
            <v>0.51524614907092536</v>
          </cell>
          <cell r="G24">
            <v>0.50522876272647466</v>
          </cell>
          <cell r="H24">
            <v>0.49262497909084046</v>
          </cell>
          <cell r="I24">
            <v>0.47736059228807026</v>
          </cell>
          <cell r="J24">
            <v>0.46071198395869639</v>
          </cell>
          <cell r="K24">
            <v>0.43128350382733677</v>
          </cell>
          <cell r="L24">
            <v>0.42106190472917399</v>
          </cell>
          <cell r="M24">
            <v>0.37410378534797994</v>
          </cell>
          <cell r="N24">
            <v>0.4370531325276682</v>
          </cell>
          <cell r="O24">
            <v>0.4445499822094221</v>
          </cell>
          <cell r="P24">
            <v>0.43692331238990639</v>
          </cell>
          <cell r="Q24">
            <v>0.41860544346969975</v>
          </cell>
          <cell r="R24">
            <v>0.41448158326551848</v>
          </cell>
          <cell r="S24">
            <v>0.43771279546887848</v>
          </cell>
          <cell r="T24">
            <v>0.50198845810284398</v>
          </cell>
          <cell r="U24">
            <v>0.50374036533688649</v>
          </cell>
          <cell r="V24">
            <v>0.456613088602699</v>
          </cell>
          <cell r="W24">
            <v>0.44259463070522637</v>
          </cell>
          <cell r="X24">
            <v>0.43459041735308385</v>
          </cell>
          <cell r="Y24">
            <v>0.46991258896080074</v>
          </cell>
          <cell r="Z24">
            <v>0.50445675341638407</v>
          </cell>
        </row>
      </sheetData>
      <sheetData sheetId="4">
        <row r="3">
          <cell r="B3" t="str">
            <v>2012E</v>
          </cell>
        </row>
      </sheetData>
      <sheetData sheetId="5">
        <row r="3">
          <cell r="B3" t="str">
            <v>2012E</v>
          </cell>
        </row>
      </sheetData>
      <sheetData sheetId="6">
        <row r="3">
          <cell r="B3" t="str">
            <v>2006E</v>
          </cell>
        </row>
      </sheetData>
      <sheetData sheetId="7">
        <row r="4">
          <cell r="C4" t="str">
            <v>Range Resources -- Discounted Cash Flow Based Net Asset Value</v>
          </cell>
        </row>
      </sheetData>
      <sheetData sheetId="8">
        <row r="4">
          <cell r="A4">
            <v>0.1</v>
          </cell>
        </row>
      </sheetData>
      <sheetData sheetId="9">
        <row r="4">
          <cell r="A4">
            <v>0.1</v>
          </cell>
        </row>
      </sheetData>
      <sheetData sheetId="10">
        <row r="3">
          <cell r="B3" t="str">
            <v>Reserves (Bcfe)</v>
          </cell>
        </row>
      </sheetData>
      <sheetData sheetId="11"/>
      <sheetData sheetId="12">
        <row r="3">
          <cell r="A3" t="str">
            <v>WI</v>
          </cell>
        </row>
      </sheetData>
      <sheetData sheetId="13">
        <row r="3">
          <cell r="A3" t="str">
            <v>Acreage</v>
          </cell>
        </row>
      </sheetData>
      <sheetData sheetId="14">
        <row r="3">
          <cell r="A3" t="str">
            <v>Acreage</v>
          </cell>
        </row>
      </sheetData>
      <sheetData sheetId="15">
        <row r="3">
          <cell r="A3" t="str">
            <v>Acreage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EC"/>
      <sheetName val="BS1"/>
      <sheetName val="DCF"/>
      <sheetName val="WACC"/>
      <sheetName val="Hedges"/>
      <sheetName val="Reserves"/>
      <sheetName val="info needed"/>
      <sheetName val="update"/>
      <sheetName val="Qs"/>
      <sheetName val="__FDSCACHE__"/>
      <sheetName val="nav"/>
      <sheetName val="cost reconciliation"/>
      <sheetName val="quarterly"/>
      <sheetName val="Snapshot"/>
      <sheetName val="Sudan1"/>
      <sheetName val="E&amp;P"/>
      <sheetName val="Perform"/>
      <sheetName val="Acq'ns. "/>
      <sheetName val="mStartup"/>
      <sheetName val="SummaryCanada"/>
      <sheetName val="NY UPLOAD"/>
      <sheetName val="NY UPLOAD shadow"/>
      <sheetName val="Oil &amp; Gas Disclosure - 2002"/>
      <sheetName val="Inputs"/>
      <sheetName val="Company Summary"/>
      <sheetName val="Profiles"/>
      <sheetName val="Equity"/>
      <sheetName val="Operating"/>
      <sheetName val="Credit"/>
      <sheetName val="Super Majors and Majors"/>
      <sheetName val="U.S. and Canadian Large Caps"/>
      <sheetName val="U.S. and Canadian Mid Caps"/>
      <sheetName val="Refining &amp; Marketing"/>
      <sheetName val="MLPs"/>
      <sheetName val="U.S. Small Caps"/>
      <sheetName val="International"/>
      <sheetName val="Equity Universe"/>
      <sheetName val="Operating Universe"/>
      <sheetName val="Credit Universe"/>
      <sheetName val="Template"/>
      <sheetName val="Merger Model"/>
      <sheetName val="Transaction Imputs"/>
      <sheetName val="Company Inputs"/>
      <sheetName val="Computations"/>
      <sheetName val="Impact"/>
      <sheetName val="Wall of Premiums"/>
      <sheetName val="Wall of Companies"/>
      <sheetName val="Contribution Analysis"/>
      <sheetName val="Stand-alone Valuation Matrix"/>
      <sheetName val="Pro Forma Valuation Matrix"/>
      <sheetName val="Side-By-Si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0">
          <cell r="D20">
            <v>6.0600000000000001E-2</v>
          </cell>
        </row>
        <row r="36">
          <cell r="E36">
            <v>100000</v>
          </cell>
        </row>
        <row r="38">
          <cell r="E38">
            <v>150000</v>
          </cell>
        </row>
        <row r="42">
          <cell r="E42">
            <v>50000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V2">
            <v>10</v>
          </cell>
        </row>
        <row r="3">
          <cell r="V3">
            <v>6</v>
          </cell>
        </row>
        <row r="109">
          <cell r="E109" t="str">
            <v>*TLM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Collection Sheet"/>
      <sheetName val="Disclaimer"/>
      <sheetName val="Link"/>
      <sheetName val="__FDSCACHE__"/>
      <sheetName val="Q-EPS"/>
      <sheetName val="Q-CF"/>
      <sheetName val="BS"/>
      <sheetName val="Annual EPS"/>
      <sheetName val="Annual CF"/>
      <sheetName val="2007 Analyst"/>
      <sheetName val="2006 Cayman"/>
      <sheetName val="2-3Q06"/>
      <sheetName val="WACC"/>
      <sheetName val="BS CSE"/>
      <sheetName val="Valuation"/>
      <sheetName val="Debt"/>
      <sheetName val="Acquisitions"/>
      <sheetName val="TOT"/>
      <sheetName val="PXP"/>
      <sheetName val="Antero"/>
      <sheetName val="Barnett Shale New 09-10-03"/>
      <sheetName val="Activity"/>
      <sheetName val="Notes (2)"/>
      <sheetName val="Graphs"/>
      <sheetName val="More Graphs"/>
      <sheetName val="Notes"/>
      <sheetName val="XTO Notes"/>
      <sheetName val="XTO Notes (2)"/>
      <sheetName val="2Q06"/>
      <sheetName val="Front Tear"/>
      <sheetName val="Data Tear"/>
      <sheetName val="Back Tear"/>
      <sheetName val="Sheet1"/>
      <sheetName val="Nat Gas Vs XTO"/>
      <sheetName val="databox"/>
      <sheetName val="Disclosure"/>
      <sheetName val="wiz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 Links"/>
      <sheetName val="Notes"/>
      <sheetName val="NAV"/>
      <sheetName val="NAV 2"/>
      <sheetName val="Financials"/>
      <sheetName val="1P SMOG"/>
      <sheetName val="1P PD SMOG"/>
      <sheetName val="Marcellus Curve"/>
      <sheetName val="Marcellus Development"/>
      <sheetName val="Q-Breakdown"/>
      <sheetName val="Balance Sheet"/>
      <sheetName val="Hedges"/>
    </sheetNames>
    <sheetDataSet>
      <sheetData sheetId="0"/>
      <sheetData sheetId="1"/>
      <sheetData sheetId="2"/>
      <sheetData sheetId="3">
        <row r="20">
          <cell r="H20">
            <v>55.69118126530072</v>
          </cell>
        </row>
      </sheetData>
      <sheetData sheetId="4">
        <row r="4">
          <cell r="U4">
            <v>1.3429268127031986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3">
          <cell r="H13">
            <v>101369.86301369863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Midstream performance"/>
      <sheetName val="Chart1"/>
      <sheetName val="Chart2"/>
    </sheetNames>
    <sheetDataSet>
      <sheetData sheetId="0" refreshError="1"/>
      <sheetData sheetId="1" refreshError="1">
        <row r="5">
          <cell r="E5" t="str">
            <v xml:space="preserve"> Factset Ticker</v>
          </cell>
        </row>
        <row r="8">
          <cell r="E8" t="str">
            <v>01265N00</v>
          </cell>
        </row>
        <row r="9">
          <cell r="E9" t="str">
            <v>01263P00</v>
          </cell>
        </row>
        <row r="12">
          <cell r="E12" t="str">
            <v>sp50</v>
          </cell>
        </row>
        <row r="13">
          <cell r="E13" t="str">
            <v>sp825</v>
          </cell>
        </row>
        <row r="14">
          <cell r="E14" t="str">
            <v>sp837</v>
          </cell>
        </row>
        <row r="15">
          <cell r="E15" t="str">
            <v>sp829</v>
          </cell>
        </row>
        <row r="16">
          <cell r="E16" t="str">
            <v>00000337</v>
          </cell>
        </row>
        <row r="17">
          <cell r="E17" t="str">
            <v>XNGK</v>
          </cell>
        </row>
        <row r="18">
          <cell r="E18" t="str">
            <v>OSX</v>
          </cell>
        </row>
        <row r="19">
          <cell r="E19" t="str">
            <v>SPN29</v>
          </cell>
        </row>
        <row r="22">
          <cell r="E22" t="str">
            <v>EP</v>
          </cell>
        </row>
        <row r="23">
          <cell r="E23" t="str">
            <v>WMB</v>
          </cell>
        </row>
        <row r="24">
          <cell r="E24" t="str">
            <v>DYN</v>
          </cell>
        </row>
        <row r="25">
          <cell r="E25" t="str">
            <v>AES</v>
          </cell>
        </row>
        <row r="26">
          <cell r="E26" t="str">
            <v>AEP</v>
          </cell>
        </row>
        <row r="27">
          <cell r="E27" t="str">
            <v>CPN</v>
          </cell>
        </row>
        <row r="28">
          <cell r="E28" t="str">
            <v>DUK</v>
          </cell>
        </row>
        <row r="29">
          <cell r="E29" t="str">
            <v>RRI</v>
          </cell>
        </row>
        <row r="33">
          <cell r="E33" t="str">
            <v>KMI</v>
          </cell>
        </row>
        <row r="34">
          <cell r="E34" t="str">
            <v>ENB</v>
          </cell>
        </row>
        <row r="35">
          <cell r="E35" t="str">
            <v>*ENB</v>
          </cell>
        </row>
        <row r="36">
          <cell r="E36" t="str">
            <v>TRP</v>
          </cell>
        </row>
        <row r="37">
          <cell r="E37" t="str">
            <v>*TRP</v>
          </cell>
        </row>
        <row r="41">
          <cell r="E41" t="str">
            <v>EPN</v>
          </cell>
        </row>
        <row r="42">
          <cell r="E42" t="str">
            <v>EEP</v>
          </cell>
        </row>
        <row r="43">
          <cell r="E43" t="str">
            <v>EPD</v>
          </cell>
        </row>
        <row r="44">
          <cell r="E44" t="str">
            <v>BPL</v>
          </cell>
        </row>
        <row r="45">
          <cell r="E45" t="str">
            <v>KMP</v>
          </cell>
        </row>
        <row r="46">
          <cell r="E46" t="str">
            <v>NBP</v>
          </cell>
        </row>
        <row r="47">
          <cell r="E47" t="str">
            <v>TPP</v>
          </cell>
        </row>
        <row r="48">
          <cell r="E48" t="str">
            <v>VLI</v>
          </cell>
        </row>
        <row r="49">
          <cell r="E49" t="str">
            <v>WEG</v>
          </cell>
        </row>
        <row r="53">
          <cell r="E53" t="str">
            <v>KSE</v>
          </cell>
        </row>
        <row r="54">
          <cell r="E54" t="str">
            <v>ATG</v>
          </cell>
        </row>
        <row r="55">
          <cell r="E55" t="str">
            <v>EQT</v>
          </cell>
        </row>
        <row r="56">
          <cell r="E56" t="str">
            <v>NJR</v>
          </cell>
        </row>
        <row r="57">
          <cell r="E57" t="str">
            <v>GAS</v>
          </cell>
        </row>
        <row r="58">
          <cell r="E58" t="str">
            <v>NI</v>
          </cell>
        </row>
        <row r="59">
          <cell r="E59" t="str">
            <v>OKE</v>
          </cell>
        </row>
        <row r="60">
          <cell r="E60" t="str">
            <v>PGL</v>
          </cell>
        </row>
        <row r="61">
          <cell r="E61" t="str">
            <v>PNY</v>
          </cell>
        </row>
        <row r="62">
          <cell r="E62" t="str">
            <v>STR</v>
          </cell>
        </row>
        <row r="63">
          <cell r="E63" t="str">
            <v>SUG</v>
          </cell>
        </row>
        <row r="64">
          <cell r="E64" t="str">
            <v>WGL</v>
          </cell>
        </row>
      </sheetData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 Image"/>
      <sheetName val="DOW_MOD"/>
      <sheetName val="Valuation"/>
      <sheetName val="TEV Detail"/>
      <sheetName val="AG_DETAIL"/>
      <sheetName val="Analyzer"/>
      <sheetName val="UK_LT_TRENDS"/>
      <sheetName val="smap ROCE"/>
      <sheetName val="DOW UK ROCE"/>
      <sheetName val="LT_STATS"/>
      <sheetName val="ECU &amp; VCM"/>
      <sheetName val="Sales - Performance &amp; AG"/>
      <sheetName val="Sales_Chemicals Plastics"/>
      <sheetName val="EBIT Performance &amp; AG"/>
      <sheetName val="EBIT_Chemicals Plastics"/>
      <sheetName val="EBIT  Margins Performance &amp; AG"/>
      <sheetName val="EBIT Margins_Chemicals Plastics"/>
      <sheetName val="Segment_data"/>
      <sheetName val="Sales &amp; EBIT"/>
      <sheetName val="Costs"/>
      <sheetName val="Margins 2"/>
      <sheetName val="Share Count"/>
      <sheetName val="Employee Costs"/>
      <sheetName val="Debt level"/>
      <sheetName val="Asset Turns"/>
      <sheetName val="Gross plant ratio"/>
      <sheetName val="Capital Spending"/>
      <sheetName val="ROCE"/>
      <sheetName val="Op Rate Chart"/>
      <sheetName val="Op_Rate_Price_Cost_Trends"/>
      <sheetName val="Hydrocarbon_ PPI"/>
      <sheetName val="Total Capital &amp; Asset"/>
      <sheetName val="DOW_CORNING"/>
      <sheetName val="Weighted Ave Capacity"/>
      <sheetName val="Incremental_Analysis"/>
      <sheetName val="C2 &amp; C3 Balances"/>
      <sheetName val="Input_Sheet"/>
      <sheetName val="Income Statement"/>
      <sheetName val="Cash Flow"/>
      <sheetName val="Balance Sheet"/>
      <sheetName val="Yearly Segment"/>
      <sheetName val="Quarterly Op Inc"/>
      <sheetName val="Quarterly Segment Sales"/>
      <sheetName val="Disclaim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"/>
      <sheetName val="U.S. S&amp;D"/>
      <sheetName val="Sheet1"/>
      <sheetName val="Overview 1949-99"/>
      <sheetName val="Consolidation"/>
      <sheetName val="Summary Producers"/>
      <sheetName val="Major Producers"/>
      <sheetName val="Major Producers - 2000"/>
      <sheetName val="Major Markets"/>
      <sheetName val="Steam &amp; Metal Exports"/>
      <sheetName val="Industrial"/>
      <sheetName val="Bit Coal Exports"/>
      <sheetName val="MineClosures"/>
      <sheetName val="2003 Purchasers"/>
      <sheetName val="PRB"/>
    </sheetNames>
    <sheetDataSet>
      <sheetData sheetId="0" refreshError="1">
        <row r="143">
          <cell r="B143" t="str">
            <v>Million</v>
          </cell>
        </row>
        <row r="144">
          <cell r="A144" t="str">
            <v>FBR Estimates and EIA data</v>
          </cell>
          <cell r="B144" t="str">
            <v>Tons</v>
          </cell>
        </row>
        <row r="145">
          <cell r="A145" t="str">
            <v>Current coal stockpiles at power generators</v>
          </cell>
          <cell r="B145">
            <v>156.41800000000001</v>
          </cell>
        </row>
        <row r="146">
          <cell r="A146" t="str">
            <v>Coal excess inventories at producers</v>
          </cell>
          <cell r="B146">
            <v>15</v>
          </cell>
        </row>
        <row r="147">
          <cell r="A147" t="str">
            <v>Total</v>
          </cell>
          <cell r="B147">
            <v>171.41800000000001</v>
          </cell>
        </row>
        <row r="149">
          <cell r="A149" t="str">
            <v>Historic average April coal stockpiles at power generators 1996 - 2001</v>
          </cell>
          <cell r="B149">
            <v>128</v>
          </cell>
        </row>
        <row r="150">
          <cell r="A150" t="str">
            <v>Excess Stockpiles</v>
          </cell>
          <cell r="B150">
            <v>43.418000000000006</v>
          </cell>
        </row>
        <row r="152">
          <cell r="A152" t="str">
            <v>Summer season monthly incremental demand</v>
          </cell>
          <cell r="B152">
            <v>8</v>
          </cell>
        </row>
        <row r="153">
          <cell r="A153" t="str">
            <v>Number of months to absorb excess inventories</v>
          </cell>
          <cell r="B153">
            <v>5.4272500000000008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alance Sheet Items"/>
      <sheetName val="$22.50;$4.00"/>
      <sheetName val="$22.50;$3.50"/>
      <sheetName val="$22.50;$3.25"/>
      <sheetName val="$22.50;$3.00"/>
    </sheetNames>
    <sheetDataSet>
      <sheetData sheetId="0" refreshError="1">
        <row r="3">
          <cell r="I3">
            <v>0.95000000000000007</v>
          </cell>
        </row>
        <row r="4">
          <cell r="I4">
            <v>0.81</v>
          </cell>
        </row>
        <row r="5">
          <cell r="I5">
            <v>0</v>
          </cell>
        </row>
        <row r="6">
          <cell r="I6">
            <v>33.799999999999997</v>
          </cell>
        </row>
        <row r="11">
          <cell r="I11">
            <v>1323</v>
          </cell>
          <cell r="L11">
            <v>8.1</v>
          </cell>
        </row>
        <row r="12">
          <cell r="I12">
            <v>120</v>
          </cell>
          <cell r="L12">
            <v>1.3</v>
          </cell>
        </row>
        <row r="13">
          <cell r="I13">
            <v>11.025</v>
          </cell>
          <cell r="L13">
            <v>6.2307692307692299</v>
          </cell>
        </row>
        <row r="15">
          <cell r="I15">
            <v>555.66</v>
          </cell>
          <cell r="L15">
            <v>3.4019999999999997</v>
          </cell>
        </row>
        <row r="17">
          <cell r="I17">
            <v>0.45</v>
          </cell>
          <cell r="L17">
            <v>2.7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Assumptions"/>
      <sheetName val="Financial Statements"/>
      <sheetName val="Capital Inputs"/>
      <sheetName val="Growth Projects"/>
      <sheetName val="NGL P&amp;S"/>
      <sheetName val="Onshore Natural Gas P&amp;S"/>
      <sheetName val="Offshore Pipelines &amp; Services"/>
      <sheetName val="Petrochemical"/>
      <sheetName val="Distribution Schedule"/>
      <sheetName val="Commodity Scenarios"/>
      <sheetName val="Commodity Correlations"/>
      <sheetName val="Valuation"/>
      <sheetName val="Presentations"/>
      <sheetName val="Quarterly Concentration"/>
      <sheetName val="mwareValPrintout"/>
      <sheetName val="Modelware"/>
      <sheetName val="mwareDates"/>
      <sheetName val="mwarePreview"/>
      <sheetName val="mwareSettings"/>
    </sheetNames>
    <sheetDataSet>
      <sheetData sheetId="0"/>
      <sheetData sheetId="1" refreshError="1">
        <row r="6">
          <cell r="A6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ReportOutput"/>
      <sheetName val="Summary"/>
      <sheetName val="Scenarios"/>
      <sheetName val="EPD"/>
      <sheetName val="Distribution"/>
      <sheetName val="BS"/>
      <sheetName val="Segments"/>
      <sheetName val="Debt"/>
      <sheetName val="CapEx"/>
      <sheetName val="mwareValPrintout"/>
      <sheetName val="Valuation"/>
      <sheetName val="RIM"/>
      <sheetName val="Modelware"/>
      <sheetName val="mwarePreview"/>
      <sheetName val="mwareDates"/>
      <sheetName val="mwareSettings"/>
      <sheetName val="Annual"/>
      <sheetName val="Assumptions"/>
      <sheetName val="Quarterly"/>
      <sheetName val="GPCalculation"/>
      <sheetName val="Pie Chart"/>
      <sheetName val="NAV"/>
      <sheetName val="NY UPLOAD"/>
      <sheetName val="NY UPLOAD shadow"/>
      <sheetName val="MainCode"/>
      <sheetName val="Segment"/>
      <sheetName val="OrganicPrograms"/>
      <sheetName val="Growth"/>
      <sheetName val="BUILDOUTORGANICPROGRA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KEQTRIN"/>
      <sheetName val="NKEANNL"/>
      <sheetName val="NKEBALST"/>
      <sheetName val="CAL"/>
      <sheetName val="NKEFCF"/>
      <sheetName val="NKEDCF"/>
      <sheetName val="NKERI"/>
      <sheetName val="NKEEVA"/>
      <sheetName val="NKEFUTUR"/>
      <sheetName val="mStartup"/>
      <sheetName val="NY UPLOAD"/>
      <sheetName val="NY UPLOAD shadow"/>
    </sheetNames>
    <sheetDataSet>
      <sheetData sheetId="0" refreshError="1">
        <row r="6">
          <cell r="A6" t="str">
            <v>Domestic</v>
          </cell>
          <cell r="L6">
            <v>209.166</v>
          </cell>
          <cell r="M6">
            <v>0.84441853964926916</v>
          </cell>
          <cell r="N6">
            <v>125.982</v>
          </cell>
          <cell r="O6">
            <v>0.77799124546353271</v>
          </cell>
          <cell r="P6">
            <v>154.08699999999999</v>
          </cell>
          <cell r="Q6">
            <v>0.81899891027539584</v>
          </cell>
          <cell r="R6">
            <v>151.465</v>
          </cell>
          <cell r="S6">
            <v>0.70451771689519949</v>
          </cell>
          <cell r="T6">
            <v>225.08800000000002</v>
          </cell>
          <cell r="U6">
            <v>0.82920943051774421</v>
          </cell>
          <cell r="V6">
            <v>168.68100000000001</v>
          </cell>
          <cell r="W6">
            <v>0.77559831483529429</v>
          </cell>
          <cell r="X6">
            <v>267.13200000000001</v>
          </cell>
          <cell r="Y6">
            <v>0.83285219211703865</v>
          </cell>
          <cell r="Z6">
            <v>239.49900000000002</v>
          </cell>
          <cell r="AA6">
            <v>0.72236916111999072</v>
          </cell>
          <cell r="AB6">
            <v>409.22899999999998</v>
          </cell>
          <cell r="AC6">
            <v>0.80133193390850732</v>
          </cell>
          <cell r="AD6">
            <v>217.04300000000001</v>
          </cell>
          <cell r="AE6">
            <v>0.67397751162147979</v>
          </cell>
          <cell r="AF6">
            <v>368.54300000000001</v>
          </cell>
          <cell r="AG6">
            <v>0.79314040498167493</v>
          </cell>
          <cell r="AH6">
            <v>274.42599999999999</v>
          </cell>
          <cell r="AI6">
            <v>0.6637930825961913</v>
          </cell>
          <cell r="AJ6">
            <v>474.745</v>
          </cell>
          <cell r="AK6">
            <v>0.83249454642378662</v>
          </cell>
          <cell r="AL6">
            <v>305.78899999999999</v>
          </cell>
          <cell r="AM6">
            <v>0.73607119301742285</v>
          </cell>
          <cell r="AN6">
            <v>442.09400000000005</v>
          </cell>
          <cell r="AO6">
            <v>0.76504190396093219</v>
          </cell>
          <cell r="AP6">
            <v>412.34500000000003</v>
          </cell>
          <cell r="AQ6">
            <v>0.67706092719146427</v>
          </cell>
          <cell r="AR6">
            <v>613.85599999999999</v>
          </cell>
          <cell r="AS6">
            <v>0.73638537104414914</v>
          </cell>
          <cell r="AT6">
            <v>422.78000000000003</v>
          </cell>
          <cell r="AU6">
            <v>0.65160566436713574</v>
          </cell>
          <cell r="AV6">
            <v>570.23</v>
          </cell>
          <cell r="AW6">
            <v>0.71082562128525273</v>
          </cell>
          <cell r="AX6">
            <v>395.185</v>
          </cell>
          <cell r="AY6">
            <v>0.54965666018050907</v>
          </cell>
          <cell r="AZ6">
            <v>656.90300000000002</v>
          </cell>
          <cell r="BA6">
            <v>0.69354945991230632</v>
          </cell>
          <cell r="BB6">
            <v>416.59000000000003</v>
          </cell>
          <cell r="BC6">
            <v>0.56037190432825734</v>
          </cell>
          <cell r="BD6">
            <v>575.22</v>
          </cell>
          <cell r="BE6">
            <v>0.66344566843402508</v>
          </cell>
          <cell r="BF6">
            <v>460.23500000000001</v>
          </cell>
          <cell r="BG6">
            <v>0.54297710986368786</v>
          </cell>
          <cell r="BH6">
            <v>691.3130000000001</v>
          </cell>
          <cell r="BI6">
            <v>0.62854521749092163</v>
          </cell>
          <cell r="BJ6">
            <v>459.26900000000001</v>
          </cell>
          <cell r="BK6">
            <v>0.52437605541657772</v>
          </cell>
          <cell r="BL6">
            <v>655.67500000000007</v>
          </cell>
          <cell r="BM6">
            <v>0.67455998123464522</v>
          </cell>
          <cell r="BN6">
            <v>521.08899999999994</v>
          </cell>
          <cell r="BO6">
            <v>0.52995029894872159</v>
          </cell>
          <cell r="BP6">
            <v>723.63400000000001</v>
          </cell>
          <cell r="BQ6">
            <v>0.6531711975506328</v>
          </cell>
          <cell r="BR6">
            <v>415.69</v>
          </cell>
          <cell r="BS6">
            <v>0.51587946720543465</v>
          </cell>
          <cell r="BT6">
            <v>562.13199999999995</v>
          </cell>
          <cell r="BU6">
            <v>0.64476139680791877</v>
          </cell>
          <cell r="BV6">
            <v>505.96799999999996</v>
          </cell>
          <cell r="BW6">
            <v>0.50387390007130362</v>
          </cell>
          <cell r="BX6">
            <v>749.87700000000007</v>
          </cell>
          <cell r="BY6">
            <v>0.64072610447257461</v>
          </cell>
          <cell r="BZ6">
            <v>749.87700000000007</v>
          </cell>
          <cell r="CA6">
            <v>0.5982127258324299</v>
          </cell>
          <cell r="CB6">
            <v>553.34299999999996</v>
          </cell>
          <cell r="CC6">
            <v>0.52511990555598786</v>
          </cell>
          <cell r="CD6">
            <v>553.34299999999996</v>
          </cell>
          <cell r="CE6">
            <v>0.56694166272205115</v>
          </cell>
          <cell r="CF6">
            <v>721.57799999999997</v>
          </cell>
          <cell r="CG6">
            <v>0.64157546432505808</v>
          </cell>
          <cell r="CH6">
            <v>721.57799999999997</v>
          </cell>
          <cell r="CI6">
            <v>0.59736690257970027</v>
          </cell>
          <cell r="CJ6">
            <v>708.44500000000005</v>
          </cell>
          <cell r="CK6">
            <v>0.50171879470495095</v>
          </cell>
          <cell r="CL6">
            <v>708.44500000000005</v>
          </cell>
          <cell r="CM6">
            <v>0.5243355741753748</v>
          </cell>
          <cell r="CN6">
            <v>974.05099999999993</v>
          </cell>
          <cell r="CO6">
            <v>0.60325866488630031</v>
          </cell>
          <cell r="CP6">
            <v>974.05099999999993</v>
          </cell>
          <cell r="CQ6">
            <v>0.57296443571252098</v>
          </cell>
          <cell r="CR6">
            <v>734.29199999999992</v>
          </cell>
          <cell r="CS6">
            <v>0.50885534366300833</v>
          </cell>
          <cell r="CT6">
            <v>734.29199999999992</v>
          </cell>
          <cell r="CU6">
            <v>0.54120994133081757</v>
          </cell>
          <cell r="CV6">
            <v>887.05700000000002</v>
          </cell>
          <cell r="CW6">
            <v>0.59469727697100649</v>
          </cell>
          <cell r="CX6">
            <v>887.05700000000002</v>
          </cell>
          <cell r="CY6">
            <v>0.56070524222553431</v>
          </cell>
          <cell r="CZ6">
            <v>1019.6510000000001</v>
          </cell>
          <cell r="DA6">
            <v>0.53069839872005864</v>
          </cell>
          <cell r="DB6">
            <v>1019.6510000000001</v>
          </cell>
          <cell r="DC6">
            <v>0.55054757738245963</v>
          </cell>
          <cell r="DD6">
            <v>1354.4879999999998</v>
          </cell>
          <cell r="DE6">
            <v>0.59357227184404748</v>
          </cell>
          <cell r="DF6">
            <v>1194.153</v>
          </cell>
          <cell r="DG6">
            <v>0.56674595663857341</v>
          </cell>
          <cell r="DH6">
            <v>1338.482</v>
          </cell>
          <cell r="DI6">
            <v>0.55225923896539431</v>
          </cell>
          <cell r="DJ6">
            <v>1314.5010000000002</v>
          </cell>
          <cell r="DK6">
            <v>0.55372450531313955</v>
          </cell>
          <cell r="DL6">
            <v>1500.3219999999999</v>
          </cell>
          <cell r="DM6">
            <v>0.5423963495160512</v>
          </cell>
          <cell r="DN6">
            <v>1223.566</v>
          </cell>
          <cell r="DO6">
            <v>0.54253588924085439</v>
          </cell>
          <cell r="DP6">
            <v>1147.693</v>
          </cell>
          <cell r="DQ6">
            <v>0.51606548590355183</v>
          </cell>
          <cell r="DR6">
            <v>1267.8309999999999</v>
          </cell>
          <cell r="DS6">
            <v>0.54937708020891252</v>
          </cell>
          <cell r="DT6">
            <v>1357.1</v>
          </cell>
          <cell r="DU6">
            <v>0.54179974449057799</v>
          </cell>
          <cell r="DV6">
            <v>1054.5999999999999</v>
          </cell>
          <cell r="DW6">
            <v>0.55128071092524822</v>
          </cell>
          <cell r="DX6">
            <v>1165.9000000000001</v>
          </cell>
          <cell r="DY6">
            <v>0.53560271958838657</v>
          </cell>
          <cell r="DZ6">
            <v>1173</v>
          </cell>
          <cell r="EA6">
            <v>0.53750630069193051</v>
          </cell>
          <cell r="EB6">
            <v>1331.7</v>
          </cell>
          <cell r="EC6">
            <v>0.53244572388149214</v>
          </cell>
          <cell r="ED6">
            <v>1078.615</v>
          </cell>
          <cell r="EE6">
            <v>0.52368594816620218</v>
          </cell>
          <cell r="EF6">
            <v>1161.115</v>
          </cell>
          <cell r="EG6">
            <v>0.53714888699525265</v>
          </cell>
          <cell r="EH6">
            <v>1160.7310000000002</v>
          </cell>
          <cell r="EI6">
            <v>0.51073136432517674</v>
          </cell>
          <cell r="EJ6">
            <v>1351.8999999999999</v>
          </cell>
          <cell r="EK6">
            <v>0.51272423863162286</v>
          </cell>
          <cell r="EL6">
            <v>1131.0999999999999</v>
          </cell>
          <cell r="EM6">
            <v>0.51444035111656883</v>
          </cell>
          <cell r="EN6">
            <v>1140</v>
          </cell>
          <cell r="EO6">
            <v>0.50983899821109124</v>
          </cell>
          <cell r="EP6">
            <v>1217</v>
          </cell>
          <cell r="EQ6">
            <v>0.50111175162645138</v>
          </cell>
          <cell r="ES6" t="str">
            <v>Domestic</v>
          </cell>
          <cell r="ET6">
            <v>5139.4120000000003</v>
          </cell>
          <cell r="EU6">
            <v>0.53798588745534037</v>
          </cell>
          <cell r="EV6">
            <v>4750.5999999999995</v>
          </cell>
          <cell r="EW6">
            <v>0.54126172110881976</v>
          </cell>
          <cell r="EX6">
            <v>4732.1610000000001</v>
          </cell>
          <cell r="EY6">
            <v>0.52608384370549632</v>
          </cell>
          <cell r="EZ6">
            <v>4840</v>
          </cell>
          <cell r="FA6">
            <v>0.5094736842105263</v>
          </cell>
          <cell r="FB6">
            <v>5150</v>
          </cell>
          <cell r="FC6">
            <v>0.49710424710424711</v>
          </cell>
          <cell r="FE6" t="str">
            <v>Domestic</v>
          </cell>
          <cell r="FF6">
            <v>4827.2240000000002</v>
          </cell>
          <cell r="FG6">
            <v>0.53938537279777965</v>
          </cell>
          <cell r="FH6">
            <v>4749.2150000000001</v>
          </cell>
          <cell r="FI6">
            <v>0.53243156282721926</v>
          </cell>
          <cell r="FJ6">
            <v>4804.8459999999995</v>
          </cell>
          <cell r="FK6">
            <v>0.51833832989381534</v>
          </cell>
          <cell r="FL6">
            <v>5080</v>
          </cell>
          <cell r="FM6">
            <v>0.47699530516431926</v>
          </cell>
        </row>
        <row r="7">
          <cell r="A7" t="str">
            <v xml:space="preserve">   Footwear</v>
          </cell>
          <cell r="B7">
            <v>131.89400000000001</v>
          </cell>
          <cell r="C7">
            <v>136</v>
          </cell>
          <cell r="D7">
            <v>223.51</v>
          </cell>
          <cell r="E7">
            <v>0.68204010887741517</v>
          </cell>
          <cell r="F7">
            <v>133.19200000000001</v>
          </cell>
          <cell r="G7">
            <v>0.55984666341611045</v>
          </cell>
          <cell r="H7">
            <v>164.714</v>
          </cell>
          <cell r="I7">
            <v>0.6368096499197774</v>
          </cell>
          <cell r="K7">
            <v>0</v>
          </cell>
          <cell r="L7">
            <v>174.21100000000001</v>
          </cell>
          <cell r="M7">
            <v>0.67730246915980152</v>
          </cell>
          <cell r="N7">
            <v>89.698999999999998</v>
          </cell>
          <cell r="O7">
            <v>0.48998978493742584</v>
          </cell>
          <cell r="P7">
            <v>122.69199999999999</v>
          </cell>
          <cell r="Q7">
            <v>0.61525037860173093</v>
          </cell>
          <cell r="R7">
            <v>123.398</v>
          </cell>
          <cell r="S7">
            <v>0.51921418142495879</v>
          </cell>
          <cell r="T7">
            <v>188.30500000000001</v>
          </cell>
          <cell r="U7">
            <v>0.66579334436477289</v>
          </cell>
          <cell r="V7">
            <v>134.99600000000001</v>
          </cell>
          <cell r="W7">
            <v>0.57590184635336683</v>
          </cell>
          <cell r="X7">
            <v>229.131</v>
          </cell>
          <cell r="Y7">
            <v>0.69059667798919178</v>
          </cell>
          <cell r="Z7">
            <v>205.06800000000001</v>
          </cell>
          <cell r="AA7">
            <v>0.57860655668322902</v>
          </cell>
          <cell r="AB7">
            <v>355.26499999999999</v>
          </cell>
          <cell r="AC7">
            <v>0.695662305212988</v>
          </cell>
          <cell r="AD7">
            <v>172.072</v>
          </cell>
          <cell r="AE7">
            <v>0.53433033260566465</v>
          </cell>
          <cell r="AF7">
            <v>311.721</v>
          </cell>
          <cell r="AG7">
            <v>0.6708539306981619</v>
          </cell>
          <cell r="AH7">
            <v>221.97499999999999</v>
          </cell>
          <cell r="AI7">
            <v>0.53692241081125536</v>
          </cell>
          <cell r="AJ7">
            <v>408.84899999999999</v>
          </cell>
          <cell r="AK7">
            <v>0.71694185891545725</v>
          </cell>
          <cell r="AL7">
            <v>246.50200000000001</v>
          </cell>
          <cell r="AM7">
            <v>0.59336019680623164</v>
          </cell>
          <cell r="AN7">
            <v>373.27800000000002</v>
          </cell>
          <cell r="AO7">
            <v>0.64595609039418955</v>
          </cell>
          <cell r="AP7">
            <v>340.28300000000002</v>
          </cell>
          <cell r="AQ7">
            <v>0.5587367944015158</v>
          </cell>
          <cell r="AR7">
            <v>534.07399999999996</v>
          </cell>
          <cell r="AS7">
            <v>0.64067840121304165</v>
          </cell>
          <cell r="AT7">
            <v>351.10500000000002</v>
          </cell>
          <cell r="AU7">
            <v>0.54113725055022277</v>
          </cell>
          <cell r="AV7">
            <v>469.72899999999998</v>
          </cell>
          <cell r="AW7">
            <v>0.58554514539869962</v>
          </cell>
          <cell r="AX7">
            <v>321.471</v>
          </cell>
          <cell r="AY7">
            <v>0.44712900592099508</v>
          </cell>
          <cell r="AZ7">
            <v>558.32600000000002</v>
          </cell>
          <cell r="BA7">
            <v>0.58947317298748569</v>
          </cell>
          <cell r="BB7">
            <v>343.50400000000002</v>
          </cell>
          <cell r="BC7">
            <v>0.46206099672189371</v>
          </cell>
          <cell r="BD7">
            <v>477.98700000000002</v>
          </cell>
          <cell r="BE7">
            <v>0.55129933715408774</v>
          </cell>
          <cell r="BF7">
            <v>367.74799999999999</v>
          </cell>
          <cell r="BG7">
            <v>0.43386258367606001</v>
          </cell>
          <cell r="BH7">
            <v>590.22400000000005</v>
          </cell>
          <cell r="BI7">
            <v>0.53663459597658614</v>
          </cell>
          <cell r="BJ7">
            <v>382.63099999999997</v>
          </cell>
          <cell r="BK7">
            <v>0.43687367198765981</v>
          </cell>
          <cell r="BL7">
            <v>549.23400000000004</v>
          </cell>
          <cell r="BM7">
            <v>0.56505323023362042</v>
          </cell>
          <cell r="BN7">
            <v>446.24599999999998</v>
          </cell>
          <cell r="BO7">
            <v>0.45383456780832299</v>
          </cell>
          <cell r="BP7">
            <v>622.43799999999999</v>
          </cell>
          <cell r="BQ7">
            <v>0.56182901005345343</v>
          </cell>
          <cell r="BR7">
            <v>340.32499999999999</v>
          </cell>
          <cell r="BS7">
            <v>0.42235001967016178</v>
          </cell>
          <cell r="BT7">
            <v>477.06099999999998</v>
          </cell>
          <cell r="BU7">
            <v>0.54718556624170578</v>
          </cell>
          <cell r="BV7">
            <v>429.10599999999999</v>
          </cell>
          <cell r="BW7">
            <v>0.42733001645162705</v>
          </cell>
          <cell r="BX7">
            <v>655.14200000000005</v>
          </cell>
          <cell r="BY7">
            <v>0.55978057939684966</v>
          </cell>
          <cell r="BZ7">
            <v>655.14200000000005</v>
          </cell>
          <cell r="CA7">
            <v>0.52263808814953627</v>
          </cell>
          <cell r="CB7">
            <v>455.459</v>
          </cell>
          <cell r="CC7">
            <v>0.43222844974026003</v>
          </cell>
          <cell r="CD7">
            <v>455.459</v>
          </cell>
          <cell r="CE7">
            <v>0.46665211769503312</v>
          </cell>
          <cell r="CF7">
            <v>603.529</v>
          </cell>
          <cell r="CG7">
            <v>0.53661475046167983</v>
          </cell>
          <cell r="CH7">
            <v>603.529</v>
          </cell>
          <cell r="CI7">
            <v>0.49963863829970417</v>
          </cell>
          <cell r="CJ7">
            <v>595.22900000000004</v>
          </cell>
          <cell r="CK7">
            <v>0.42153953581920017</v>
          </cell>
          <cell r="CL7">
            <v>595.22900000000004</v>
          </cell>
          <cell r="CM7">
            <v>0.44054194677192182</v>
          </cell>
          <cell r="CN7">
            <v>791.56799999999998</v>
          </cell>
          <cell r="CO7">
            <v>0.49024153237019319</v>
          </cell>
          <cell r="CP7">
            <v>791.56799999999998</v>
          </cell>
          <cell r="CQ7">
            <v>0.46562275737932496</v>
          </cell>
          <cell r="CR7">
            <v>538.49699999999996</v>
          </cell>
          <cell r="CS7">
            <v>0.37317181175404196</v>
          </cell>
          <cell r="CT7">
            <v>538.49699999999996</v>
          </cell>
          <cell r="CU7">
            <v>0.39689923051976772</v>
          </cell>
          <cell r="CV7">
            <v>668.54499999999996</v>
          </cell>
          <cell r="CW7">
            <v>0.44820331842551436</v>
          </cell>
          <cell r="CX7">
            <v>668.54499999999996</v>
          </cell>
          <cell r="CY7">
            <v>0.42258466610789364</v>
          </cell>
          <cell r="CZ7">
            <v>773.92200000000003</v>
          </cell>
          <cell r="DA7">
            <v>0.40280367119163835</v>
          </cell>
          <cell r="DB7">
            <v>773.92200000000003</v>
          </cell>
          <cell r="DC7">
            <v>0.41786933194101505</v>
          </cell>
          <cell r="DD7">
            <v>1001.593</v>
          </cell>
          <cell r="DE7">
            <v>0.43892439982716352</v>
          </cell>
          <cell r="DF7">
            <v>814.86099999999999</v>
          </cell>
          <cell r="DG7">
            <v>0.38673367397013997</v>
          </cell>
          <cell r="DH7">
            <v>980.36900000000003</v>
          </cell>
          <cell r="DI7">
            <v>0.40450139624235859</v>
          </cell>
          <cell r="DJ7">
            <v>956.74900000000002</v>
          </cell>
          <cell r="DK7">
            <v>0.403023935876687</v>
          </cell>
          <cell r="DL7">
            <v>1056.0319999999999</v>
          </cell>
          <cell r="DM7">
            <v>0.38177664646131604</v>
          </cell>
          <cell r="DN7">
            <v>787.63499999999999</v>
          </cell>
          <cell r="DO7">
            <v>0.34924168792057014</v>
          </cell>
          <cell r="DP7">
            <v>800.41</v>
          </cell>
          <cell r="DQ7">
            <v>0.35990807260483593</v>
          </cell>
          <cell r="DR7">
            <v>854.60699999999997</v>
          </cell>
          <cell r="DS7">
            <v>0.3703186768473859</v>
          </cell>
          <cell r="DT7">
            <v>917.4</v>
          </cell>
          <cell r="DU7">
            <v>0.36625678696901942</v>
          </cell>
          <cell r="DV7">
            <v>665.9</v>
          </cell>
          <cell r="DW7">
            <v>0.34809200209095659</v>
          </cell>
          <cell r="DX7">
            <v>828.5</v>
          </cell>
          <cell r="DY7">
            <v>0.38060455714810726</v>
          </cell>
          <cell r="DZ7">
            <v>832.7</v>
          </cell>
          <cell r="EA7">
            <v>0.38156990331301838</v>
          </cell>
          <cell r="EB7">
            <v>941</v>
          </cell>
          <cell r="EC7">
            <v>0.37623445683899087</v>
          </cell>
          <cell r="ED7">
            <v>722.9</v>
          </cell>
          <cell r="EE7">
            <v>0.35098025887767886</v>
          </cell>
          <cell r="EF7">
            <v>858.91</v>
          </cell>
          <cell r="EG7">
            <v>0.39734440647919661</v>
          </cell>
          <cell r="EH7">
            <v>828.38</v>
          </cell>
          <cell r="EI7">
            <v>0.36449413996842489</v>
          </cell>
          <cell r="EJ7">
            <v>934.9</v>
          </cell>
          <cell r="EK7">
            <v>0.35457200288239088</v>
          </cell>
          <cell r="EL7">
            <v>705</v>
          </cell>
          <cell r="EM7">
            <v>0.32064401691908856</v>
          </cell>
          <cell r="EN7">
            <v>800</v>
          </cell>
          <cell r="EO7">
            <v>0.35778175313059035</v>
          </cell>
          <cell r="EP7">
            <v>840.1</v>
          </cell>
          <cell r="EQ7">
            <v>0.34591945977106148</v>
          </cell>
          <cell r="ES7" t="str">
            <v xml:space="preserve">   Footwear</v>
          </cell>
          <cell r="ET7">
            <v>3498.6839999999997</v>
          </cell>
          <cell r="EU7">
            <v>0.36623695797608752</v>
          </cell>
          <cell r="EV7">
            <v>3244.5</v>
          </cell>
          <cell r="EW7">
            <v>0.36966354863334444</v>
          </cell>
          <cell r="EX7">
            <v>3351.19</v>
          </cell>
          <cell r="EY7">
            <v>0.37255852372466247</v>
          </cell>
          <cell r="EZ7">
            <v>3280</v>
          </cell>
          <cell r="FA7">
            <v>0.34526315789473683</v>
          </cell>
          <cell r="FB7">
            <v>3500</v>
          </cell>
          <cell r="FC7">
            <v>0.33783783783783783</v>
          </cell>
          <cell r="FE7" t="str">
            <v xml:space="preserve">   Footwear</v>
          </cell>
          <cell r="FF7">
            <v>3238.317</v>
          </cell>
          <cell r="FG7">
            <v>0.36184374752080856</v>
          </cell>
          <cell r="FH7">
            <v>3325.1</v>
          </cell>
          <cell r="FI7">
            <v>0.37277490902323573</v>
          </cell>
          <cell r="FJ7">
            <v>3327.19</v>
          </cell>
          <cell r="FK7">
            <v>0.35893140130597395</v>
          </cell>
          <cell r="FL7">
            <v>3550</v>
          </cell>
          <cell r="FM7">
            <v>0.33333333333333331</v>
          </cell>
        </row>
        <row r="8">
          <cell r="A8" t="str">
            <v xml:space="preserve">   Apparel</v>
          </cell>
          <cell r="B8">
            <v>47.707999999999998</v>
          </cell>
          <cell r="C8">
            <v>38.887999999999998</v>
          </cell>
          <cell r="D8">
            <v>48.804000000000002</v>
          </cell>
          <cell r="E8">
            <v>0.14892526273389725</v>
          </cell>
          <cell r="F8">
            <v>42.231999999999999</v>
          </cell>
          <cell r="G8">
            <v>0.17751399700724652</v>
          </cell>
          <cell r="H8">
            <v>41.847999999999999</v>
          </cell>
          <cell r="I8">
            <v>0.16179080242021227</v>
          </cell>
          <cell r="K8">
            <v>0</v>
          </cell>
          <cell r="L8">
            <v>34.954999999999998</v>
          </cell>
          <cell r="M8">
            <v>0.16711607048946769</v>
          </cell>
          <cell r="N8">
            <v>36.283000000000001</v>
          </cell>
          <cell r="O8">
            <v>0.28800146052610692</v>
          </cell>
          <cell r="P8">
            <v>31.395</v>
          </cell>
          <cell r="Q8">
            <v>0.20374853167366488</v>
          </cell>
          <cell r="R8">
            <v>28.067</v>
          </cell>
          <cell r="S8">
            <v>0.18530353547024064</v>
          </cell>
          <cell r="T8">
            <v>36.783000000000001</v>
          </cell>
          <cell r="U8">
            <v>0.16341608615297126</v>
          </cell>
          <cell r="V8">
            <v>33.685000000000002</v>
          </cell>
          <cell r="W8">
            <v>0.19969646848192743</v>
          </cell>
          <cell r="X8">
            <v>38.000999999999998</v>
          </cell>
          <cell r="Y8">
            <v>0.1422555141278469</v>
          </cell>
          <cell r="Z8">
            <v>34.430999999999997</v>
          </cell>
          <cell r="AA8">
            <v>0.14376260443676173</v>
          </cell>
          <cell r="AB8">
            <v>53.963999999999999</v>
          </cell>
          <cell r="AC8">
            <v>0.10566962869551937</v>
          </cell>
          <cell r="AD8">
            <v>44.970999999999997</v>
          </cell>
          <cell r="AE8">
            <v>0.13964717901581514</v>
          </cell>
          <cell r="AF8">
            <v>56.822000000000003</v>
          </cell>
          <cell r="AG8">
            <v>0.122286474283513</v>
          </cell>
          <cell r="AH8">
            <v>52.451000000000001</v>
          </cell>
          <cell r="AI8">
            <v>0.12687067178493594</v>
          </cell>
          <cell r="AJ8">
            <v>65.896000000000001</v>
          </cell>
          <cell r="AK8">
            <v>0.11555268750832941</v>
          </cell>
          <cell r="AL8">
            <v>59.286999999999999</v>
          </cell>
          <cell r="AM8">
            <v>0.14271099621119121</v>
          </cell>
          <cell r="AN8">
            <v>68.816000000000003</v>
          </cell>
          <cell r="AO8">
            <v>0.11908581356674261</v>
          </cell>
          <cell r="AP8">
            <v>72.061999999999998</v>
          </cell>
          <cell r="AQ8">
            <v>0.11832413278994847</v>
          </cell>
          <cell r="AR8">
            <v>79.781999999999996</v>
          </cell>
          <cell r="AS8">
            <v>9.5706969831107463E-2</v>
          </cell>
          <cell r="AT8">
            <v>71.674999999999997</v>
          </cell>
          <cell r="AU8">
            <v>0.11046841381691294</v>
          </cell>
          <cell r="AV8">
            <v>100.501</v>
          </cell>
          <cell r="AW8">
            <v>0.12528047588655311</v>
          </cell>
          <cell r="AX8">
            <v>73.713999999999999</v>
          </cell>
          <cell r="AY8">
            <v>0.10252765425951402</v>
          </cell>
          <cell r="AZ8">
            <v>98.576999999999998</v>
          </cell>
          <cell r="BA8">
            <v>0.10407628692482059</v>
          </cell>
          <cell r="BB8">
            <v>73.085999999999999</v>
          </cell>
          <cell r="BC8">
            <v>9.8310907606363601E-2</v>
          </cell>
          <cell r="BD8">
            <v>97.233000000000004</v>
          </cell>
          <cell r="BE8">
            <v>0.11214633127993735</v>
          </cell>
          <cell r="BF8">
            <v>92.486999999999995</v>
          </cell>
          <cell r="BG8">
            <v>0.10911452618762783</v>
          </cell>
          <cell r="BH8">
            <v>101.089</v>
          </cell>
          <cell r="BI8">
            <v>9.1910621514335433E-2</v>
          </cell>
          <cell r="BJ8">
            <v>76.638000000000005</v>
          </cell>
          <cell r="BK8">
            <v>8.750238342891789E-2</v>
          </cell>
          <cell r="BL8">
            <v>106.441</v>
          </cell>
          <cell r="BM8">
            <v>0.10950675100102469</v>
          </cell>
          <cell r="BN8">
            <v>74.843000000000004</v>
          </cell>
          <cell r="BO8">
            <v>7.6115731140398615E-2</v>
          </cell>
          <cell r="BP8">
            <v>101.196</v>
          </cell>
          <cell r="BQ8">
            <v>9.1342187497179275E-2</v>
          </cell>
          <cell r="BR8">
            <v>75.364999999999995</v>
          </cell>
          <cell r="BS8">
            <v>9.3529447535272883E-2</v>
          </cell>
          <cell r="BT8">
            <v>85.070999999999998</v>
          </cell>
          <cell r="BU8">
            <v>9.7575830566213023E-2</v>
          </cell>
          <cell r="BV8">
            <v>76.861999999999995</v>
          </cell>
          <cell r="BW8">
            <v>7.6543883619676623E-2</v>
          </cell>
          <cell r="BX8">
            <v>94.734999999999999</v>
          </cell>
          <cell r="BY8">
            <v>8.0945525075724889E-2</v>
          </cell>
          <cell r="BZ8">
            <v>94.734999999999999</v>
          </cell>
          <cell r="CA8">
            <v>7.5574637682893658E-2</v>
          </cell>
          <cell r="CB8">
            <v>97.884</v>
          </cell>
          <cell r="CC8">
            <v>9.28914558157279E-2</v>
          </cell>
          <cell r="CD8">
            <v>97.884</v>
          </cell>
          <cell r="CE8">
            <v>0.10028954502701806</v>
          </cell>
          <cell r="CF8">
            <v>118.04900000000001</v>
          </cell>
          <cell r="CG8">
            <v>0.10496071386337831</v>
          </cell>
          <cell r="CH8">
            <v>118.04900000000001</v>
          </cell>
          <cell r="CI8">
            <v>9.7728264279996133E-2</v>
          </cell>
          <cell r="CJ8">
            <v>113.21599999999999</v>
          </cell>
          <cell r="CK8">
            <v>8.0179258885750795E-2</v>
          </cell>
          <cell r="CL8">
            <v>113.21599999999999</v>
          </cell>
          <cell r="CM8">
            <v>8.3793627403452947E-2</v>
          </cell>
          <cell r="CN8">
            <v>182.483</v>
          </cell>
          <cell r="CO8">
            <v>0.11301713251610723</v>
          </cell>
          <cell r="CP8">
            <v>182.483</v>
          </cell>
          <cell r="CQ8">
            <v>0.10734167833319608</v>
          </cell>
          <cell r="CR8">
            <v>195.79499999999999</v>
          </cell>
          <cell r="CS8">
            <v>0.13568353190896634</v>
          </cell>
          <cell r="CT8">
            <v>195.79499999999999</v>
          </cell>
          <cell r="CU8">
            <v>0.14431071081104987</v>
          </cell>
          <cell r="CV8">
            <v>218.512</v>
          </cell>
          <cell r="CW8">
            <v>0.14649395854549208</v>
          </cell>
          <cell r="CX8">
            <v>218.512</v>
          </cell>
          <cell r="CY8">
            <v>0.13812057611764064</v>
          </cell>
          <cell r="CZ8">
            <v>245.72900000000001</v>
          </cell>
          <cell r="DA8">
            <v>0.12789472752842032</v>
          </cell>
          <cell r="DB8">
            <v>245.72900000000001</v>
          </cell>
          <cell r="DC8">
            <v>0.1326782454414446</v>
          </cell>
          <cell r="DD8">
            <v>346.20100000000002</v>
          </cell>
          <cell r="DE8">
            <v>0.15171438512905328</v>
          </cell>
          <cell r="DF8">
            <v>372.57100000000003</v>
          </cell>
          <cell r="DG8">
            <v>0.17682249076189563</v>
          </cell>
          <cell r="DH8">
            <v>348.702</v>
          </cell>
          <cell r="DI8">
            <v>0.14387485311398354</v>
          </cell>
          <cell r="DJ8">
            <v>339.11200000000002</v>
          </cell>
          <cell r="DK8">
            <v>0.14284859763952207</v>
          </cell>
          <cell r="DL8">
            <v>425.24099999999999</v>
          </cell>
          <cell r="DM8">
            <v>0.15373310933556605</v>
          </cell>
          <cell r="DN8">
            <v>418.26</v>
          </cell>
          <cell r="DO8">
            <v>0.18545878279870454</v>
          </cell>
          <cell r="DP8">
            <v>330.95800000000003</v>
          </cell>
          <cell r="DQ8">
            <v>0.14881680125579552</v>
          </cell>
          <cell r="DR8">
            <v>381.887</v>
          </cell>
          <cell r="DS8">
            <v>0.16547944089530939</v>
          </cell>
          <cell r="DT8">
            <v>374.7</v>
          </cell>
          <cell r="DU8">
            <v>0.14959278185883104</v>
          </cell>
          <cell r="DV8">
            <v>343</v>
          </cell>
          <cell r="DW8">
            <v>0.17929952953476216</v>
          </cell>
          <cell r="DX8">
            <v>287</v>
          </cell>
          <cell r="DY8">
            <v>0.13184490995957368</v>
          </cell>
          <cell r="DZ8">
            <v>288.7</v>
          </cell>
          <cell r="EA8">
            <v>0.13229161893415203</v>
          </cell>
          <cell r="EB8">
            <v>332</v>
          </cell>
          <cell r="EC8">
            <v>0.13274159369877256</v>
          </cell>
          <cell r="ED8">
            <v>307.03500000000003</v>
          </cell>
          <cell r="EE8">
            <v>0.14907072041016481</v>
          </cell>
          <cell r="EF8">
            <v>251.75200000000001</v>
          </cell>
          <cell r="EG8">
            <v>0.11646418020508635</v>
          </cell>
          <cell r="EH8">
            <v>263.625</v>
          </cell>
          <cell r="EI8">
            <v>0.11599720858685146</v>
          </cell>
          <cell r="EJ8">
            <v>325.89999999999998</v>
          </cell>
          <cell r="EK8">
            <v>0.12360147153639019</v>
          </cell>
          <cell r="EL8">
            <v>346.6</v>
          </cell>
          <cell r="EM8">
            <v>0.15763860463000867</v>
          </cell>
          <cell r="EN8">
            <v>270</v>
          </cell>
          <cell r="EO8">
            <v>0.12075134168157424</v>
          </cell>
          <cell r="EP8">
            <v>281.5</v>
          </cell>
          <cell r="EQ8">
            <v>0.11591040105410523</v>
          </cell>
          <cell r="ES8" t="str">
            <v xml:space="preserve">   Apparel</v>
          </cell>
          <cell r="ET8">
            <v>1556.346</v>
          </cell>
          <cell r="EU8">
            <v>0.16291594913923405</v>
          </cell>
          <cell r="EV8">
            <v>1293.4000000000001</v>
          </cell>
          <cell r="EW8">
            <v>0.14736410349895754</v>
          </cell>
          <cell r="EX8">
            <v>1154.412</v>
          </cell>
          <cell r="EY8">
            <v>0.12833830086925391</v>
          </cell>
          <cell r="EZ8">
            <v>1224</v>
          </cell>
          <cell r="FA8">
            <v>0.1288421052631579</v>
          </cell>
          <cell r="FB8">
            <v>1280</v>
          </cell>
          <cell r="FC8">
            <v>0.12355212355212356</v>
          </cell>
          <cell r="FE8" t="str">
            <v xml:space="preserve">   Apparel</v>
          </cell>
          <cell r="FF8">
            <v>1430.5450000000001</v>
          </cell>
          <cell r="FG8">
            <v>0.1598465387413138</v>
          </cell>
          <cell r="FH8">
            <v>1214.7350000000001</v>
          </cell>
          <cell r="FI8">
            <v>0.13618319121600564</v>
          </cell>
          <cell r="FJ8">
            <v>1187.877</v>
          </cell>
          <cell r="FK8">
            <v>0.12814608008233266</v>
          </cell>
          <cell r="FL8">
            <v>1250</v>
          </cell>
          <cell r="FM8">
            <v>0.11737089201877934</v>
          </cell>
        </row>
        <row r="9">
          <cell r="A9" t="str">
            <v xml:space="preserve">   Equipment</v>
          </cell>
          <cell r="DD9">
            <v>6.694</v>
          </cell>
          <cell r="DE9">
            <v>2.9334868878307186E-3</v>
          </cell>
          <cell r="DF9">
            <v>6.7210000000000001</v>
          </cell>
          <cell r="DG9">
            <v>3.1897919065378157E-3</v>
          </cell>
          <cell r="DH9">
            <v>9.4109999999999996</v>
          </cell>
          <cell r="DI9">
            <v>3.8829896090521393E-3</v>
          </cell>
          <cell r="DJ9">
            <v>18.64</v>
          </cell>
          <cell r="DK9">
            <v>7.8519717969304861E-3</v>
          </cell>
          <cell r="DL9">
            <v>19.048999999999999</v>
          </cell>
          <cell r="DM9">
            <v>6.8865937191691252E-3</v>
          </cell>
          <cell r="DN9">
            <v>17.670999999999999</v>
          </cell>
          <cell r="DO9">
            <v>7.8354185215796582E-3</v>
          </cell>
          <cell r="DP9">
            <v>16.324999999999999</v>
          </cell>
          <cell r="DQ9">
            <v>7.3406120429204361E-3</v>
          </cell>
          <cell r="DR9">
            <v>31.337</v>
          </cell>
          <cell r="DS9">
            <v>1.3578962466217259E-2</v>
          </cell>
          <cell r="DT9">
            <v>65</v>
          </cell>
          <cell r="DU9">
            <v>2.5950175662727563E-2</v>
          </cell>
          <cell r="DV9">
            <v>45.7</v>
          </cell>
          <cell r="DW9">
            <v>2.3889179299529537E-2</v>
          </cell>
          <cell r="DX9">
            <v>50.4</v>
          </cell>
          <cell r="DY9">
            <v>2.315325248070562E-2</v>
          </cell>
          <cell r="DZ9">
            <v>51.6</v>
          </cell>
          <cell r="EA9">
            <v>2.3644778444760116E-2</v>
          </cell>
          <cell r="EB9">
            <v>58.7</v>
          </cell>
          <cell r="EC9">
            <v>2.3469673343728761E-2</v>
          </cell>
          <cell r="ED9">
            <v>48.68</v>
          </cell>
          <cell r="EE9">
            <v>2.3634968878358566E-2</v>
          </cell>
          <cell r="EF9">
            <v>50.453000000000003</v>
          </cell>
          <cell r="EG9">
            <v>2.3340300310969612E-2</v>
          </cell>
          <cell r="EH9">
            <v>68.725999999999999</v>
          </cell>
          <cell r="EI9">
            <v>3.024001576990025E-2</v>
          </cell>
          <cell r="EJ9">
            <v>91.1</v>
          </cell>
          <cell r="EK9">
            <v>3.4550764212841811E-2</v>
          </cell>
          <cell r="EL9">
            <v>79.5</v>
          </cell>
          <cell r="EM9">
            <v>3.6157729567471694E-2</v>
          </cell>
          <cell r="EN9">
            <v>70</v>
          </cell>
          <cell r="EO9">
            <v>3.1305903398926652E-2</v>
          </cell>
          <cell r="EP9">
            <v>95.4</v>
          </cell>
          <cell r="EQ9">
            <v>3.9281890801284684E-2</v>
          </cell>
          <cell r="ET9">
            <v>84.382000000000005</v>
          </cell>
          <cell r="EU9">
            <v>8.8329803400187673E-3</v>
          </cell>
          <cell r="EV9">
            <v>212.7</v>
          </cell>
          <cell r="EW9">
            <v>2.4234068976517909E-2</v>
          </cell>
          <cell r="EX9">
            <v>226.559</v>
          </cell>
          <cell r="EY9">
            <v>2.5187019111580007E-2</v>
          </cell>
          <cell r="EZ9">
            <v>336</v>
          </cell>
          <cell r="FA9">
            <v>3.5368421052631577E-2</v>
          </cell>
          <cell r="FB9">
            <v>370</v>
          </cell>
          <cell r="FC9">
            <v>3.5714285714285712E-2</v>
          </cell>
          <cell r="FE9" t="str">
            <v xml:space="preserve">   Equipment</v>
          </cell>
          <cell r="FF9">
            <v>158.36200000000002</v>
          </cell>
          <cell r="FG9">
            <v>1.7695086535657347E-2</v>
          </cell>
          <cell r="FH9">
            <v>209.38</v>
          </cell>
          <cell r="FI9">
            <v>2.3473462587977837E-2</v>
          </cell>
          <cell r="FJ9">
            <v>289.779</v>
          </cell>
          <cell r="FK9">
            <v>3.1260848505508795E-2</v>
          </cell>
          <cell r="FL9">
            <v>280</v>
          </cell>
          <cell r="FM9">
            <v>2.6291079812206571E-2</v>
          </cell>
        </row>
        <row r="10">
          <cell r="A10" t="str">
            <v>International</v>
          </cell>
          <cell r="B10">
            <v>45.691000000000003</v>
          </cell>
          <cell r="C10">
            <v>81.525000000000006</v>
          </cell>
          <cell r="D10">
            <v>55.08</v>
          </cell>
          <cell r="E10">
            <v>0.1680764583104471</v>
          </cell>
          <cell r="F10">
            <v>61.555999999999997</v>
          </cell>
          <cell r="G10">
            <v>0.25873867209173296</v>
          </cell>
          <cell r="H10">
            <v>51.246000000000002</v>
          </cell>
          <cell r="I10">
            <v>0.1981249154278866</v>
          </cell>
          <cell r="K10">
            <v>0</v>
          </cell>
          <cell r="L10">
            <v>47.747999999999998</v>
          </cell>
          <cell r="M10">
            <v>0.18563602928312334</v>
          </cell>
          <cell r="N10">
            <v>56.777000000000001</v>
          </cell>
          <cell r="O10">
            <v>0.31015005763043324</v>
          </cell>
          <cell r="P10">
            <v>44.99</v>
          </cell>
          <cell r="Q10">
            <v>0.22560651495852932</v>
          </cell>
          <cell r="R10">
            <v>86.284999999999997</v>
          </cell>
          <cell r="S10">
            <v>0.36305609202947026</v>
          </cell>
          <cell r="T10">
            <v>57.74</v>
          </cell>
          <cell r="U10">
            <v>0.20415234700948984</v>
          </cell>
          <cell r="V10">
            <v>65.727000000000004</v>
          </cell>
          <cell r="W10">
            <v>0.28039572028258419</v>
          </cell>
          <cell r="X10">
            <v>64.655000000000001</v>
          </cell>
          <cell r="Y10">
            <v>0.19486899727837437</v>
          </cell>
          <cell r="Z10">
            <v>114.878</v>
          </cell>
          <cell r="AA10">
            <v>0.32413230742317661</v>
          </cell>
          <cell r="AB10">
            <v>77.884</v>
          </cell>
          <cell r="AC10">
            <v>0.15250858648954543</v>
          </cell>
          <cell r="AD10">
            <v>80.778999999999996</v>
          </cell>
          <cell r="AE10">
            <v>0.25084075234525655</v>
          </cell>
          <cell r="AF10">
            <v>75.325999999999993</v>
          </cell>
          <cell r="AG10">
            <v>0.16210888321213437</v>
          </cell>
          <cell r="AH10">
            <v>114.666</v>
          </cell>
          <cell r="AI10">
            <v>0.27735891500431764</v>
          </cell>
          <cell r="AJ10">
            <v>95.522999999999996</v>
          </cell>
          <cell r="AK10">
            <v>0.16750545357621327</v>
          </cell>
          <cell r="AL10">
            <v>109.645</v>
          </cell>
          <cell r="AM10">
            <v>0.26392880698257726</v>
          </cell>
          <cell r="AN10">
            <v>108.056</v>
          </cell>
          <cell r="AO10">
            <v>0.18699047708044553</v>
          </cell>
          <cell r="AP10">
            <v>166.524</v>
          </cell>
          <cell r="AQ10">
            <v>0.27342854609521494</v>
          </cell>
          <cell r="AR10">
            <v>180.89099999999999</v>
          </cell>
          <cell r="AS10">
            <v>0.21699793787720112</v>
          </cell>
          <cell r="AT10">
            <v>191.69800000000001</v>
          </cell>
          <cell r="AU10">
            <v>0.29545272398848382</v>
          </cell>
          <cell r="AV10">
            <v>199.761</v>
          </cell>
          <cell r="AW10">
            <v>0.24901397143882884</v>
          </cell>
          <cell r="AX10">
            <v>289.79899999999998</v>
          </cell>
          <cell r="AY10">
            <v>0.40307691451763439</v>
          </cell>
          <cell r="AZ10">
            <v>248.25300000000001</v>
          </cell>
          <cell r="BA10">
            <v>0.26210221915809456</v>
          </cell>
          <cell r="BB10">
            <v>286.38299999999998</v>
          </cell>
          <cell r="BC10">
            <v>0.38522525043145373</v>
          </cell>
          <cell r="BD10">
            <v>253.96299999999999</v>
          </cell>
          <cell r="BE10">
            <v>0.29291514949499375</v>
          </cell>
          <cell r="BF10">
            <v>345.73200000000003</v>
          </cell>
          <cell r="BG10">
            <v>0.40788849641464153</v>
          </cell>
          <cell r="BH10">
            <v>357.68700000000001</v>
          </cell>
          <cell r="BI10">
            <v>0.32521079917298712</v>
          </cell>
          <cell r="BJ10">
            <v>372.90899999999999</v>
          </cell>
          <cell r="BK10">
            <v>0.42577345836392305</v>
          </cell>
          <cell r="BL10">
            <v>265.19099999999997</v>
          </cell>
          <cell r="BM10">
            <v>0.27282912415998284</v>
          </cell>
          <cell r="BN10">
            <v>406.34800000000001</v>
          </cell>
          <cell r="BO10">
            <v>0.41325808849777129</v>
          </cell>
          <cell r="BP10">
            <v>319.89999999999998</v>
          </cell>
          <cell r="BQ10">
            <v>0.28875020534752016</v>
          </cell>
          <cell r="BR10">
            <v>334.03699999999998</v>
          </cell>
          <cell r="BS10">
            <v>0.41454648797638088</v>
          </cell>
          <cell r="BT10">
            <v>260.29000000000002</v>
          </cell>
          <cell r="BU10">
            <v>0.29855077450693646</v>
          </cell>
          <cell r="BV10">
            <v>442.77099999999996</v>
          </cell>
          <cell r="BW10">
            <v>0.4409384597612323</v>
          </cell>
          <cell r="BX10">
            <v>361.596</v>
          </cell>
          <cell r="BY10">
            <v>0.30896266517424198</v>
          </cell>
          <cell r="BZ10">
            <v>444.77</v>
          </cell>
          <cell r="CA10">
            <v>0.35481428830126782</v>
          </cell>
          <cell r="CB10">
            <v>440.01199999999994</v>
          </cell>
          <cell r="CC10">
            <v>0.41756931936159186</v>
          </cell>
          <cell r="CD10">
            <v>362.28</v>
          </cell>
          <cell r="CE10">
            <v>0.37118320024098017</v>
          </cell>
          <cell r="CF10">
            <v>345.70600000000002</v>
          </cell>
          <cell r="CG10">
            <v>0.30737700909667226</v>
          </cell>
          <cell r="CH10">
            <v>428.94</v>
          </cell>
          <cell r="CI10">
            <v>0.35510306466180602</v>
          </cell>
          <cell r="CJ10">
            <v>569.65699999999993</v>
          </cell>
          <cell r="CK10">
            <v>0.40342951596134941</v>
          </cell>
          <cell r="CL10">
            <v>508.75</v>
          </cell>
          <cell r="CM10">
            <v>0.37653695539063992</v>
          </cell>
          <cell r="CN10">
            <v>492.71199999999999</v>
          </cell>
          <cell r="CO10">
            <v>0.30515115049772429</v>
          </cell>
          <cell r="CP10">
            <v>578.08299999999997</v>
          </cell>
          <cell r="CQ10">
            <v>0.34004482300208233</v>
          </cell>
          <cell r="CR10">
            <v>573.327</v>
          </cell>
          <cell r="CS10">
            <v>0.39730857426784111</v>
          </cell>
          <cell r="CT10">
            <v>487.06</v>
          </cell>
          <cell r="CU10">
            <v>0.35898758807747877</v>
          </cell>
          <cell r="CV10">
            <v>498.88300000000004</v>
          </cell>
          <cell r="CW10">
            <v>0.33445918540423741</v>
          </cell>
          <cell r="CX10">
            <v>589.31000000000006</v>
          </cell>
          <cell r="CY10">
            <v>0.37250053412117784</v>
          </cell>
          <cell r="CZ10">
            <v>768.73699999999997</v>
          </cell>
          <cell r="DA10">
            <v>0.40010503097320721</v>
          </cell>
          <cell r="DB10">
            <v>699.46600000000001</v>
          </cell>
          <cell r="DC10">
            <v>0.37766776255934581</v>
          </cell>
          <cell r="DD10">
            <v>780.87699999999995</v>
          </cell>
          <cell r="DE10">
            <v>0.34220084262153988</v>
          </cell>
          <cell r="DF10">
            <v>779.25</v>
          </cell>
          <cell r="DG10">
            <v>0.36983266525362191</v>
          </cell>
          <cell r="DH10">
            <v>982.88499999999999</v>
          </cell>
          <cell r="DI10">
            <v>0.40553950078559259</v>
          </cell>
          <cell r="DJ10">
            <v>937.82699999999988</v>
          </cell>
          <cell r="DK10">
            <v>0.39505317351930935</v>
          </cell>
          <cell r="DL10">
            <v>1147.671</v>
          </cell>
          <cell r="DM10">
            <v>0.41490597408118796</v>
          </cell>
          <cell r="DN10">
            <v>902.4</v>
          </cell>
          <cell r="DO10">
            <v>0.40012911968046427</v>
          </cell>
          <cell r="DP10">
            <v>981.47799999999995</v>
          </cell>
          <cell r="DQ10">
            <v>0.4413261394585889</v>
          </cell>
          <cell r="DR10">
            <v>917.36400000000003</v>
          </cell>
          <cell r="DS10">
            <v>0.39751256737591123</v>
          </cell>
          <cell r="DT10">
            <v>1024.9000000000001</v>
          </cell>
          <cell r="DU10">
            <v>0.40917438518045351</v>
          </cell>
          <cell r="DV10">
            <v>746.80000000000007</v>
          </cell>
          <cell r="DW10">
            <v>0.39038159958180874</v>
          </cell>
          <cell r="DX10">
            <v>927</v>
          </cell>
          <cell r="DY10">
            <v>0.42585446527012122</v>
          </cell>
          <cell r="DZ10">
            <v>908.8</v>
          </cell>
          <cell r="EA10">
            <v>0.41644136919763547</v>
          </cell>
          <cell r="EB10">
            <v>1052.3</v>
          </cell>
          <cell r="EC10">
            <v>0.42073487665427212</v>
          </cell>
          <cell r="ED10">
            <v>872.34499999999991</v>
          </cell>
          <cell r="EE10">
            <v>0.42353835098996923</v>
          </cell>
          <cell r="EF10">
            <v>922.6</v>
          </cell>
          <cell r="EG10">
            <v>0.42680833779756533</v>
          </cell>
          <cell r="EH10">
            <v>1008.8970000000002</v>
          </cell>
          <cell r="EI10">
            <v>0.44392313229643887</v>
          </cell>
          <cell r="EJ10">
            <v>1166.0999999999999</v>
          </cell>
          <cell r="EK10">
            <v>0.44225736716349984</v>
          </cell>
          <cell r="EL10">
            <v>951.8</v>
          </cell>
          <cell r="EM10">
            <v>0.43289216355118937</v>
          </cell>
          <cell r="EN10">
            <v>1010</v>
          </cell>
          <cell r="EO10">
            <v>0.45169946332737032</v>
          </cell>
          <cell r="EP10">
            <v>1100.1000000000001</v>
          </cell>
          <cell r="EQ10">
            <v>0.45297702379971999</v>
          </cell>
          <cell r="ES10" t="str">
            <v>International</v>
          </cell>
          <cell r="ET10">
            <v>3948.913</v>
          </cell>
          <cell r="EU10">
            <v>0.41336624983343045</v>
          </cell>
          <cell r="EV10">
            <v>3607.5</v>
          </cell>
          <cell r="EW10">
            <v>0.41102211486971491</v>
          </cell>
          <cell r="EX10">
            <v>3856.1419999999998</v>
          </cell>
          <cell r="EY10">
            <v>0.42869505184506618</v>
          </cell>
          <cell r="EZ10">
            <v>4228</v>
          </cell>
          <cell r="FA10">
            <v>0.44505263157894737</v>
          </cell>
          <cell r="FB10">
            <v>4710</v>
          </cell>
          <cell r="FC10">
            <v>0.45463320463320461</v>
          </cell>
          <cell r="FE10" t="str">
            <v>International</v>
          </cell>
          <cell r="FF10">
            <v>3670.5419999999999</v>
          </cell>
          <cell r="FG10">
            <v>0.41013979567550785</v>
          </cell>
          <cell r="FH10">
            <v>3760.4449999999997</v>
          </cell>
          <cell r="FI10">
            <v>0.42158116831430081</v>
          </cell>
          <cell r="FJ10">
            <v>4049.3970000000004</v>
          </cell>
          <cell r="FK10">
            <v>0.43684182137305266</v>
          </cell>
          <cell r="FL10">
            <v>5120</v>
          </cell>
          <cell r="FM10">
            <v>0.48075117370892018</v>
          </cell>
        </row>
        <row r="11">
          <cell r="A11" t="str">
            <v xml:space="preserve">   Footwear</v>
          </cell>
          <cell r="AX11">
            <v>211.483</v>
          </cell>
          <cell r="AY11">
            <v>0.29414841014956183</v>
          </cell>
          <cell r="AZ11">
            <v>194.09800000000001</v>
          </cell>
          <cell r="BA11">
            <v>0.20492608965107306</v>
          </cell>
          <cell r="BB11">
            <v>211.53</v>
          </cell>
          <cell r="BC11">
            <v>0.28453748031051218</v>
          </cell>
          <cell r="BD11">
            <v>205.18799999999999</v>
          </cell>
          <cell r="BE11">
            <v>0.23665917355905694</v>
          </cell>
          <cell r="BF11">
            <v>256.75099999999998</v>
          </cell>
          <cell r="BG11">
            <v>0.30291028699384381</v>
          </cell>
          <cell r="BH11">
            <v>271.51</v>
          </cell>
          <cell r="BI11">
            <v>0.2468582422158416</v>
          </cell>
          <cell r="BJ11">
            <v>278.37599999999998</v>
          </cell>
          <cell r="BK11">
            <v>0.31783923757676924</v>
          </cell>
          <cell r="BL11">
            <v>204.06399999999999</v>
          </cell>
          <cell r="BM11">
            <v>0.20994152287439144</v>
          </cell>
          <cell r="BN11">
            <v>295.072</v>
          </cell>
          <cell r="BO11">
            <v>0.30008980157208692</v>
          </cell>
          <cell r="BP11">
            <v>244.905</v>
          </cell>
          <cell r="BQ11">
            <v>0.22105773379379315</v>
          </cell>
          <cell r="BR11">
            <v>239.458</v>
          </cell>
          <cell r="BS11">
            <v>0.29717208847477444</v>
          </cell>
          <cell r="BT11">
            <v>203.702</v>
          </cell>
          <cell r="BU11">
            <v>0.23364474189792908</v>
          </cell>
          <cell r="BV11">
            <v>310.08999999999997</v>
          </cell>
          <cell r="BW11">
            <v>0.30880659977135028</v>
          </cell>
          <cell r="BX11">
            <v>276.46199999999999</v>
          </cell>
          <cell r="BY11">
            <v>0.2362206339102238</v>
          </cell>
          <cell r="BZ11">
            <v>338</v>
          </cell>
          <cell r="CA11">
            <v>0.26963875586444352</v>
          </cell>
          <cell r="CB11">
            <v>306.82799999999997</v>
          </cell>
          <cell r="CC11">
            <v>0.29117832950255568</v>
          </cell>
          <cell r="CD11">
            <v>253.6</v>
          </cell>
          <cell r="CE11">
            <v>0.25983233847055476</v>
          </cell>
          <cell r="CF11">
            <v>262.97399999999999</v>
          </cell>
          <cell r="CG11">
            <v>0.23381764155145782</v>
          </cell>
          <cell r="CH11">
            <v>326</v>
          </cell>
          <cell r="CI11">
            <v>0.26988296516936811</v>
          </cell>
          <cell r="CJ11">
            <v>398.02199999999999</v>
          </cell>
          <cell r="CK11">
            <v>0.28187808242849333</v>
          </cell>
          <cell r="CL11">
            <v>356.12</v>
          </cell>
          <cell r="CM11">
            <v>0.26357216816454976</v>
          </cell>
          <cell r="CN11">
            <v>366.678</v>
          </cell>
          <cell r="CO11">
            <v>0.22709455739296902</v>
          </cell>
          <cell r="CP11">
            <v>427.03199999999998</v>
          </cell>
          <cell r="CQ11">
            <v>0.25119233891365983</v>
          </cell>
          <cell r="CR11">
            <v>394.71199999999999</v>
          </cell>
          <cell r="CS11">
            <v>0.27353057150004817</v>
          </cell>
          <cell r="CT11">
            <v>336.06</v>
          </cell>
          <cell r="CU11">
            <v>0.24769303340310744</v>
          </cell>
          <cell r="CV11">
            <v>371.04700000000003</v>
          </cell>
          <cell r="CW11">
            <v>0.24875587535892402</v>
          </cell>
          <cell r="CX11">
            <v>436.1</v>
          </cell>
          <cell r="CY11">
            <v>0.2756570954679976</v>
          </cell>
          <cell r="CZ11">
            <v>549.87599999999998</v>
          </cell>
          <cell r="DA11">
            <v>0.2861943083413746</v>
          </cell>
          <cell r="DB11">
            <v>500.34699999999998</v>
          </cell>
          <cell r="DC11">
            <v>0.27015599327670109</v>
          </cell>
          <cell r="DD11">
            <v>548.53800000000001</v>
          </cell>
          <cell r="DE11">
            <v>0.24038378106914948</v>
          </cell>
          <cell r="DF11">
            <v>517.22900000000004</v>
          </cell>
          <cell r="DG11">
            <v>0.24547729177602259</v>
          </cell>
          <cell r="DH11">
            <v>689.06399999999996</v>
          </cell>
          <cell r="DI11">
            <v>0.28430861247177802</v>
          </cell>
          <cell r="DJ11">
            <v>636.14400000000001</v>
          </cell>
          <cell r="DK11">
            <v>0.26797128469884907</v>
          </cell>
          <cell r="DL11">
            <v>769.62099999999998</v>
          </cell>
          <cell r="DM11">
            <v>0.27823335318077913</v>
          </cell>
          <cell r="DN11">
            <v>545.20000000000005</v>
          </cell>
          <cell r="DO11">
            <v>0.24174467647361386</v>
          </cell>
          <cell r="DP11">
            <v>595.43299999999999</v>
          </cell>
          <cell r="DQ11">
            <v>0.26773921289753411</v>
          </cell>
          <cell r="DR11">
            <v>550.10900000000004</v>
          </cell>
          <cell r="DS11">
            <v>0.23837347108301082</v>
          </cell>
          <cell r="DT11">
            <v>563.1</v>
          </cell>
          <cell r="DU11">
            <v>0.22480836793356754</v>
          </cell>
          <cell r="DV11">
            <v>362.09999999999997</v>
          </cell>
          <cell r="DW11">
            <v>0.18928384736016726</v>
          </cell>
          <cell r="DX11">
            <v>508.4</v>
          </cell>
          <cell r="DY11">
            <v>0.2335538404998162</v>
          </cell>
          <cell r="DZ11">
            <v>540.19999999999993</v>
          </cell>
          <cell r="EA11">
            <v>0.24753700224533742</v>
          </cell>
          <cell r="EB11">
            <v>599.5</v>
          </cell>
          <cell r="EC11">
            <v>0.23969453440486188</v>
          </cell>
          <cell r="ED11">
            <v>467.00599999999997</v>
          </cell>
          <cell r="EE11">
            <v>0.22673936474952178</v>
          </cell>
          <cell r="EF11">
            <v>530.21600000000001</v>
          </cell>
          <cell r="EG11">
            <v>0.2452857247275893</v>
          </cell>
          <cell r="EH11">
            <v>613.70900000000006</v>
          </cell>
          <cell r="EI11">
            <v>0.27003710150641264</v>
          </cell>
          <cell r="EJ11">
            <v>677.5</v>
          </cell>
          <cell r="EK11">
            <v>0.25694997534797287</v>
          </cell>
          <cell r="EL11">
            <v>507.40000000000003</v>
          </cell>
          <cell r="EM11">
            <v>0.23077272934006463</v>
          </cell>
          <cell r="EN11">
            <v>585</v>
          </cell>
          <cell r="EO11">
            <v>0.26162790697674421</v>
          </cell>
          <cell r="EP11">
            <v>670.1</v>
          </cell>
          <cell r="EQ11">
            <v>0.27592028329078477</v>
          </cell>
          <cell r="ES11" t="str">
            <v xml:space="preserve">   Footwear</v>
          </cell>
          <cell r="ET11">
            <v>2460.3629999999998</v>
          </cell>
          <cell r="EU11">
            <v>0.25754708359969652</v>
          </cell>
          <cell r="EV11">
            <v>1973.7999999999997</v>
          </cell>
          <cell r="EW11">
            <v>0.22488577971721224</v>
          </cell>
          <cell r="EX11">
            <v>2210.431</v>
          </cell>
          <cell r="EY11">
            <v>0.24573805428973869</v>
          </cell>
          <cell r="EZ11">
            <v>2440</v>
          </cell>
          <cell r="FA11">
            <v>0.25684210526315787</v>
          </cell>
          <cell r="FB11">
            <v>2682</v>
          </cell>
          <cell r="FC11">
            <v>0.25888030888030888</v>
          </cell>
          <cell r="FE11" t="str">
            <v xml:space="preserve">   Footwear</v>
          </cell>
          <cell r="FF11">
            <v>2070.7419999999997</v>
          </cell>
          <cell r="FG11">
            <v>0.23138100606850226</v>
          </cell>
          <cell r="FH11">
            <v>2115.1059999999998</v>
          </cell>
          <cell r="FI11">
            <v>0.23712322839147695</v>
          </cell>
          <cell r="FJ11">
            <v>2328.8250000000003</v>
          </cell>
          <cell r="FK11">
            <v>0.25122954224026428</v>
          </cell>
          <cell r="FL11">
            <v>3000</v>
          </cell>
          <cell r="FM11">
            <v>0.28169014084507044</v>
          </cell>
        </row>
        <row r="12">
          <cell r="A12" t="str">
            <v xml:space="preserve">   Apparel</v>
          </cell>
          <cell r="AX12">
            <v>78.316000000000003</v>
          </cell>
          <cell r="AY12">
            <v>0.10892850436807255</v>
          </cell>
          <cell r="AZ12">
            <v>54.155000000000001</v>
          </cell>
          <cell r="BA12">
            <v>5.7176129507021507E-2</v>
          </cell>
          <cell r="BB12">
            <v>74.852999999999994</v>
          </cell>
          <cell r="BC12">
            <v>0.10068777012094154</v>
          </cell>
          <cell r="BD12">
            <v>48.774999999999999</v>
          </cell>
          <cell r="BE12">
            <v>5.6255975935936814E-2</v>
          </cell>
          <cell r="BF12">
            <v>88.980999999999995</v>
          </cell>
          <cell r="BG12">
            <v>0.10497820942079765</v>
          </cell>
          <cell r="BH12">
            <v>86.177000000000007</v>
          </cell>
          <cell r="BI12">
            <v>7.8352556957145533E-2</v>
          </cell>
          <cell r="BJ12">
            <v>94.533000000000001</v>
          </cell>
          <cell r="BK12">
            <v>0.10793422078715381</v>
          </cell>
          <cell r="BL12">
            <v>61.127000000000002</v>
          </cell>
          <cell r="BM12">
            <v>6.2887601285591413E-2</v>
          </cell>
          <cell r="BN12">
            <v>111.276</v>
          </cell>
          <cell r="BO12">
            <v>0.11316828692568438</v>
          </cell>
          <cell r="BP12">
            <v>74.995000000000005</v>
          </cell>
          <cell r="BQ12">
            <v>6.7692471553727027E-2</v>
          </cell>
          <cell r="BR12">
            <v>94.578999999999994</v>
          </cell>
          <cell r="BS12">
            <v>0.1173743995016065</v>
          </cell>
          <cell r="BT12">
            <v>56.588000000000001</v>
          </cell>
          <cell r="BU12">
            <v>6.4906032609007333E-2</v>
          </cell>
          <cell r="BV12">
            <v>132.68100000000001</v>
          </cell>
          <cell r="BW12">
            <v>0.13213185998988206</v>
          </cell>
          <cell r="BX12">
            <v>85.134</v>
          </cell>
          <cell r="BY12">
            <v>7.2742031264018181E-2</v>
          </cell>
          <cell r="BZ12">
            <v>106.77</v>
          </cell>
          <cell r="CA12">
            <v>8.5175532436824353E-2</v>
          </cell>
          <cell r="CB12">
            <v>133.184</v>
          </cell>
          <cell r="CC12">
            <v>0.12639098985903624</v>
          </cell>
          <cell r="CD12">
            <v>108.68</v>
          </cell>
          <cell r="CE12">
            <v>0.11135086177042544</v>
          </cell>
          <cell r="CF12">
            <v>82.731999999999999</v>
          </cell>
          <cell r="CG12">
            <v>7.3559367545214388E-2</v>
          </cell>
          <cell r="CH12">
            <v>102.94</v>
          </cell>
          <cell r="CI12">
            <v>8.522009949243789E-2</v>
          </cell>
          <cell r="CJ12">
            <v>171.63499999999999</v>
          </cell>
          <cell r="CK12">
            <v>0.12155143353285611</v>
          </cell>
          <cell r="CL12">
            <v>152.63</v>
          </cell>
          <cell r="CM12">
            <v>0.11296478722609017</v>
          </cell>
          <cell r="CN12">
            <v>126.03400000000001</v>
          </cell>
          <cell r="CO12">
            <v>7.8056593104755281E-2</v>
          </cell>
          <cell r="CP12">
            <v>151.05099999999999</v>
          </cell>
          <cell r="CQ12">
            <v>8.8852484088422487E-2</v>
          </cell>
          <cell r="CR12">
            <v>178.61500000000001</v>
          </cell>
          <cell r="CS12">
            <v>0.12377800276779298</v>
          </cell>
          <cell r="CT12">
            <v>151</v>
          </cell>
          <cell r="CU12">
            <v>0.11129455467437131</v>
          </cell>
          <cell r="CV12">
            <v>127.836</v>
          </cell>
          <cell r="CW12">
            <v>8.5703310045313411E-2</v>
          </cell>
          <cell r="CX12">
            <v>153.21</v>
          </cell>
          <cell r="CY12">
            <v>9.684343865318025E-2</v>
          </cell>
          <cell r="CZ12">
            <v>218.86099999999999</v>
          </cell>
          <cell r="DA12">
            <v>0.11391072263183261</v>
          </cell>
          <cell r="DB12">
            <v>199.119</v>
          </cell>
          <cell r="DC12">
            <v>0.10751176928264473</v>
          </cell>
          <cell r="DD12">
            <v>232.339</v>
          </cell>
          <cell r="DE12">
            <v>0.1018170615523904</v>
          </cell>
          <cell r="DF12">
            <v>262.02100000000002</v>
          </cell>
          <cell r="DG12">
            <v>0.12435537347759931</v>
          </cell>
          <cell r="DH12">
            <v>293.82100000000003</v>
          </cell>
          <cell r="DI12">
            <v>0.12123088831381455</v>
          </cell>
          <cell r="DJ12">
            <v>298.73399999999998</v>
          </cell>
          <cell r="DK12">
            <v>0.12583964285323132</v>
          </cell>
          <cell r="DL12">
            <v>366.85199999999998</v>
          </cell>
          <cell r="DM12">
            <v>0.13262432038766506</v>
          </cell>
          <cell r="DN12">
            <v>345.4</v>
          </cell>
          <cell r="DO12">
            <v>0.15315225835287272</v>
          </cell>
          <cell r="DP12">
            <v>378.85700000000003</v>
          </cell>
          <cell r="DQ12">
            <v>0.17035480898895608</v>
          </cell>
          <cell r="DR12">
            <v>344.16800000000001</v>
          </cell>
          <cell r="DS12">
            <v>0.14913502741401735</v>
          </cell>
          <cell r="DT12">
            <v>437.20000000000005</v>
          </cell>
          <cell r="DU12">
            <v>0.17454487384222295</v>
          </cell>
          <cell r="DV12">
            <v>359.6</v>
          </cell>
          <cell r="DW12">
            <v>0.18797699947726085</v>
          </cell>
          <cell r="DX12">
            <v>395.9</v>
          </cell>
          <cell r="DY12">
            <v>0.18187247335538403</v>
          </cell>
          <cell r="DZ12">
            <v>337</v>
          </cell>
          <cell r="EA12">
            <v>0.15442423131558447</v>
          </cell>
          <cell r="EB12">
            <v>380.1</v>
          </cell>
          <cell r="EC12">
            <v>0.15197313182199834</v>
          </cell>
          <cell r="ED12">
            <v>347.67999999999995</v>
          </cell>
          <cell r="EE12">
            <v>0.16880455997591834</v>
          </cell>
          <cell r="EF12">
            <v>329.39300000000003</v>
          </cell>
          <cell r="EG12">
            <v>0.15238204943870956</v>
          </cell>
          <cell r="EH12">
            <v>335.38200000000001</v>
          </cell>
          <cell r="EI12">
            <v>0.14757088974974081</v>
          </cell>
          <cell r="EJ12">
            <v>403.59999999999997</v>
          </cell>
          <cell r="EK12">
            <v>0.15307012553570751</v>
          </cell>
          <cell r="EL12">
            <v>373.9</v>
          </cell>
          <cell r="EM12">
            <v>0.17005503251921592</v>
          </cell>
          <cell r="EN12">
            <v>356</v>
          </cell>
          <cell r="EO12">
            <v>0.15921288014311269</v>
          </cell>
          <cell r="EP12">
            <v>361.50000000000006</v>
          </cell>
          <cell r="EQ12">
            <v>0.14885118998600017</v>
          </cell>
          <cell r="ES12" t="str">
            <v xml:space="preserve">   Apparel</v>
          </cell>
          <cell r="ET12">
            <v>1435.277</v>
          </cell>
          <cell r="EU12">
            <v>0.15024262903795971</v>
          </cell>
          <cell r="EV12">
            <v>1529.7</v>
          </cell>
          <cell r="EW12">
            <v>0.17428704895806041</v>
          </cell>
          <cell r="EX12">
            <v>1392.5550000000001</v>
          </cell>
          <cell r="EY12">
            <v>0.15481313652923209</v>
          </cell>
          <cell r="EZ12">
            <v>1495</v>
          </cell>
          <cell r="FA12">
            <v>0.15736842105263157</v>
          </cell>
          <cell r="FB12">
            <v>1712</v>
          </cell>
          <cell r="FC12">
            <v>0.16525096525096525</v>
          </cell>
          <cell r="FE12" t="str">
            <v xml:space="preserve">   Apparel</v>
          </cell>
          <cell r="FF12">
            <v>1519.8250000000003</v>
          </cell>
          <cell r="FG12">
            <v>0.16982252619981705</v>
          </cell>
          <cell r="FH12">
            <v>1460.6799999999998</v>
          </cell>
          <cell r="FI12">
            <v>0.16375593338908903</v>
          </cell>
          <cell r="FJ12">
            <v>1442.2750000000001</v>
          </cell>
          <cell r="FK12">
            <v>0.15559008857882284</v>
          </cell>
          <cell r="FL12">
            <v>2000</v>
          </cell>
          <cell r="FM12">
            <v>0.18779342723004694</v>
          </cell>
        </row>
        <row r="13">
          <cell r="A13" t="str">
            <v xml:space="preserve">   Equipment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2.9489999999999998</v>
          </cell>
          <cell r="DK13">
            <v>1.24224596722897E-3</v>
          </cell>
          <cell r="DL13">
            <v>11.198</v>
          </cell>
          <cell r="DM13">
            <v>4.0483005127437592E-3</v>
          </cell>
          <cell r="DN13">
            <v>11.8</v>
          </cell>
          <cell r="DO13">
            <v>5.2321848539777028E-3</v>
          </cell>
          <cell r="DP13">
            <v>7.1879999999999997</v>
          </cell>
          <cell r="DQ13">
            <v>3.2321175720987499E-3</v>
          </cell>
          <cell r="DR13">
            <v>23.087</v>
          </cell>
          <cell r="DS13">
            <v>1.0004068878883041E-2</v>
          </cell>
          <cell r="DT13">
            <v>24.6</v>
          </cell>
          <cell r="DU13">
            <v>9.8211434046630471E-3</v>
          </cell>
          <cell r="DV13">
            <v>25.1</v>
          </cell>
          <cell r="DW13">
            <v>1.3120752744380555E-2</v>
          </cell>
          <cell r="DX13">
            <v>22.7</v>
          </cell>
          <cell r="DY13">
            <v>1.0428151414920983E-2</v>
          </cell>
          <cell r="DZ13">
            <v>31.6</v>
          </cell>
          <cell r="EA13">
            <v>1.4480135636713558E-2</v>
          </cell>
          <cell r="EB13">
            <v>72.7</v>
          </cell>
          <cell r="EC13">
            <v>2.9067210427411942E-2</v>
          </cell>
          <cell r="ED13">
            <v>57.658999999999999</v>
          </cell>
          <cell r="EE13">
            <v>2.7994426264529099E-2</v>
          </cell>
          <cell r="EF13">
            <v>62.991</v>
          </cell>
          <cell r="EG13">
            <v>2.9140563631266461E-2</v>
          </cell>
          <cell r="EH13">
            <v>59.805999999999997</v>
          </cell>
          <cell r="EI13">
            <v>2.6315141040285397E-2</v>
          </cell>
          <cell r="EJ13">
            <v>85</v>
          </cell>
          <cell r="EK13">
            <v>3.2237266279819474E-2</v>
          </cell>
          <cell r="EL13">
            <v>70.5</v>
          </cell>
          <cell r="EM13">
            <v>3.2064401691908856E-2</v>
          </cell>
          <cell r="EN13">
            <v>69</v>
          </cell>
          <cell r="EO13">
            <v>3.0858676207513418E-2</v>
          </cell>
          <cell r="EP13">
            <v>68.5</v>
          </cell>
          <cell r="EQ13">
            <v>2.8205550522935021E-2</v>
          </cell>
          <cell r="ET13">
            <v>53.272999999999996</v>
          </cell>
          <cell r="EU13">
            <v>5.576537195774214E-3</v>
          </cell>
          <cell r="EV13">
            <v>104</v>
          </cell>
          <cell r="EW13">
            <v>1.1849286194442232E-2</v>
          </cell>
          <cell r="EX13">
            <v>253.15600000000001</v>
          </cell>
          <cell r="EY13">
            <v>2.8143861026095403E-2</v>
          </cell>
          <cell r="EZ13">
            <v>293</v>
          </cell>
          <cell r="FA13">
            <v>3.0842105263157896E-2</v>
          </cell>
          <cell r="FB13">
            <v>316</v>
          </cell>
          <cell r="FC13">
            <v>3.0501930501930501E-2</v>
          </cell>
          <cell r="FE13" t="str">
            <v xml:space="preserve">   Equipment</v>
          </cell>
          <cell r="FF13">
            <v>79.974999999999994</v>
          </cell>
          <cell r="FG13">
            <v>8.9362634071885674E-3</v>
          </cell>
          <cell r="FH13">
            <v>184.65899999999999</v>
          </cell>
          <cell r="FI13">
            <v>2.0702006533734833E-2</v>
          </cell>
          <cell r="FJ13">
            <v>278.29700000000003</v>
          </cell>
          <cell r="FK13">
            <v>3.0022190553965551E-2</v>
          </cell>
          <cell r="FL13">
            <v>120</v>
          </cell>
          <cell r="FM13">
            <v>1.1267605633802818E-2</v>
          </cell>
        </row>
        <row r="14">
          <cell r="A14" t="str">
            <v>Other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23.573</v>
          </cell>
          <cell r="AC14">
            <v>4.615947960194719E-2</v>
          </cell>
          <cell r="AD14">
            <v>24.210999999999999</v>
          </cell>
          <cell r="AE14">
            <v>7.5181736033263669E-2</v>
          </cell>
          <cell r="AF14">
            <v>20.794</v>
          </cell>
          <cell r="AG14">
            <v>4.4750711806190724E-2</v>
          </cell>
          <cell r="AH14">
            <v>24.329000000000001</v>
          </cell>
          <cell r="AI14">
            <v>5.8848002399491076E-2</v>
          </cell>
          <cell r="AJ14">
            <v>32.380000000000003</v>
          </cell>
          <cell r="AK14">
            <v>5.6780320831608999E-2</v>
          </cell>
          <cell r="AL14">
            <v>30.271000000000001</v>
          </cell>
          <cell r="AM14">
            <v>7.2865966675813729E-2</v>
          </cell>
          <cell r="AN14">
            <v>27.719000000000001</v>
          </cell>
          <cell r="AO14">
            <v>4.7967618958622102E-2</v>
          </cell>
          <cell r="AP14">
            <v>30.152999999999999</v>
          </cell>
          <cell r="AQ14">
            <v>4.9510526713320693E-2</v>
          </cell>
          <cell r="AR14">
            <v>38.86</v>
          </cell>
          <cell r="AS14">
            <v>4.6616691078649769E-2</v>
          </cell>
          <cell r="AT14">
            <v>34.35</v>
          </cell>
          <cell r="AU14">
            <v>5.2941611644380326E-2</v>
          </cell>
          <cell r="AV14">
            <v>32.216999999999999</v>
          </cell>
          <cell r="AW14">
            <v>4.0160407275918464E-2</v>
          </cell>
          <cell r="AX14">
            <v>33.982999999999997</v>
          </cell>
          <cell r="AY14">
            <v>4.7266425301856693E-2</v>
          </cell>
          <cell r="AZ14">
            <v>42.005000000000003</v>
          </cell>
          <cell r="BA14">
            <v>4.4348320929599089E-2</v>
          </cell>
          <cell r="BB14">
            <v>40.444000000000003</v>
          </cell>
          <cell r="BC14">
            <v>5.4402845240289106E-2</v>
          </cell>
          <cell r="BD14">
            <v>37.835999999999999</v>
          </cell>
          <cell r="BE14">
            <v>4.3639182070981143E-2</v>
          </cell>
          <cell r="BF14">
            <v>41.646999999999998</v>
          </cell>
          <cell r="BG14">
            <v>4.9134393721670465E-2</v>
          </cell>
          <cell r="BH14">
            <v>50.862000000000002</v>
          </cell>
          <cell r="BI14">
            <v>4.6243983336091254E-2</v>
          </cell>
          <cell r="BJ14">
            <v>43.661000000000001</v>
          </cell>
          <cell r="BK14">
            <v>4.9850486219499252E-2</v>
          </cell>
          <cell r="BL14">
            <v>51.137999999999998</v>
          </cell>
          <cell r="BM14">
            <v>5.2610894605371994E-2</v>
          </cell>
          <cell r="BN14">
            <v>55.841999999999999</v>
          </cell>
          <cell r="BO14">
            <v>5.6791612553507197E-2</v>
          </cell>
          <cell r="BP14">
            <v>64.343999999999994</v>
          </cell>
          <cell r="BQ14">
            <v>5.8078597101846943E-2</v>
          </cell>
          <cell r="BR14">
            <v>56.061999999999998</v>
          </cell>
          <cell r="BS14">
            <v>6.9574044818184411E-2</v>
          </cell>
          <cell r="BT14">
            <v>49.423000000000002</v>
          </cell>
          <cell r="BU14">
            <v>5.6687828685144721E-2</v>
          </cell>
          <cell r="BV14">
            <v>55.417000000000002</v>
          </cell>
          <cell r="BW14">
            <v>5.5187640167464025E-2</v>
          </cell>
          <cell r="BX14">
            <v>58.881999999999998</v>
          </cell>
          <cell r="BY14">
            <v>5.0311230353183432E-2</v>
          </cell>
          <cell r="BZ14">
            <v>58.881999999999998</v>
          </cell>
          <cell r="CA14">
            <v>4.6972985866302254E-2</v>
          </cell>
          <cell r="CB14">
            <v>60.390999999999998</v>
          </cell>
          <cell r="CC14">
            <v>5.7310775082420246E-2</v>
          </cell>
          <cell r="CD14">
            <v>60.390999999999998</v>
          </cell>
          <cell r="CE14">
            <v>6.1875137036968737E-2</v>
          </cell>
          <cell r="CF14">
            <v>57.412999999999997</v>
          </cell>
          <cell r="CG14">
            <v>5.1047526578269518E-2</v>
          </cell>
          <cell r="CH14">
            <v>57.412999999999997</v>
          </cell>
          <cell r="CI14">
            <v>4.753003275849365E-2</v>
          </cell>
          <cell r="CJ14">
            <v>133.934</v>
          </cell>
          <cell r="CK14">
            <v>9.4851689333699724E-2</v>
          </cell>
          <cell r="CL14">
            <v>133.934</v>
          </cell>
          <cell r="CM14">
            <v>9.912747043398519E-2</v>
          </cell>
          <cell r="CN14">
            <v>147.886</v>
          </cell>
          <cell r="CO14">
            <v>9.1590184615975359E-2</v>
          </cell>
          <cell r="CP14">
            <v>147.886</v>
          </cell>
          <cell r="CQ14">
            <v>8.6990741285396647E-2</v>
          </cell>
          <cell r="CR14">
            <v>135.40800000000002</v>
          </cell>
          <cell r="CS14">
            <v>9.3836082069150478E-2</v>
          </cell>
          <cell r="CT14">
            <v>135.40800000000002</v>
          </cell>
          <cell r="CU14">
            <v>9.9802470591703787E-2</v>
          </cell>
          <cell r="CV14">
            <v>105.67100000000001</v>
          </cell>
          <cell r="CW14">
            <v>7.0843537624756051E-2</v>
          </cell>
          <cell r="CX14">
            <v>105.67100000000001</v>
          </cell>
          <cell r="CY14">
            <v>6.6794223653287715E-2</v>
          </cell>
          <cell r="CZ14">
            <v>132.94999999999999</v>
          </cell>
          <cell r="DA14">
            <v>6.9196570306734151E-2</v>
          </cell>
          <cell r="DB14">
            <v>132.94999999999999</v>
          </cell>
          <cell r="DC14">
            <v>7.1784660058194422E-2</v>
          </cell>
          <cell r="DD14">
            <v>146.56100000000001</v>
          </cell>
          <cell r="DE14">
            <v>6.4226885534412609E-2</v>
          </cell>
          <cell r="DF14">
            <v>133.631</v>
          </cell>
          <cell r="DG14">
            <v>6.3421378107804613E-2</v>
          </cell>
          <cell r="DH14">
            <v>102.28100000000001</v>
          </cell>
          <cell r="DI14">
            <v>4.2201260249013058E-2</v>
          </cell>
          <cell r="DJ14">
            <v>121.60299999999999</v>
          </cell>
          <cell r="DK14">
            <v>5.1224427383161901E-2</v>
          </cell>
          <cell r="DL14">
            <v>118.10599999999999</v>
          </cell>
          <cell r="DM14">
            <v>4.2697676402760704E-2</v>
          </cell>
          <cell r="DN14">
            <v>129.30600000000001</v>
          </cell>
          <cell r="DO14">
            <v>5.7334991078681424E-2</v>
          </cell>
          <cell r="DP14">
            <v>94.757999999999996</v>
          </cell>
          <cell r="DQ14">
            <v>4.2608374637859395E-2</v>
          </cell>
          <cell r="DR14">
            <v>122.566</v>
          </cell>
          <cell r="DS14">
            <v>5.3110352415176455E-2</v>
          </cell>
          <cell r="DT14">
            <v>122.8</v>
          </cell>
          <cell r="DU14">
            <v>4.9025870328968373E-2</v>
          </cell>
          <cell r="DV14">
            <v>111.6</v>
          </cell>
          <cell r="DW14">
            <v>5.8337689492943018E-2</v>
          </cell>
          <cell r="DX14">
            <v>83.9</v>
          </cell>
          <cell r="DY14">
            <v>3.8542815141492097E-2</v>
          </cell>
          <cell r="DZ14">
            <v>100.5</v>
          </cell>
          <cell r="EA14">
            <v>4.6052330110433942E-2</v>
          </cell>
          <cell r="EB14">
            <v>117.1</v>
          </cell>
          <cell r="EC14">
            <v>4.6819399464235738E-2</v>
          </cell>
          <cell r="ED14">
            <v>108.7</v>
          </cell>
          <cell r="EE14">
            <v>5.2775700843828599E-2</v>
          </cell>
          <cell r="EF14">
            <v>77.911000000000001</v>
          </cell>
          <cell r="EG14">
            <v>3.6042775207182E-2</v>
          </cell>
          <cell r="EH14">
            <v>103.056</v>
          </cell>
          <cell r="EI14">
            <v>4.5345503378384312E-2</v>
          </cell>
          <cell r="EJ14">
            <v>118.7</v>
          </cell>
          <cell r="EK14">
            <v>4.5018394204877313E-2</v>
          </cell>
          <cell r="EL14">
            <v>115.8</v>
          </cell>
          <cell r="EM14">
            <v>5.2667485332241783E-2</v>
          </cell>
          <cell r="EN14">
            <v>86</v>
          </cell>
          <cell r="EO14">
            <v>3.8461538461538464E-2</v>
          </cell>
          <cell r="EP14">
            <v>111.5</v>
          </cell>
          <cell r="EQ14">
            <v>4.5911224573828534E-2</v>
          </cell>
          <cell r="ES14" t="str">
            <v>Other</v>
          </cell>
          <cell r="ET14">
            <v>464.73599999999999</v>
          </cell>
          <cell r="EU14">
            <v>4.864786271122943E-2</v>
          </cell>
          <cell r="EV14">
            <v>418.79999999999995</v>
          </cell>
          <cell r="EW14">
            <v>4.7716164021465446E-2</v>
          </cell>
          <cell r="EX14">
            <v>406.767</v>
          </cell>
          <cell r="EY14">
            <v>4.5221104449437298E-2</v>
          </cell>
          <cell r="EZ14">
            <v>432</v>
          </cell>
          <cell r="FA14">
            <v>4.5473684210526319E-2</v>
          </cell>
          <cell r="FB14">
            <v>500</v>
          </cell>
          <cell r="FC14">
            <v>4.8262548262548263E-2</v>
          </cell>
          <cell r="FE14" t="str">
            <v>Other</v>
          </cell>
          <cell r="FF14">
            <v>451.72400000000005</v>
          </cell>
          <cell r="FG14">
            <v>5.0474831526712713E-2</v>
          </cell>
          <cell r="FH14">
            <v>410.2</v>
          </cell>
          <cell r="FI14">
            <v>4.5987268858479841E-2</v>
          </cell>
          <cell r="FJ14">
            <v>415.46699999999998</v>
          </cell>
          <cell r="FK14">
            <v>4.4819848733131884E-2</v>
          </cell>
          <cell r="FL14">
            <v>450</v>
          </cell>
          <cell r="FM14">
            <v>4.2253521126760563E-2</v>
          </cell>
        </row>
        <row r="15">
          <cell r="A15" t="str">
            <v xml:space="preserve">   Canstar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76</v>
          </cell>
          <cell r="CK15">
            <v>5.3822990348688003E-2</v>
          </cell>
          <cell r="CL15">
            <v>76</v>
          </cell>
          <cell r="CM15">
            <v>5.6249255252459232E-2</v>
          </cell>
          <cell r="CN15">
            <v>74.75</v>
          </cell>
          <cell r="CO15">
            <v>4.6294891335516265E-2</v>
          </cell>
          <cell r="CP15">
            <v>74.75</v>
          </cell>
          <cell r="CQ15">
            <v>4.3970070940341881E-2</v>
          </cell>
          <cell r="CR15">
            <v>66.408000000000001</v>
          </cell>
          <cell r="CS15">
            <v>4.6019928941038526E-2</v>
          </cell>
          <cell r="CT15">
            <v>66.408000000000001</v>
          </cell>
          <cell r="CU15">
            <v>4.8946018455732786E-2</v>
          </cell>
          <cell r="CV15">
            <v>38.5</v>
          </cell>
          <cell r="CW15">
            <v>2.5811019092779549E-2</v>
          </cell>
          <cell r="CX15">
            <v>38.5</v>
          </cell>
          <cell r="CY15">
            <v>2.4335698636821616E-2</v>
          </cell>
          <cell r="CZ15">
            <v>73</v>
          </cell>
          <cell r="DA15">
            <v>3.7994356016484349E-2</v>
          </cell>
          <cell r="DB15">
            <v>73</v>
          </cell>
          <cell r="DC15">
            <v>3.9415420716421158E-2</v>
          </cell>
          <cell r="DD15">
            <v>70.561000000000007</v>
          </cell>
          <cell r="DE15">
            <v>3.0921686329880991E-2</v>
          </cell>
          <cell r="DF15">
            <v>65.631</v>
          </cell>
          <cell r="DG15">
            <v>3.1148524418685222E-2</v>
          </cell>
          <cell r="DH15">
            <v>32.28</v>
          </cell>
          <cell r="DI15">
            <v>1.3318765761364686E-2</v>
          </cell>
          <cell r="DJ15">
            <v>69.53</v>
          </cell>
          <cell r="DK15">
            <v>2.9289034283292742E-2</v>
          </cell>
          <cell r="DL15">
            <v>74</v>
          </cell>
          <cell r="DM15">
            <v>2.6752477044386335E-2</v>
          </cell>
          <cell r="DN15">
            <v>68</v>
          </cell>
          <cell r="DO15">
            <v>3.0151573734786757E-2</v>
          </cell>
          <cell r="DP15">
            <v>42</v>
          </cell>
          <cell r="DQ15">
            <v>1.8885494995568658E-2</v>
          </cell>
          <cell r="DR15">
            <v>78</v>
          </cell>
          <cell r="DS15">
            <v>3.3798993916614423E-2</v>
          </cell>
          <cell r="DT15">
            <v>74</v>
          </cell>
          <cell r="DU15">
            <v>2.9543276908335993E-2</v>
          </cell>
          <cell r="DV15">
            <v>68</v>
          </cell>
          <cell r="DW15">
            <v>3.5546262415054888E-2</v>
          </cell>
          <cell r="DX15">
            <v>74</v>
          </cell>
          <cell r="DY15">
            <v>3.3994854832782063E-2</v>
          </cell>
          <cell r="DZ15">
            <v>68</v>
          </cell>
          <cell r="EA15">
            <v>3.115978554735829E-2</v>
          </cell>
          <cell r="EB15">
            <v>74</v>
          </cell>
          <cell r="EC15">
            <v>2.9586981728039665E-2</v>
          </cell>
          <cell r="ED15">
            <v>68</v>
          </cell>
          <cell r="EE15">
            <v>3.3015157841585506E-2</v>
          </cell>
          <cell r="EF15">
            <v>74</v>
          </cell>
          <cell r="EG15">
            <v>3.4233489049447036E-2</v>
          </cell>
          <cell r="EH15">
            <v>68</v>
          </cell>
          <cell r="EI15">
            <v>2.9920569687646843E-2</v>
          </cell>
          <cell r="EJ15">
            <v>15.7</v>
          </cell>
          <cell r="EK15">
            <v>5.9544127128607731E-3</v>
          </cell>
          <cell r="EL15">
            <v>68</v>
          </cell>
          <cell r="EM15">
            <v>3.0927366170919183E-2</v>
          </cell>
          <cell r="EN15">
            <v>74</v>
          </cell>
          <cell r="EO15">
            <v>3.3094812164579608E-2</v>
          </cell>
          <cell r="EP15">
            <v>68</v>
          </cell>
          <cell r="EQ15">
            <v>2.7999670592110677E-2</v>
          </cell>
          <cell r="ES15" t="str">
            <v xml:space="preserve">   Canstar</v>
          </cell>
          <cell r="ET15">
            <v>262</v>
          </cell>
          <cell r="EU15">
            <v>2.74257643701846E-2</v>
          </cell>
          <cell r="EV15">
            <v>262</v>
          </cell>
          <cell r="EW15">
            <v>2.9851086374460239E-2</v>
          </cell>
          <cell r="EX15">
            <v>262</v>
          </cell>
          <cell r="EY15">
            <v>2.9127066270746082E-2</v>
          </cell>
          <cell r="EZ15">
            <v>294</v>
          </cell>
          <cell r="FA15">
            <v>3.0947368421052633E-2</v>
          </cell>
          <cell r="FB15">
            <v>284</v>
          </cell>
          <cell r="FC15">
            <v>2.7413127413127413E-2</v>
          </cell>
          <cell r="FE15" t="str">
            <v xml:space="preserve">   Canstar</v>
          </cell>
          <cell r="FF15">
            <v>262</v>
          </cell>
          <cell r="FG15">
            <v>2.9275411224550234E-2</v>
          </cell>
          <cell r="FH15">
            <v>280</v>
          </cell>
          <cell r="FI15">
            <v>3.1390627207153472E-2</v>
          </cell>
          <cell r="FJ15">
            <v>280</v>
          </cell>
          <cell r="FK15">
            <v>3.0205907196665265E-2</v>
          </cell>
          <cell r="FL15">
            <v>280</v>
          </cell>
          <cell r="FM15">
            <v>2.6291079812206571E-2</v>
          </cell>
        </row>
        <row r="16">
          <cell r="A16" t="str">
            <v xml:space="preserve">  Sprt Spec/Cole Haan</v>
          </cell>
          <cell r="AX16">
            <v>33.982999999999997</v>
          </cell>
          <cell r="AY16">
            <v>4.7266425301856693E-2</v>
          </cell>
          <cell r="AZ16">
            <v>42.005000000000003</v>
          </cell>
          <cell r="BA16">
            <v>4.4348320929599089E-2</v>
          </cell>
          <cell r="BB16">
            <v>40.444000000000003</v>
          </cell>
          <cell r="BC16">
            <v>5.4402845240289106E-2</v>
          </cell>
          <cell r="BD16">
            <v>37.835999999999999</v>
          </cell>
          <cell r="BE16">
            <v>4.3639182070981143E-2</v>
          </cell>
          <cell r="BF16">
            <v>41.646999999999998</v>
          </cell>
          <cell r="BG16">
            <v>4.9134393721670465E-2</v>
          </cell>
          <cell r="BH16">
            <v>50.862000000000002</v>
          </cell>
          <cell r="BI16">
            <v>4.6243983336091254E-2</v>
          </cell>
          <cell r="BJ16">
            <v>43.661000000000001</v>
          </cell>
          <cell r="BK16">
            <v>4.9850486219499252E-2</v>
          </cell>
          <cell r="BL16">
            <v>51.137999999999998</v>
          </cell>
          <cell r="BM16">
            <v>5.2610894605371994E-2</v>
          </cell>
          <cell r="BN16">
            <v>55.841999999999999</v>
          </cell>
          <cell r="BO16">
            <v>5.6791612553507197E-2</v>
          </cell>
          <cell r="BP16">
            <v>64.343999999999994</v>
          </cell>
          <cell r="BQ16">
            <v>5.8078597101846943E-2</v>
          </cell>
          <cell r="BR16">
            <v>56.061999999999998</v>
          </cell>
          <cell r="BS16">
            <v>6.9574044818184411E-2</v>
          </cell>
          <cell r="BT16">
            <v>49.423000000000002</v>
          </cell>
          <cell r="BU16">
            <v>5.6687828685144721E-2</v>
          </cell>
          <cell r="BV16">
            <v>55.417000000000002</v>
          </cell>
          <cell r="BW16">
            <v>5.5187640167464025E-2</v>
          </cell>
          <cell r="BX16">
            <v>58.881999999999998</v>
          </cell>
          <cell r="BY16">
            <v>5.0311230353183432E-2</v>
          </cell>
          <cell r="BZ16">
            <v>58.881999999999998</v>
          </cell>
          <cell r="CA16">
            <v>4.6972985866302254E-2</v>
          </cell>
          <cell r="CB16">
            <v>60.390999999999998</v>
          </cell>
          <cell r="CC16">
            <v>5.7310775082420246E-2</v>
          </cell>
          <cell r="CD16">
            <v>60.390999999999998</v>
          </cell>
          <cell r="CE16">
            <v>6.1875137036968737E-2</v>
          </cell>
          <cell r="CF16">
            <v>57.412999999999997</v>
          </cell>
          <cell r="CG16">
            <v>5.1047526578269518E-2</v>
          </cell>
          <cell r="CH16">
            <v>57.412999999999997</v>
          </cell>
          <cell r="CI16">
            <v>4.753003275849365E-2</v>
          </cell>
          <cell r="CJ16">
            <v>57.933999999999997</v>
          </cell>
          <cell r="CK16">
            <v>4.1028698985011713E-2</v>
          </cell>
          <cell r="CL16">
            <v>57.933999999999997</v>
          </cell>
          <cell r="CM16">
            <v>4.2878215181525965E-2</v>
          </cell>
          <cell r="CN16">
            <v>73.135999999999996</v>
          </cell>
          <cell r="CO16">
            <v>4.5295293280459094E-2</v>
          </cell>
          <cell r="CP16">
            <v>73.135999999999996</v>
          </cell>
          <cell r="CQ16">
            <v>4.302067034505476E-2</v>
          </cell>
          <cell r="CR16">
            <v>69</v>
          </cell>
          <cell r="CS16">
            <v>4.7816153128111945E-2</v>
          </cell>
          <cell r="CT16">
            <v>69</v>
          </cell>
          <cell r="CU16">
            <v>5.0856452135971002E-2</v>
          </cell>
          <cell r="CV16">
            <v>67.2</v>
          </cell>
          <cell r="CW16">
            <v>4.5051960598306129E-2</v>
          </cell>
          <cell r="CX16">
            <v>67.2</v>
          </cell>
          <cell r="CY16">
            <v>4.2476855802452272E-2</v>
          </cell>
          <cell r="CZ16">
            <v>59.95</v>
          </cell>
          <cell r="DA16">
            <v>3.1202214290249816E-2</v>
          </cell>
          <cell r="DB16">
            <v>59.95</v>
          </cell>
          <cell r="DC16">
            <v>3.236923934177327E-2</v>
          </cell>
          <cell r="DD16">
            <v>76</v>
          </cell>
          <cell r="DE16">
            <v>3.3305199204531614E-2</v>
          </cell>
          <cell r="DF16">
            <v>68</v>
          </cell>
          <cell r="DG16">
            <v>3.2272853689119398E-2</v>
          </cell>
          <cell r="DH16">
            <v>70</v>
          </cell>
          <cell r="DI16">
            <v>2.8882081886478565E-2</v>
          </cell>
          <cell r="DJ16">
            <v>62</v>
          </cell>
          <cell r="DK16">
            <v>2.6117073573481229E-2</v>
          </cell>
          <cell r="DL16">
            <v>84</v>
          </cell>
          <cell r="DM16">
            <v>3.0367676644979084E-2</v>
          </cell>
          <cell r="DN16">
            <v>74</v>
          </cell>
          <cell r="DO16">
            <v>3.2812006711385587E-2</v>
          </cell>
          <cell r="DP16">
            <v>78</v>
          </cell>
          <cell r="DQ16">
            <v>3.5073062134627506E-2</v>
          </cell>
          <cell r="DR16">
            <v>72</v>
          </cell>
          <cell r="DS16">
            <v>3.1199071307644082E-2</v>
          </cell>
          <cell r="DT16">
            <v>84</v>
          </cell>
          <cell r="DU16">
            <v>3.3535611625678696E-2</v>
          </cell>
          <cell r="DV16">
            <v>74</v>
          </cell>
          <cell r="DW16">
            <v>3.8682697334030319E-2</v>
          </cell>
          <cell r="DX16">
            <v>84</v>
          </cell>
          <cell r="DY16">
            <v>3.8588754134509365E-2</v>
          </cell>
          <cell r="DZ16">
            <v>74</v>
          </cell>
          <cell r="EA16">
            <v>3.3909178389772254E-2</v>
          </cell>
          <cell r="EB16">
            <v>84</v>
          </cell>
          <cell r="EC16">
            <v>3.3585222502099076E-2</v>
          </cell>
          <cell r="ED16">
            <v>74</v>
          </cell>
          <cell r="EE16">
            <v>3.5928260004078345E-2</v>
          </cell>
          <cell r="EF16">
            <v>84</v>
          </cell>
          <cell r="EG16">
            <v>3.8859636218291228E-2</v>
          </cell>
          <cell r="EH16">
            <v>74</v>
          </cell>
          <cell r="EI16">
            <v>3.2560619954203916E-2</v>
          </cell>
          <cell r="EJ16">
            <v>103</v>
          </cell>
          <cell r="EK16">
            <v>3.9063981492016536E-2</v>
          </cell>
          <cell r="EL16">
            <v>74</v>
          </cell>
          <cell r="EM16">
            <v>3.3656251421294407E-2</v>
          </cell>
          <cell r="EN16">
            <v>84</v>
          </cell>
          <cell r="EO16">
            <v>3.7567084078711989E-2</v>
          </cell>
          <cell r="EP16">
            <v>74</v>
          </cell>
          <cell r="EQ16">
            <v>3.0470229762002796E-2</v>
          </cell>
          <cell r="ES16" t="str">
            <v xml:space="preserve">  Sprt Spec/Cole Haan</v>
          </cell>
          <cell r="ET16">
            <v>308</v>
          </cell>
          <cell r="EU16">
            <v>3.2240974908461284E-2</v>
          </cell>
          <cell r="EV16">
            <v>308</v>
          </cell>
          <cell r="EW16">
            <v>3.5092116806617377E-2</v>
          </cell>
          <cell r="EX16">
            <v>308</v>
          </cell>
          <cell r="EY16">
            <v>3.4240978669426693E-2</v>
          </cell>
          <cell r="EZ16">
            <v>314</v>
          </cell>
          <cell r="FA16">
            <v>3.3052631578947368E-2</v>
          </cell>
          <cell r="FB16">
            <v>316</v>
          </cell>
          <cell r="FC16">
            <v>3.0501930501930501E-2</v>
          </cell>
          <cell r="FE16" t="str">
            <v xml:space="preserve">  Sprt Spec/Cole Haan</v>
          </cell>
          <cell r="FF16">
            <v>308</v>
          </cell>
          <cell r="FG16">
            <v>3.4415368920463631E-2</v>
          </cell>
          <cell r="FH16">
            <v>330</v>
          </cell>
          <cell r="FI16">
            <v>3.6996096351288026E-2</v>
          </cell>
          <cell r="FJ16">
            <v>330</v>
          </cell>
          <cell r="FK16">
            <v>3.5599819196069776E-2</v>
          </cell>
          <cell r="FL16">
            <v>330</v>
          </cell>
          <cell r="FM16">
            <v>3.0985915492957747E-2</v>
          </cell>
        </row>
        <row r="17">
          <cell r="A17" t="str">
            <v>TOTAL SALES</v>
          </cell>
          <cell r="B17">
            <v>220.744</v>
          </cell>
          <cell r="C17">
            <v>257.13799999999998</v>
          </cell>
          <cell r="D17">
            <v>327.70800000000003</v>
          </cell>
          <cell r="E17">
            <v>1</v>
          </cell>
          <cell r="F17">
            <v>237.90799999999999</v>
          </cell>
          <cell r="G17">
            <v>1</v>
          </cell>
          <cell r="H17">
            <v>258.65499999999997</v>
          </cell>
          <cell r="I17">
            <v>1</v>
          </cell>
          <cell r="J17">
            <v>244.95099999999999</v>
          </cell>
          <cell r="K17">
            <v>1</v>
          </cell>
          <cell r="L17">
            <v>257.21299999999997</v>
          </cell>
          <cell r="M17">
            <v>1</v>
          </cell>
          <cell r="N17">
            <v>183.06300000000002</v>
          </cell>
          <cell r="O17">
            <v>1</v>
          </cell>
          <cell r="P17">
            <v>199.41800000000001</v>
          </cell>
          <cell r="Q17">
            <v>1</v>
          </cell>
          <cell r="R17">
            <v>237.66300000000001</v>
          </cell>
          <cell r="S17">
            <v>1.0675738089246698</v>
          </cell>
          <cell r="T17">
            <v>282.82800000000003</v>
          </cell>
          <cell r="U17">
            <v>1.0333617775272341</v>
          </cell>
          <cell r="V17">
            <v>234.40800000000002</v>
          </cell>
          <cell r="W17">
            <v>1.0559940351178785</v>
          </cell>
          <cell r="X17">
            <v>331.78700000000003</v>
          </cell>
          <cell r="Y17">
            <v>1.027721189395413</v>
          </cell>
          <cell r="Z17">
            <v>354.41700000000003</v>
          </cell>
          <cell r="AA17">
            <v>1.0465014685431673</v>
          </cell>
          <cell r="AB17">
            <v>510.68599999999998</v>
          </cell>
          <cell r="AC17">
            <v>1</v>
          </cell>
          <cell r="AD17">
            <v>322.03300000000002</v>
          </cell>
          <cell r="AE17">
            <v>1</v>
          </cell>
          <cell r="AF17">
            <v>464.66300000000001</v>
          </cell>
          <cell r="AG17">
            <v>1</v>
          </cell>
          <cell r="AH17">
            <v>413.42099999999999</v>
          </cell>
          <cell r="AI17">
            <v>1</v>
          </cell>
          <cell r="AJ17">
            <v>570.26800000000003</v>
          </cell>
          <cell r="AK17">
            <v>0.99999999999999989</v>
          </cell>
          <cell r="AL17">
            <v>415.43399999999997</v>
          </cell>
          <cell r="AM17">
            <v>1</v>
          </cell>
          <cell r="AN17">
            <v>577.86900000000014</v>
          </cell>
          <cell r="AO17">
            <v>0.95203238104137777</v>
          </cell>
          <cell r="AP17">
            <v>609.02200000000005</v>
          </cell>
          <cell r="AQ17">
            <v>0.95048947328667921</v>
          </cell>
          <cell r="AR17">
            <v>833.60699999999997</v>
          </cell>
          <cell r="AS17">
            <v>1</v>
          </cell>
          <cell r="AT17">
            <v>648.82800000000009</v>
          </cell>
          <cell r="AU17">
            <v>1</v>
          </cell>
          <cell r="AV17">
            <v>802.20799999999997</v>
          </cell>
          <cell r="AW17">
            <v>1</v>
          </cell>
          <cell r="AX17">
            <v>718.96699999999987</v>
          </cell>
          <cell r="AY17">
            <v>1.0000000000000002</v>
          </cell>
          <cell r="AZ17">
            <v>947.16100000000006</v>
          </cell>
          <cell r="BA17">
            <v>0.99999999999999989</v>
          </cell>
          <cell r="BB17">
            <v>743.41699999999992</v>
          </cell>
          <cell r="BC17">
            <v>1.0000000000000002</v>
          </cell>
          <cell r="BD17">
            <v>867.01900000000001</v>
          </cell>
          <cell r="BE17">
            <v>1</v>
          </cell>
          <cell r="BF17">
            <v>847.61400000000015</v>
          </cell>
          <cell r="BG17">
            <v>0.99999999999999989</v>
          </cell>
          <cell r="BH17">
            <v>1099.8620000000001</v>
          </cell>
          <cell r="BI17">
            <v>1</v>
          </cell>
          <cell r="BJ17">
            <v>875.83899999999994</v>
          </cell>
          <cell r="BK17">
            <v>1</v>
          </cell>
          <cell r="BL17">
            <v>972.00400000000002</v>
          </cell>
          <cell r="BM17">
            <v>1</v>
          </cell>
          <cell r="BN17">
            <v>983.27899999999988</v>
          </cell>
          <cell r="BO17">
            <v>1.0000000000000002</v>
          </cell>
          <cell r="BP17">
            <v>1107.8780000000002</v>
          </cell>
          <cell r="BQ17">
            <v>0.99999999999999989</v>
          </cell>
          <cell r="BR17">
            <v>805.78899999999999</v>
          </cell>
          <cell r="BS17">
            <v>0.99999999999999989</v>
          </cell>
          <cell r="BT17">
            <v>871.84500000000003</v>
          </cell>
          <cell r="BU17">
            <v>1</v>
          </cell>
          <cell r="BV17">
            <v>1004.1559999999999</v>
          </cell>
          <cell r="BW17">
            <v>1</v>
          </cell>
          <cell r="BX17">
            <v>1170.355</v>
          </cell>
          <cell r="BY17">
            <v>1</v>
          </cell>
          <cell r="BZ17">
            <v>1253.529</v>
          </cell>
          <cell r="CA17">
            <v>1</v>
          </cell>
          <cell r="CB17">
            <v>1053.7459999999999</v>
          </cell>
          <cell r="CC17">
            <v>1</v>
          </cell>
          <cell r="CD17">
            <v>976.0139999999999</v>
          </cell>
          <cell r="CE17">
            <v>1</v>
          </cell>
          <cell r="CF17">
            <v>1124.6970000000001</v>
          </cell>
          <cell r="CG17">
            <v>0.99999999999999978</v>
          </cell>
          <cell r="CH17">
            <v>1207.931</v>
          </cell>
          <cell r="CI17">
            <v>0.99999999999999989</v>
          </cell>
          <cell r="CJ17">
            <v>1412.0359999999998</v>
          </cell>
          <cell r="CK17">
            <v>1</v>
          </cell>
          <cell r="CL17">
            <v>1351.1290000000001</v>
          </cell>
          <cell r="CM17">
            <v>0.99999999999999989</v>
          </cell>
          <cell r="CN17">
            <v>1614.6489999999999</v>
          </cell>
          <cell r="CO17">
            <v>0.99999999999999989</v>
          </cell>
          <cell r="CP17">
            <v>1700.02</v>
          </cell>
          <cell r="CQ17">
            <v>0.99999999999999989</v>
          </cell>
          <cell r="CR17">
            <v>1443.027</v>
          </cell>
          <cell r="CS17">
            <v>0.99999999999999989</v>
          </cell>
          <cell r="CT17">
            <v>1356.7599999999998</v>
          </cell>
          <cell r="CU17">
            <v>1.0000000000000002</v>
          </cell>
          <cell r="CV17">
            <v>1491.6110000000001</v>
          </cell>
          <cell r="CW17">
            <v>1</v>
          </cell>
          <cell r="CX17">
            <v>1582.0380000000002</v>
          </cell>
          <cell r="CY17">
            <v>0.99999999999999978</v>
          </cell>
          <cell r="CZ17">
            <v>1921.338</v>
          </cell>
          <cell r="DA17">
            <v>1</v>
          </cell>
          <cell r="DB17">
            <v>1852.0670000000002</v>
          </cell>
          <cell r="DC17">
            <v>0.99999999999999978</v>
          </cell>
          <cell r="DD17">
            <v>2281.9259999999999</v>
          </cell>
          <cell r="DE17">
            <v>1</v>
          </cell>
          <cell r="DF17">
            <v>2107.0340000000001</v>
          </cell>
          <cell r="DG17">
            <v>0.99999999999999989</v>
          </cell>
          <cell r="DH17">
            <v>2423.6480000000001</v>
          </cell>
          <cell r="DI17">
            <v>0.99999999999999989</v>
          </cell>
          <cell r="DJ17">
            <v>2373.9259999999999</v>
          </cell>
          <cell r="DK17">
            <v>1.0000021062156108</v>
          </cell>
          <cell r="DL17">
            <v>2766.0990000000002</v>
          </cell>
          <cell r="DM17">
            <v>0.99999999999999978</v>
          </cell>
          <cell r="DN17">
            <v>2255.2719999999999</v>
          </cell>
          <cell r="DO17">
            <v>1</v>
          </cell>
          <cell r="DP17">
            <v>2223.9289999999996</v>
          </cell>
          <cell r="DQ17">
            <v>1.0000000000000002</v>
          </cell>
          <cell r="DR17">
            <v>2307.7609999999995</v>
          </cell>
          <cell r="DS17">
            <v>1.0000000000000002</v>
          </cell>
          <cell r="DT17">
            <v>2504.8000000000002</v>
          </cell>
          <cell r="DU17">
            <v>0.99999999999999978</v>
          </cell>
          <cell r="DV17">
            <v>1913</v>
          </cell>
          <cell r="DW17">
            <v>1</v>
          </cell>
          <cell r="DX17">
            <v>2176.8000000000002</v>
          </cell>
          <cell r="DY17">
            <v>0.99999999999999989</v>
          </cell>
          <cell r="DZ17">
            <v>2182.3000000000002</v>
          </cell>
          <cell r="EA17">
            <v>0.99999999999999989</v>
          </cell>
          <cell r="EB17">
            <v>2501.1</v>
          </cell>
          <cell r="EC17">
            <v>1</v>
          </cell>
          <cell r="ED17">
            <v>2059.66</v>
          </cell>
          <cell r="EE17">
            <v>1</v>
          </cell>
          <cell r="EF17">
            <v>2161.6260000000002</v>
          </cell>
          <cell r="EG17">
            <v>1</v>
          </cell>
          <cell r="EH17">
            <v>2272.6840000000007</v>
          </cell>
          <cell r="EI17">
            <v>0.99999999999999989</v>
          </cell>
          <cell r="EJ17">
            <v>2636.7</v>
          </cell>
          <cell r="EK17">
            <v>1</v>
          </cell>
          <cell r="EL17">
            <v>2198.6999999999998</v>
          </cell>
          <cell r="EM17">
            <v>1</v>
          </cell>
          <cell r="EN17">
            <v>2236</v>
          </cell>
          <cell r="EO17">
            <v>1</v>
          </cell>
          <cell r="EP17">
            <v>2428.6000000000004</v>
          </cell>
          <cell r="EQ17">
            <v>0.99999999999999989</v>
          </cell>
          <cell r="ES17" t="str">
            <v>Total Sales</v>
          </cell>
          <cell r="ET17">
            <v>9553.0609999999979</v>
          </cell>
          <cell r="EU17">
            <v>1</v>
          </cell>
          <cell r="EV17">
            <v>8776.8999999999978</v>
          </cell>
          <cell r="EW17">
            <v>1</v>
          </cell>
          <cell r="EX17">
            <v>8995.0700000000015</v>
          </cell>
          <cell r="EY17">
            <v>1</v>
          </cell>
          <cell r="EZ17">
            <v>9500</v>
          </cell>
          <cell r="FA17">
            <v>1</v>
          </cell>
          <cell r="FB17">
            <v>10360</v>
          </cell>
          <cell r="FC17">
            <v>1</v>
          </cell>
          <cell r="FE17" t="str">
            <v>Total Sales</v>
          </cell>
          <cell r="FF17">
            <v>8949.489999999998</v>
          </cell>
          <cell r="FG17">
            <v>1.0000000000000002</v>
          </cell>
          <cell r="FH17">
            <v>8919.86</v>
          </cell>
          <cell r="FI17">
            <v>0.99999999999999989</v>
          </cell>
          <cell r="FJ17">
            <v>9269.7100000000009</v>
          </cell>
          <cell r="FK17">
            <v>1</v>
          </cell>
          <cell r="FL17">
            <v>10650</v>
          </cell>
          <cell r="FM17">
            <v>1</v>
          </cell>
        </row>
        <row r="18">
          <cell r="A18" t="str">
            <v xml:space="preserve">  % Change</v>
          </cell>
          <cell r="D18" t="str">
            <v xml:space="preserve"> </v>
          </cell>
          <cell r="F18" t="str">
            <v xml:space="preserve"> </v>
          </cell>
          <cell r="G18" t="str">
            <v xml:space="preserve"> </v>
          </cell>
          <cell r="H18">
            <v>0.17174192730040216</v>
          </cell>
          <cell r="I18" t="str">
            <v xml:space="preserve"> </v>
          </cell>
          <cell r="J18">
            <v>-4.7394784123700053E-2</v>
          </cell>
          <cell r="K18" t="str">
            <v xml:space="preserve"> </v>
          </cell>
          <cell r="L18">
            <v>-0.21511528555909543</v>
          </cell>
          <cell r="M18" t="str">
            <v xml:space="preserve"> </v>
          </cell>
          <cell r="N18">
            <v>-0.23053028901928463</v>
          </cell>
          <cell r="O18" t="str">
            <v xml:space="preserve"> </v>
          </cell>
          <cell r="P18">
            <v>-0.22901935009955332</v>
          </cell>
          <cell r="R18">
            <v>-2.9752889353380829E-2</v>
          </cell>
          <cell r="T18">
            <v>9.9586723843662961E-2</v>
          </cell>
          <cell r="U18" t="str">
            <v xml:space="preserve"> </v>
          </cell>
          <cell r="V18">
            <v>0.28047721276281923</v>
          </cell>
          <cell r="W18" t="str">
            <v xml:space="preserve"> </v>
          </cell>
          <cell r="X18">
            <v>0.66377658987654087</v>
          </cell>
          <cell r="Y18" t="str">
            <v xml:space="preserve"> </v>
          </cell>
          <cell r="Z18">
            <v>0.49125863091856958</v>
          </cell>
          <cell r="AB18">
            <v>0.80564159135587676</v>
          </cell>
          <cell r="AC18" t="str">
            <v xml:space="preserve"> </v>
          </cell>
          <cell r="AD18">
            <v>0.37381403365072852</v>
          </cell>
          <cell r="AE18" t="str">
            <v xml:space="preserve"> </v>
          </cell>
          <cell r="AF18">
            <v>0.40048585387613134</v>
          </cell>
          <cell r="AG18" t="str">
            <v xml:space="preserve"> </v>
          </cell>
          <cell r="AH18">
            <v>0.16648185611863986</v>
          </cell>
          <cell r="AJ18">
            <v>0.11667051769580539</v>
          </cell>
          <cell r="AK18" t="str">
            <v xml:space="preserve"> </v>
          </cell>
          <cell r="AL18">
            <v>0.29003549325690203</v>
          </cell>
          <cell r="AM18" t="str">
            <v xml:space="preserve"> </v>
          </cell>
          <cell r="AN18">
            <v>0.24363032993804135</v>
          </cell>
          <cell r="AO18" t="str">
            <v xml:space="preserve"> </v>
          </cell>
          <cell r="AP18">
            <v>0.47312787690997804</v>
          </cell>
          <cell r="AR18">
            <v>0.46178112746989125</v>
          </cell>
          <cell r="AT18">
            <v>0.56180765175695813</v>
          </cell>
          <cell r="AU18" t="str">
            <v xml:space="preserve"> </v>
          </cell>
          <cell r="AV18">
            <v>0.38821774485220661</v>
          </cell>
          <cell r="AW18" t="str">
            <v xml:space="preserve"> </v>
          </cell>
          <cell r="AX18">
            <v>0.18052714023467109</v>
          </cell>
          <cell r="AZ18">
            <v>0.13622006533054556</v>
          </cell>
          <cell r="BB18">
            <v>0.14578439894702422</v>
          </cell>
          <cell r="BC18" t="str">
            <v xml:space="preserve"> </v>
          </cell>
          <cell r="BD18">
            <v>8.0790767481750514E-2</v>
          </cell>
          <cell r="BE18" t="str">
            <v xml:space="preserve"> </v>
          </cell>
          <cell r="BF18">
            <v>0.17893310819550878</v>
          </cell>
          <cell r="BH18">
            <v>0.16121968704370218</v>
          </cell>
          <cell r="BJ18">
            <v>0.17812613916550202</v>
          </cell>
          <cell r="BK18" t="str">
            <v xml:space="preserve"> </v>
          </cell>
          <cell r="BL18">
            <v>0.12108731181208254</v>
          </cell>
          <cell r="BM18" t="str">
            <v xml:space="preserve"> </v>
          </cell>
          <cell r="BN18">
            <v>0.16005516662065489</v>
          </cell>
          <cell r="BP18">
            <v>7.288187063468031E-3</v>
          </cell>
          <cell r="BR18">
            <v>-7.9980453028467569E-2</v>
          </cell>
          <cell r="BS18" t="str">
            <v xml:space="preserve"> </v>
          </cell>
          <cell r="BT18">
            <v>-0.10304381463450767</v>
          </cell>
          <cell r="BU18" t="str">
            <v xml:space="preserve"> </v>
          </cell>
          <cell r="BV18">
            <v>2.1232020616732451E-2</v>
          </cell>
          <cell r="BX18">
            <v>5.6393393496395681E-2</v>
          </cell>
          <cell r="BZ18">
            <v>0.13146844688675091</v>
          </cell>
          <cell r="CB18">
            <v>0.30771951466202685</v>
          </cell>
          <cell r="CC18" t="str">
            <v xml:space="preserve"> </v>
          </cell>
          <cell r="CD18">
            <v>0.21125257356454341</v>
          </cell>
          <cell r="CE18" t="str">
            <v xml:space="preserve"> </v>
          </cell>
          <cell r="CF18">
            <v>0.29001944152917103</v>
          </cell>
          <cell r="CG18" t="str">
            <v xml:space="preserve"> </v>
          </cell>
          <cell r="CH18">
            <v>0.38548824619055</v>
          </cell>
          <cell r="CI18" t="str">
            <v xml:space="preserve"> </v>
          </cell>
          <cell r="CJ18">
            <v>0.40619186660240025</v>
          </cell>
          <cell r="CL18">
            <v>0.34553694844227412</v>
          </cell>
          <cell r="CN18">
            <v>0.37962327669809576</v>
          </cell>
          <cell r="CP18">
            <v>0.35618721226234096</v>
          </cell>
          <cell r="CR18">
            <v>0.36942583886439451</v>
          </cell>
          <cell r="CS18" t="str">
            <v xml:space="preserve"> </v>
          </cell>
          <cell r="CT18">
            <v>0.39010301081746768</v>
          </cell>
          <cell r="CU18" t="str">
            <v xml:space="preserve"> </v>
          </cell>
          <cell r="CV18">
            <v>0.32623364337239269</v>
          </cell>
          <cell r="CW18" t="str">
            <v xml:space="preserve"> </v>
          </cell>
          <cell r="CX18">
            <v>0.3097089154926897</v>
          </cell>
          <cell r="CY18" t="str">
            <v xml:space="preserve"> </v>
          </cell>
          <cell r="CZ18">
            <v>0.36068627145483556</v>
          </cell>
          <cell r="DB18">
            <v>0.3707551240481109</v>
          </cell>
          <cell r="DD18">
            <v>0.34229362007505792</v>
          </cell>
          <cell r="DF18">
            <v>0.55298947492555839</v>
          </cell>
          <cell r="DG18" t="str">
            <v xml:space="preserve"> </v>
          </cell>
          <cell r="DH18">
            <v>0.53197837220092037</v>
          </cell>
          <cell r="DI18" t="str">
            <v xml:space="preserve"> </v>
          </cell>
          <cell r="DJ18">
            <v>0.28177112383083314</v>
          </cell>
          <cell r="DL18">
            <v>0.21217734492704854</v>
          </cell>
          <cell r="DN18">
            <v>7.0353871840701077E-2</v>
          </cell>
          <cell r="DO18" t="str">
            <v xml:space="preserve"> </v>
          </cell>
          <cell r="DP18">
            <v>-8.2404293032651843E-2</v>
          </cell>
          <cell r="DQ18" t="str">
            <v xml:space="preserve"> </v>
          </cell>
          <cell r="DR18">
            <v>-2.7871551177248377E-2</v>
          </cell>
          <cell r="DT18">
            <v>-9.4464804043528416E-2</v>
          </cell>
          <cell r="DV18">
            <v>-0.15176528596107253</v>
          </cell>
          <cell r="DW18" t="str">
            <v xml:space="preserve"> </v>
          </cell>
          <cell r="DX18">
            <v>-2.1191773658241542E-2</v>
          </cell>
          <cell r="DZ18">
            <v>-5.4364815074004369E-2</v>
          </cell>
          <cell r="EA18" t="str">
            <v xml:space="preserve"> </v>
          </cell>
          <cell r="EB18">
            <v>-1.4771638454169622E-3</v>
          </cell>
          <cell r="ED18">
            <v>7.6664924202822782E-2</v>
          </cell>
          <cell r="EE18" t="str">
            <v xml:space="preserve"> </v>
          </cell>
          <cell r="EF18">
            <v>-6.9707828004410555E-3</v>
          </cell>
          <cell r="EH18">
            <v>4.1416853778124318E-2</v>
          </cell>
          <cell r="EI18" t="str">
            <v xml:space="preserve"> </v>
          </cell>
          <cell r="EJ18">
            <v>5.421614489624571E-2</v>
          </cell>
          <cell r="EL18">
            <v>6.7506287445500801E-2</v>
          </cell>
          <cell r="EM18" t="str">
            <v xml:space="preserve"> </v>
          </cell>
          <cell r="EN18">
            <v>3.4406506953561733E-2</v>
          </cell>
          <cell r="EP18">
            <v>6.8604346226752044E-2</v>
          </cell>
          <cell r="EQ18" t="str">
            <v xml:space="preserve"> </v>
          </cell>
          <cell r="ES18" t="str">
            <v xml:space="preserve">  % Change</v>
          </cell>
          <cell r="ET18">
            <v>3.9898290258328029E-2</v>
          </cell>
          <cell r="EV18">
            <v>-8.1247361447812416E-2</v>
          </cell>
          <cell r="EX18">
            <v>2.485729585616836E-2</v>
          </cell>
          <cell r="EZ18">
            <v>5.6134082336212865E-2</v>
          </cell>
          <cell r="FB18">
            <v>9.0526315789473788E-2</v>
          </cell>
          <cell r="FE18" t="str">
            <v xml:space="preserve">  % Change</v>
          </cell>
          <cell r="FF18">
            <v>-8.8548718828754147E-2</v>
          </cell>
          <cell r="FH18">
            <v>-3.3108031854326425E-3</v>
          </cell>
          <cell r="FJ18">
            <v>3.9221467601509463E-2</v>
          </cell>
          <cell r="FL18">
            <v>0.14890325587316089</v>
          </cell>
        </row>
        <row r="19">
          <cell r="A19" t="str">
            <v>Cost of Goods Sold</v>
          </cell>
          <cell r="C19">
            <v>182.27</v>
          </cell>
          <cell r="D19">
            <v>221.63800000000001</v>
          </cell>
          <cell r="E19">
            <v>0.67632770637274642</v>
          </cell>
          <cell r="F19">
            <v>160.39400000000001</v>
          </cell>
          <cell r="G19">
            <v>0.67418497906753883</v>
          </cell>
          <cell r="H19">
            <v>177.84100000000001</v>
          </cell>
          <cell r="I19">
            <v>0.68756065028706204</v>
          </cell>
          <cell r="J19">
            <v>163.05000000000001</v>
          </cell>
          <cell r="K19">
            <v>0.66564333274818233</v>
          </cell>
          <cell r="L19">
            <v>173.39599999999999</v>
          </cell>
          <cell r="M19">
            <v>0.6741338890336025</v>
          </cell>
          <cell r="N19">
            <v>126.31399999999999</v>
          </cell>
          <cell r="O19">
            <v>0.6900028951781626</v>
          </cell>
          <cell r="P19">
            <v>138.749</v>
          </cell>
          <cell r="Q19">
            <v>0.69576968979731013</v>
          </cell>
          <cell r="R19">
            <v>158.203</v>
          </cell>
          <cell r="S19">
            <v>0.66566104105392931</v>
          </cell>
          <cell r="T19">
            <v>187.42599999999999</v>
          </cell>
          <cell r="U19">
            <v>0.66268544839973398</v>
          </cell>
          <cell r="V19">
            <v>163.465</v>
          </cell>
          <cell r="W19">
            <v>0.69735247943756185</v>
          </cell>
          <cell r="X19">
            <v>225.39</v>
          </cell>
          <cell r="Y19">
            <v>0.67932137184398411</v>
          </cell>
          <cell r="Z19">
            <v>227.09899999999999</v>
          </cell>
          <cell r="AA19">
            <v>0.64076779612716084</v>
          </cell>
          <cell r="AB19">
            <v>325.14999999999998</v>
          </cell>
          <cell r="AC19">
            <v>0.6366926056324238</v>
          </cell>
          <cell r="AD19">
            <v>205.11099999999999</v>
          </cell>
          <cell r="AE19">
            <v>0.6369254082656125</v>
          </cell>
          <cell r="AF19">
            <v>292.92399999999998</v>
          </cell>
          <cell r="AG19">
            <v>0.63040095725289069</v>
          </cell>
          <cell r="AH19">
            <v>251.64599999999999</v>
          </cell>
          <cell r="AI19">
            <v>0.60869186616064497</v>
          </cell>
          <cell r="AJ19">
            <v>374.37299999999999</v>
          </cell>
          <cell r="AK19">
            <v>0.65648607321469898</v>
          </cell>
          <cell r="AL19">
            <v>281.65800000000002</v>
          </cell>
          <cell r="AM19">
            <v>0.67798495067808617</v>
          </cell>
          <cell r="AN19">
            <v>357.92899999999997</v>
          </cell>
          <cell r="AO19">
            <v>0.6193947071048973</v>
          </cell>
          <cell r="AP19">
            <v>370.21199999999999</v>
          </cell>
          <cell r="AQ19">
            <v>0.60787951830968334</v>
          </cell>
          <cell r="AR19">
            <v>521.87</v>
          </cell>
          <cell r="AS19">
            <v>0.62603840898648888</v>
          </cell>
          <cell r="AT19">
            <v>406.755</v>
          </cell>
          <cell r="AU19">
            <v>0.62690728513565985</v>
          </cell>
          <cell r="AV19">
            <v>496.173</v>
          </cell>
          <cell r="AW19">
            <v>0.61850916470541306</v>
          </cell>
          <cell r="AX19">
            <v>425.73200000000003</v>
          </cell>
          <cell r="AY19">
            <v>0.59214400660948296</v>
          </cell>
          <cell r="AZ19">
            <v>580.58600000000001</v>
          </cell>
          <cell r="BA19">
            <v>0.61297498524538063</v>
          </cell>
          <cell r="BB19">
            <v>455.43799999999999</v>
          </cell>
          <cell r="BC19">
            <v>0.61262790600699213</v>
          </cell>
          <cell r="BD19">
            <v>532.57299999999998</v>
          </cell>
          <cell r="BE19">
            <v>0.61425758835734856</v>
          </cell>
          <cell r="BF19">
            <v>520.49199999999996</v>
          </cell>
          <cell r="BG19">
            <v>0.61406725231060355</v>
          </cell>
          <cell r="BH19">
            <v>666.66300000000001</v>
          </cell>
          <cell r="BI19">
            <v>0.60613331490677913</v>
          </cell>
          <cell r="BJ19">
            <v>529.60400000000004</v>
          </cell>
          <cell r="BK19">
            <v>0.60468191071646737</v>
          </cell>
          <cell r="BL19">
            <v>596.02300000000002</v>
          </cell>
          <cell r="BM19">
            <v>0.61318986341619997</v>
          </cell>
          <cell r="BN19">
            <v>594.70299999999997</v>
          </cell>
          <cell r="BO19">
            <v>0.60481613051839822</v>
          </cell>
          <cell r="BP19">
            <v>667.80700000000002</v>
          </cell>
          <cell r="BQ19">
            <v>0.60278027002973245</v>
          </cell>
          <cell r="BR19">
            <v>496.12799999999999</v>
          </cell>
          <cell r="BS19">
            <v>0.61570460753373402</v>
          </cell>
          <cell r="BT19">
            <v>537.06600000000003</v>
          </cell>
          <cell r="BU19">
            <v>0.61601087349242123</v>
          </cell>
          <cell r="BV19">
            <v>600.42200000000003</v>
          </cell>
          <cell r="BW19">
            <v>0.59793697393632073</v>
          </cell>
          <cell r="BX19">
            <v>700.447</v>
          </cell>
          <cell r="BY19">
            <v>0.59849105613254094</v>
          </cell>
          <cell r="BZ19">
            <v>746.91399999999999</v>
          </cell>
          <cell r="CA19">
            <v>0.59584899910572475</v>
          </cell>
          <cell r="CB19">
            <v>640.03099999999995</v>
          </cell>
          <cell r="CC19">
            <v>0.60738641000772486</v>
          </cell>
          <cell r="CD19">
            <v>599.38499999999999</v>
          </cell>
          <cell r="CE19">
            <v>0.61411516638081021</v>
          </cell>
          <cell r="CF19">
            <v>678.404</v>
          </cell>
          <cell r="CG19">
            <v>0.60318823647613529</v>
          </cell>
          <cell r="CH19">
            <v>720.548</v>
          </cell>
          <cell r="CI19">
            <v>0.59651420486766216</v>
          </cell>
          <cell r="CJ19">
            <v>846.39800000000002</v>
          </cell>
          <cell r="CK19">
            <v>0.59941672875195828</v>
          </cell>
          <cell r="CL19">
            <v>816.76800000000003</v>
          </cell>
          <cell r="CM19">
            <v>0.6045077857110609</v>
          </cell>
          <cell r="CN19">
            <v>967.52200000000005</v>
          </cell>
          <cell r="CO19">
            <v>0.59921506160162374</v>
          </cell>
          <cell r="CP19">
            <v>1013.379</v>
          </cell>
          <cell r="CQ19">
            <v>0.59609828119669184</v>
          </cell>
          <cell r="CR19">
            <v>875.44600000000003</v>
          </cell>
          <cell r="CS19">
            <v>0.60667333320859551</v>
          </cell>
          <cell r="CT19">
            <v>828.12900000000002</v>
          </cell>
          <cell r="CU19">
            <v>0.61037250508564533</v>
          </cell>
          <cell r="CV19">
            <v>902.37599999999998</v>
          </cell>
          <cell r="CW19">
            <v>0.60496738090561142</v>
          </cell>
          <cell r="CX19">
            <v>953.31600000000003</v>
          </cell>
          <cell r="CY19">
            <v>0.60258729562753854</v>
          </cell>
          <cell r="CZ19">
            <v>1161.402</v>
          </cell>
          <cell r="DA19">
            <v>0.60447563104461577</v>
          </cell>
          <cell r="DB19">
            <v>1120.5530000000001</v>
          </cell>
          <cell r="DC19">
            <v>0.60502832780887517</v>
          </cell>
          <cell r="DD19">
            <v>1335.1189999999999</v>
          </cell>
          <cell r="DE19">
            <v>0.58508426653625045</v>
          </cell>
          <cell r="DF19">
            <v>1246.4289999999999</v>
          </cell>
          <cell r="DG19">
            <v>0.59155618751287342</v>
          </cell>
          <cell r="DH19">
            <v>1398.8489999999999</v>
          </cell>
          <cell r="DI19">
            <v>0.57716673378312355</v>
          </cell>
          <cell r="DJ19">
            <v>1384.596</v>
          </cell>
          <cell r="DK19">
            <v>0.58325154196044871</v>
          </cell>
          <cell r="DL19">
            <v>1621.665</v>
          </cell>
          <cell r="DM19">
            <v>0.58626426602952386</v>
          </cell>
          <cell r="DN19">
            <v>1365.2639999999999</v>
          </cell>
          <cell r="DO19">
            <v>0.60536556122720453</v>
          </cell>
          <cell r="DP19">
            <v>1383.9269999999999</v>
          </cell>
          <cell r="DQ19">
            <v>0.62228920077934147</v>
          </cell>
          <cell r="DR19">
            <v>1510.1130000000001</v>
          </cell>
          <cell r="DS19">
            <v>0.6543628218000046</v>
          </cell>
          <cell r="DT19">
            <v>1505.3999999999999</v>
          </cell>
          <cell r="DU19">
            <v>0.60100606834877024</v>
          </cell>
          <cell r="DV19">
            <v>1184.8</v>
          </cell>
          <cell r="DW19">
            <v>0.61934134866701518</v>
          </cell>
          <cell r="DX19">
            <v>1315.7</v>
          </cell>
          <cell r="DY19">
            <v>0.60441933112826163</v>
          </cell>
          <cell r="DZ19">
            <v>1258.8000000000002</v>
          </cell>
          <cell r="EA19">
            <v>0.57682261833845028</v>
          </cell>
          <cell r="EB19">
            <v>1473.1000000000001</v>
          </cell>
          <cell r="EC19">
            <v>0.58898084842669229</v>
          </cell>
          <cell r="ED19">
            <v>1188.2</v>
          </cell>
          <cell r="EE19">
            <v>0.57689133157899852</v>
          </cell>
          <cell r="EF19">
            <v>1230.4000000000001</v>
          </cell>
          <cell r="EG19">
            <v>0.56920114765458962</v>
          </cell>
          <cell r="EH19">
            <v>1288.5</v>
          </cell>
          <cell r="EI19">
            <v>0.5669507947431317</v>
          </cell>
          <cell r="EJ19">
            <v>1516.8</v>
          </cell>
          <cell r="EK19">
            <v>0.57526453521447263</v>
          </cell>
          <cell r="EL19">
            <v>1272.3999999999999</v>
          </cell>
          <cell r="EM19">
            <v>0.57870559876290539</v>
          </cell>
          <cell r="EN19">
            <v>1324</v>
          </cell>
          <cell r="EO19">
            <v>0.59212880143112701</v>
          </cell>
          <cell r="EP19">
            <v>1386.8</v>
          </cell>
          <cell r="EQ19">
            <v>0.57102857613439828</v>
          </cell>
          <cell r="ES19" t="str">
            <v>Cost of Goods Sold</v>
          </cell>
          <cell r="ET19">
            <v>5880.9690000000001</v>
          </cell>
          <cell r="EU19">
            <v>0.61561095443648917</v>
          </cell>
          <cell r="EV19">
            <v>5264.7</v>
          </cell>
          <cell r="EW19">
            <v>0.59983593296038473</v>
          </cell>
          <cell r="EX19">
            <v>5180.2000000000007</v>
          </cell>
          <cell r="EY19">
            <v>0.57589323929663694</v>
          </cell>
          <cell r="EZ19">
            <v>5500</v>
          </cell>
          <cell r="FA19">
            <v>0.57894736842105265</v>
          </cell>
          <cell r="FB19">
            <v>5920</v>
          </cell>
          <cell r="FC19">
            <v>0.5714285714285714</v>
          </cell>
          <cell r="FE19" t="str">
            <v>Cost of Goods Sold</v>
          </cell>
          <cell r="FF19">
            <v>5584.24</v>
          </cell>
          <cell r="FG19">
            <v>0.62397298617016173</v>
          </cell>
          <cell r="FH19">
            <v>5235.8</v>
          </cell>
          <cell r="FI19">
            <v>0.58698230689719344</v>
          </cell>
          <cell r="FJ19">
            <v>5308.0999999999995</v>
          </cell>
          <cell r="FK19">
            <v>0.57262848568078173</v>
          </cell>
          <cell r="FL19">
            <v>6080</v>
          </cell>
          <cell r="FM19">
            <v>0.5708920187793427</v>
          </cell>
        </row>
        <row r="20">
          <cell r="A20" t="str">
            <v>Depreciation/Amortization</v>
          </cell>
          <cell r="DD20">
            <v>27</v>
          </cell>
          <cell r="DE20">
            <v>1.1832110243715178E-2</v>
          </cell>
          <cell r="DF20">
            <v>31.199000000000002</v>
          </cell>
          <cell r="DG20">
            <v>1.4807070033041707E-2</v>
          </cell>
          <cell r="DH20">
            <v>36.578000000000003</v>
          </cell>
          <cell r="DI20">
            <v>1.5092125589194471E-2</v>
          </cell>
          <cell r="DJ20">
            <v>43.222999999999999</v>
          </cell>
          <cell r="DK20">
            <v>1.8207391468815792E-2</v>
          </cell>
          <cell r="DL20">
            <v>43.8</v>
          </cell>
          <cell r="DM20">
            <v>1.5834574250596235E-2</v>
          </cell>
          <cell r="DN20">
            <v>44.258000000000003</v>
          </cell>
          <cell r="DO20">
            <v>1.9624240446385183E-2</v>
          </cell>
          <cell r="DP20">
            <v>44.921999999999997</v>
          </cell>
          <cell r="DQ20">
            <v>2.0199385861688932E-2</v>
          </cell>
          <cell r="DR20">
            <v>51.52</v>
          </cell>
          <cell r="DS20">
            <v>2.2324668802358658E-2</v>
          </cell>
          <cell r="DT20">
            <v>57.2</v>
          </cell>
          <cell r="DU20">
            <v>2.2836154583200256E-2</v>
          </cell>
          <cell r="DV20">
            <v>44.8</v>
          </cell>
          <cell r="DW20">
            <v>2.3418714061683218E-2</v>
          </cell>
          <cell r="DX20">
            <v>49.2</v>
          </cell>
          <cell r="DY20">
            <v>2.2601984564498346E-2</v>
          </cell>
          <cell r="DZ20">
            <v>77.599999999999994</v>
          </cell>
          <cell r="EA20">
            <v>3.5558814095220631E-2</v>
          </cell>
          <cell r="EB20">
            <v>61.6</v>
          </cell>
          <cell r="EC20">
            <v>2.462916316820599E-2</v>
          </cell>
          <cell r="ED20">
            <v>49.800000000000004</v>
          </cell>
          <cell r="EE20">
            <v>2.4178747948690564E-2</v>
          </cell>
          <cell r="EF20">
            <v>56.000000000000007</v>
          </cell>
          <cell r="EG20">
            <v>2.5906424145527487E-2</v>
          </cell>
          <cell r="EH20">
            <v>56.2</v>
          </cell>
          <cell r="EI20">
            <v>2.4728470830084601E-2</v>
          </cell>
          <cell r="EJ20">
            <v>52.4</v>
          </cell>
          <cell r="EK20">
            <v>1.9873326506618123E-2</v>
          </cell>
          <cell r="EL20">
            <v>54.9</v>
          </cell>
          <cell r="EM20">
            <v>2.4969300040933281E-2</v>
          </cell>
          <cell r="EN20">
            <v>56</v>
          </cell>
          <cell r="EO20">
            <v>2.5044722719141325E-2</v>
          </cell>
          <cell r="EP20">
            <v>56.7</v>
          </cell>
          <cell r="EQ20">
            <v>2.334678415548052E-2</v>
          </cell>
          <cell r="ET20">
            <v>184.5</v>
          </cell>
          <cell r="EU20">
            <v>1.9313181398088009E-2</v>
          </cell>
          <cell r="EV20">
            <v>228.79999999999998</v>
          </cell>
          <cell r="EW20">
            <v>2.6068429627772907E-2</v>
          </cell>
          <cell r="EX20">
            <v>223.60000000000002</v>
          </cell>
          <cell r="EY20">
            <v>2.4858061137934446E-2</v>
          </cell>
          <cell r="EZ20">
            <v>220</v>
          </cell>
          <cell r="FA20">
            <v>2.3157894736842106E-2</v>
          </cell>
          <cell r="FB20">
            <v>280</v>
          </cell>
          <cell r="FC20">
            <v>2.7027027027027029E-2</v>
          </cell>
          <cell r="FE20" t="str">
            <v>Depreciation/Amortization</v>
          </cell>
          <cell r="FF20">
            <v>198.44200000000001</v>
          </cell>
          <cell r="FG20">
            <v>2.2173554023748845E-2</v>
          </cell>
          <cell r="FH20">
            <v>238.20000000000002</v>
          </cell>
          <cell r="FI20">
            <v>2.6704455002656991E-2</v>
          </cell>
          <cell r="FJ20">
            <v>219.50000000000003</v>
          </cell>
          <cell r="FK20">
            <v>2.3679273677385808E-2</v>
          </cell>
          <cell r="FL20">
            <v>320</v>
          </cell>
          <cell r="FM20">
            <v>3.0046948356807511E-2</v>
          </cell>
        </row>
        <row r="21">
          <cell r="A21" t="str">
            <v>Gross Profit</v>
          </cell>
          <cell r="C21">
            <v>74.867999999999967</v>
          </cell>
          <cell r="D21">
            <v>106.07000000000002</v>
          </cell>
          <cell r="E21">
            <v>0.32367229362725358</v>
          </cell>
          <cell r="F21">
            <v>77.513999999999982</v>
          </cell>
          <cell r="G21">
            <v>0.32581502093246123</v>
          </cell>
          <cell r="H21">
            <v>80.813999999999965</v>
          </cell>
          <cell r="I21">
            <v>0.31243934971293796</v>
          </cell>
          <cell r="J21">
            <v>81.900999999999982</v>
          </cell>
          <cell r="K21">
            <v>0.33435666725181762</v>
          </cell>
          <cell r="L21">
            <v>83.816999999999979</v>
          </cell>
          <cell r="M21">
            <v>0.32586611096639745</v>
          </cell>
          <cell r="N21">
            <v>56.749000000000024</v>
          </cell>
          <cell r="O21">
            <v>0.3099971048218374</v>
          </cell>
          <cell r="P21">
            <v>60.669000000000011</v>
          </cell>
          <cell r="Q21">
            <v>0.30423031020268987</v>
          </cell>
          <cell r="R21">
            <v>79.460000000000008</v>
          </cell>
          <cell r="S21">
            <v>0.33433895894607074</v>
          </cell>
          <cell r="T21">
            <v>95.402000000000044</v>
          </cell>
          <cell r="U21">
            <v>0.33731455160026602</v>
          </cell>
          <cell r="V21">
            <v>70.943000000000012</v>
          </cell>
          <cell r="W21">
            <v>0.30264752056243815</v>
          </cell>
          <cell r="X21">
            <v>106.39700000000005</v>
          </cell>
          <cell r="Y21">
            <v>0.32067862815601589</v>
          </cell>
          <cell r="Z21">
            <v>127.31800000000004</v>
          </cell>
          <cell r="AA21">
            <v>0.35923220387283916</v>
          </cell>
          <cell r="AB21">
            <v>185.536</v>
          </cell>
          <cell r="AC21">
            <v>0.3633073943675762</v>
          </cell>
          <cell r="AD21">
            <v>116.92200000000003</v>
          </cell>
          <cell r="AE21">
            <v>0.36307459173438755</v>
          </cell>
          <cell r="AF21">
            <v>171.73900000000003</v>
          </cell>
          <cell r="AG21">
            <v>0.36959904274710925</v>
          </cell>
          <cell r="AH21">
            <v>161.77500000000001</v>
          </cell>
          <cell r="AI21">
            <v>0.39130813383935509</v>
          </cell>
          <cell r="AJ21">
            <v>195.89500000000004</v>
          </cell>
          <cell r="AK21">
            <v>0.34351392678530102</v>
          </cell>
          <cell r="AL21">
            <v>133.77599999999995</v>
          </cell>
          <cell r="AM21">
            <v>0.32201504932191388</v>
          </cell>
          <cell r="AN21">
            <v>219.94000000000017</v>
          </cell>
          <cell r="AO21">
            <v>0.3806052928951027</v>
          </cell>
          <cell r="AP21">
            <v>238.81000000000006</v>
          </cell>
          <cell r="AQ21">
            <v>0.39212048169031666</v>
          </cell>
          <cell r="AR21">
            <v>311.73699999999997</v>
          </cell>
          <cell r="AS21">
            <v>0.37396159101351112</v>
          </cell>
          <cell r="AT21">
            <v>242.07300000000009</v>
          </cell>
          <cell r="AU21">
            <v>0.37309271486434009</v>
          </cell>
          <cell r="AV21">
            <v>306.03499999999997</v>
          </cell>
          <cell r="AW21">
            <v>0.38149083529458694</v>
          </cell>
          <cell r="AX21">
            <v>293.23499999999984</v>
          </cell>
          <cell r="AY21">
            <v>0.40785599339051709</v>
          </cell>
          <cell r="AZ21">
            <v>366.57500000000005</v>
          </cell>
          <cell r="BA21">
            <v>0.38702501475461937</v>
          </cell>
          <cell r="BB21">
            <v>287.97899999999993</v>
          </cell>
          <cell r="BC21">
            <v>0.38737209399300793</v>
          </cell>
          <cell r="BD21">
            <v>334.44600000000003</v>
          </cell>
          <cell r="BE21">
            <v>0.38574241164265144</v>
          </cell>
          <cell r="BF21">
            <v>327.12200000000018</v>
          </cell>
          <cell r="BG21">
            <v>0.3859327476893965</v>
          </cell>
          <cell r="BH21">
            <v>433.19900000000007</v>
          </cell>
          <cell r="BI21">
            <v>0.39386668509322081</v>
          </cell>
          <cell r="BJ21">
            <v>346.2349999999999</v>
          </cell>
          <cell r="BK21">
            <v>0.39531808928353263</v>
          </cell>
          <cell r="BL21">
            <v>375.98099999999999</v>
          </cell>
          <cell r="BM21">
            <v>0.38681013658380003</v>
          </cell>
          <cell r="BN21">
            <v>388.57599999999991</v>
          </cell>
          <cell r="BO21">
            <v>0.39518386948160183</v>
          </cell>
          <cell r="BP21">
            <v>440.07100000000014</v>
          </cell>
          <cell r="BQ21">
            <v>0.39721972997026755</v>
          </cell>
          <cell r="BR21">
            <v>309.661</v>
          </cell>
          <cell r="BS21">
            <v>0.38429539246626598</v>
          </cell>
          <cell r="BT21">
            <v>334.779</v>
          </cell>
          <cell r="BU21">
            <v>0.38398912650757872</v>
          </cell>
          <cell r="BV21">
            <v>403.73399999999992</v>
          </cell>
          <cell r="BW21">
            <v>0.40206302606367927</v>
          </cell>
          <cell r="BX21">
            <v>469.90800000000002</v>
          </cell>
          <cell r="BY21">
            <v>0.401508943867459</v>
          </cell>
          <cell r="BZ21">
            <v>506.61500000000001</v>
          </cell>
          <cell r="CA21">
            <v>0.4041510008942753</v>
          </cell>
          <cell r="CB21">
            <v>413.71499999999992</v>
          </cell>
          <cell r="CC21">
            <v>0.39261358999227514</v>
          </cell>
          <cell r="CD21">
            <v>376.62899999999991</v>
          </cell>
          <cell r="CE21">
            <v>0.38588483361918985</v>
          </cell>
          <cell r="CF21">
            <v>446.29300000000012</v>
          </cell>
          <cell r="CG21">
            <v>0.39681176352386471</v>
          </cell>
          <cell r="CH21">
            <v>487.38300000000004</v>
          </cell>
          <cell r="CI21">
            <v>0.4034857951323379</v>
          </cell>
          <cell r="CJ21">
            <v>565.63799999999981</v>
          </cell>
          <cell r="CK21">
            <v>0.40058327124804177</v>
          </cell>
          <cell r="CL21">
            <v>534.3610000000001</v>
          </cell>
          <cell r="CM21">
            <v>0.39549221428893916</v>
          </cell>
          <cell r="CN21">
            <v>647.12699999999984</v>
          </cell>
          <cell r="CO21">
            <v>0.40078493839837631</v>
          </cell>
          <cell r="CP21">
            <v>686.64099999999996</v>
          </cell>
          <cell r="CQ21">
            <v>0.40390171880330816</v>
          </cell>
          <cell r="CR21">
            <v>567.58100000000002</v>
          </cell>
          <cell r="CS21">
            <v>0.39332666679140443</v>
          </cell>
          <cell r="CT21">
            <v>528.63099999999974</v>
          </cell>
          <cell r="CU21">
            <v>0.38962749491435467</v>
          </cell>
          <cell r="CV21">
            <v>589.23500000000013</v>
          </cell>
          <cell r="CW21">
            <v>0.39503261909438858</v>
          </cell>
          <cell r="CX21">
            <v>628.72200000000021</v>
          </cell>
          <cell r="CY21">
            <v>0.3974127043724614</v>
          </cell>
          <cell r="CZ21">
            <v>759.93599999999992</v>
          </cell>
          <cell r="DA21">
            <v>0.39552436895538418</v>
          </cell>
          <cell r="DB21">
            <v>731.51400000000012</v>
          </cell>
          <cell r="DC21">
            <v>0.39497167219112483</v>
          </cell>
          <cell r="DD21">
            <v>919.80700000000002</v>
          </cell>
          <cell r="DE21">
            <v>0.40308362322003433</v>
          </cell>
          <cell r="DF21">
            <v>829.40600000000029</v>
          </cell>
          <cell r="DG21">
            <v>0.39363674245408486</v>
          </cell>
          <cell r="DH21">
            <v>988.22100000000023</v>
          </cell>
          <cell r="DI21">
            <v>0.40774114062768196</v>
          </cell>
          <cell r="DJ21">
            <v>946.10699999999997</v>
          </cell>
          <cell r="DK21">
            <v>0.39854106657073557</v>
          </cell>
          <cell r="DL21">
            <v>1100.6340000000002</v>
          </cell>
          <cell r="DM21">
            <v>0.39790115971987994</v>
          </cell>
          <cell r="DN21">
            <v>845.75</v>
          </cell>
          <cell r="DO21">
            <v>0.3750101983264103</v>
          </cell>
          <cell r="DP21">
            <v>795.0799999999997</v>
          </cell>
          <cell r="DQ21">
            <v>0.35751141335896958</v>
          </cell>
          <cell r="DR21">
            <v>746.12799999999947</v>
          </cell>
          <cell r="DS21">
            <v>0.32331250939763678</v>
          </cell>
          <cell r="DT21">
            <v>942.20000000000027</v>
          </cell>
          <cell r="DU21">
            <v>0.37615777706802944</v>
          </cell>
          <cell r="DV21">
            <v>683.40000000000009</v>
          </cell>
          <cell r="DW21">
            <v>0.35723993727130166</v>
          </cell>
          <cell r="DX21">
            <v>811.90000000000009</v>
          </cell>
          <cell r="DY21">
            <v>0.37297868430724002</v>
          </cell>
          <cell r="DZ21">
            <v>845.9</v>
          </cell>
          <cell r="EA21">
            <v>0.38761856756632906</v>
          </cell>
          <cell r="EB21">
            <v>966.39999999999975</v>
          </cell>
          <cell r="EC21">
            <v>0.38638998840510169</v>
          </cell>
          <cell r="ED21">
            <v>821.65999999999985</v>
          </cell>
          <cell r="EE21">
            <v>0.39892992047231091</v>
          </cell>
          <cell r="EF21">
            <v>875.22600000000011</v>
          </cell>
          <cell r="EG21">
            <v>0.40489242819988286</v>
          </cell>
          <cell r="EH21">
            <v>927.98400000000061</v>
          </cell>
          <cell r="EI21">
            <v>0.40832073442678363</v>
          </cell>
          <cell r="EJ21">
            <v>1067.4999999999998</v>
          </cell>
          <cell r="EK21">
            <v>0.40486213827890921</v>
          </cell>
          <cell r="EL21">
            <v>871.4</v>
          </cell>
          <cell r="EM21">
            <v>0.39632510119616138</v>
          </cell>
          <cell r="EN21">
            <v>856</v>
          </cell>
          <cell r="EO21">
            <v>0.38282647584973167</v>
          </cell>
          <cell r="EP21">
            <v>985.10000000000036</v>
          </cell>
          <cell r="EQ21">
            <v>0.40562463971012114</v>
          </cell>
          <cell r="ES21" t="str">
            <v>Gross Profit</v>
          </cell>
          <cell r="ET21">
            <v>3487.5919999999996</v>
          </cell>
          <cell r="EU21">
            <v>0.36507586416542304</v>
          </cell>
          <cell r="EV21">
            <v>3283.3999999999978</v>
          </cell>
          <cell r="EW21">
            <v>0.37409563741184232</v>
          </cell>
          <cell r="EX21">
            <v>3591.2700000000009</v>
          </cell>
          <cell r="EY21">
            <v>0.39924869956542863</v>
          </cell>
          <cell r="EZ21">
            <v>3780</v>
          </cell>
          <cell r="FA21">
            <v>0.39789473684210525</v>
          </cell>
          <cell r="FB21">
            <v>4160</v>
          </cell>
          <cell r="FC21">
            <v>0.40154440154440152</v>
          </cell>
          <cell r="FE21" t="str">
            <v>Gross Profit</v>
          </cell>
          <cell r="FF21">
            <v>3166.8079999999995</v>
          </cell>
          <cell r="FG21">
            <v>0.35385345980608957</v>
          </cell>
          <cell r="FH21">
            <v>3445.8600000000006</v>
          </cell>
          <cell r="FI21">
            <v>0.38631323810014961</v>
          </cell>
          <cell r="FJ21">
            <v>3742.1100000000015</v>
          </cell>
          <cell r="FK21">
            <v>0.40369224064183251</v>
          </cell>
          <cell r="FL21">
            <v>4250</v>
          </cell>
          <cell r="FM21">
            <v>0.39906103286384975</v>
          </cell>
        </row>
        <row r="22">
          <cell r="A22" t="str">
            <v>SG&amp;A Expense</v>
          </cell>
          <cell r="C22">
            <v>46.74</v>
          </cell>
          <cell r="D22">
            <v>55.579000000000001</v>
          </cell>
          <cell r="E22">
            <v>0.16959915534561254</v>
          </cell>
          <cell r="F22">
            <v>49.926000000000002</v>
          </cell>
          <cell r="G22">
            <v>0.20985422936597342</v>
          </cell>
          <cell r="H22">
            <v>51.220999999999997</v>
          </cell>
          <cell r="I22">
            <v>0.19802826158396319</v>
          </cell>
          <cell r="J22">
            <v>52.493000000000002</v>
          </cell>
          <cell r="K22">
            <v>0.21430000285771442</v>
          </cell>
          <cell r="L22">
            <v>51.63</v>
          </cell>
          <cell r="M22">
            <v>0.20072857903760699</v>
          </cell>
          <cell r="N22">
            <v>50.301000000000002</v>
          </cell>
          <cell r="O22">
            <v>0.27477425804231331</v>
          </cell>
          <cell r="P22">
            <v>46.548999999999999</v>
          </cell>
          <cell r="Q22">
            <v>0.23342426461001514</v>
          </cell>
          <cell r="R22">
            <v>56.262</v>
          </cell>
          <cell r="S22">
            <v>0.23673015993234117</v>
          </cell>
          <cell r="T22">
            <v>53.546999999999997</v>
          </cell>
          <cell r="U22">
            <v>0.189327082184225</v>
          </cell>
          <cell r="V22">
            <v>53.953000000000003</v>
          </cell>
          <cell r="W22">
            <v>0.23016705914473909</v>
          </cell>
          <cell r="X22">
            <v>60.801000000000002</v>
          </cell>
          <cell r="Y22">
            <v>0.1832531111827769</v>
          </cell>
          <cell r="Z22">
            <v>78.281999999999996</v>
          </cell>
          <cell r="AA22">
            <v>0.22087540947527909</v>
          </cell>
          <cell r="AB22">
            <v>85.721000000000004</v>
          </cell>
          <cell r="AC22">
            <v>0.16785461124839923</v>
          </cell>
          <cell r="AD22">
            <v>76.771000000000001</v>
          </cell>
          <cell r="AE22">
            <v>0.23839482289082173</v>
          </cell>
          <cell r="AF22">
            <v>87.945999999999998</v>
          </cell>
          <cell r="AG22">
            <v>0.18926835147192697</v>
          </cell>
          <cell r="AH22">
            <v>104.387</v>
          </cell>
          <cell r="AI22">
            <v>0.25249564003763719</v>
          </cell>
          <cell r="AJ22">
            <v>101.227</v>
          </cell>
          <cell r="AK22">
            <v>0.17750776827737133</v>
          </cell>
          <cell r="AL22">
            <v>104.14100000000001</v>
          </cell>
          <cell r="AM22">
            <v>0.25068001174675164</v>
          </cell>
          <cell r="AN22">
            <v>114.71599999999999</v>
          </cell>
          <cell r="AO22">
            <v>0.19851558052084464</v>
          </cell>
          <cell r="AP22">
            <v>134.43700000000001</v>
          </cell>
          <cell r="AQ22">
            <v>0.22074243623383064</v>
          </cell>
          <cell r="AR22">
            <v>146.41200000000001</v>
          </cell>
          <cell r="AS22">
            <v>0.17563672090085616</v>
          </cell>
          <cell r="AT22">
            <v>142.99</v>
          </cell>
          <cell r="AU22">
            <v>0.22038198104890663</v>
          </cell>
          <cell r="AV22">
            <v>181.75899999999999</v>
          </cell>
          <cell r="AW22">
            <v>0.22657340739558818</v>
          </cell>
          <cell r="AX22">
            <v>192.9</v>
          </cell>
          <cell r="AY22">
            <v>0.26830160494153421</v>
          </cell>
          <cell r="AZ22">
            <v>172.28399999999999</v>
          </cell>
          <cell r="BA22">
            <v>0.18189515826770736</v>
          </cell>
          <cell r="BB22">
            <v>181.35400000000001</v>
          </cell>
          <cell r="BC22">
            <v>0.24394653337225278</v>
          </cell>
          <cell r="BD22">
            <v>193.69200000000001</v>
          </cell>
          <cell r="BE22">
            <v>0.22339994855937415</v>
          </cell>
          <cell r="BF22">
            <v>214.16800000000001</v>
          </cell>
          <cell r="BG22">
            <v>0.25267161703322499</v>
          </cell>
          <cell r="BH22">
            <v>228.005</v>
          </cell>
          <cell r="BI22">
            <v>0.20730327986601954</v>
          </cell>
          <cell r="BJ22">
            <v>213.542</v>
          </cell>
          <cell r="BK22">
            <v>0.2438142169965028</v>
          </cell>
          <cell r="BL22">
            <v>222.67400000000001</v>
          </cell>
          <cell r="BM22">
            <v>0.22908753461919909</v>
          </cell>
          <cell r="BN22">
            <v>258.04000000000002</v>
          </cell>
          <cell r="BO22">
            <v>0.26242805958430931</v>
          </cell>
          <cell r="BP22">
            <v>239.279</v>
          </cell>
          <cell r="BQ22">
            <v>0.2159795573158777</v>
          </cell>
          <cell r="BR22">
            <v>223.46799999999999</v>
          </cell>
          <cell r="BS22">
            <v>0.27732818392904346</v>
          </cell>
          <cell r="BT22">
            <v>231.285</v>
          </cell>
          <cell r="BU22">
            <v>0.26528224627083941</v>
          </cell>
          <cell r="BV22">
            <v>280.06700000000001</v>
          </cell>
          <cell r="BW22">
            <v>0.27890785893825265</v>
          </cell>
          <cell r="BX22">
            <v>292.29399999999998</v>
          </cell>
          <cell r="BY22">
            <v>0.2497481533380897</v>
          </cell>
          <cell r="BZ22">
            <v>301.38299999999998</v>
          </cell>
          <cell r="CA22">
            <v>0.24042762472986265</v>
          </cell>
          <cell r="CB22">
            <v>268.87299999999999</v>
          </cell>
          <cell r="CC22">
            <v>0.25515921294125909</v>
          </cell>
          <cell r="CD22">
            <v>255.96</v>
          </cell>
          <cell r="CE22">
            <v>0.26225033657304098</v>
          </cell>
          <cell r="CF22">
            <v>278.31099999999998</v>
          </cell>
          <cell r="CG22">
            <v>0.24745420322095635</v>
          </cell>
          <cell r="CH22">
            <v>283.50799999999998</v>
          </cell>
          <cell r="CI22">
            <v>0.2347054591694393</v>
          </cell>
          <cell r="CJ22">
            <v>370.28199999999998</v>
          </cell>
          <cell r="CK22">
            <v>0.2622326909512222</v>
          </cell>
          <cell r="CL22">
            <v>373.48200000000003</v>
          </cell>
          <cell r="CM22">
            <v>0.2764221625026182</v>
          </cell>
          <cell r="CN22">
            <v>359.52499999999998</v>
          </cell>
          <cell r="CO22">
            <v>0.22266449240670882</v>
          </cell>
          <cell r="CP22">
            <v>369.04300000000001</v>
          </cell>
          <cell r="CQ22">
            <v>0.21708156374630888</v>
          </cell>
          <cell r="CR22">
            <v>358.58300000000003</v>
          </cell>
          <cell r="CS22">
            <v>0.24849361792953287</v>
          </cell>
          <cell r="CT22">
            <v>353.71499999999997</v>
          </cell>
          <cell r="CU22">
            <v>0.26070565169963739</v>
          </cell>
          <cell r="CV22">
            <v>382.71699999999998</v>
          </cell>
          <cell r="CW22">
            <v>0.25657963101639769</v>
          </cell>
          <cell r="CX22">
            <v>387.53399999999999</v>
          </cell>
          <cell r="CY22">
            <v>0.24495871780576695</v>
          </cell>
          <cell r="CZ22">
            <v>487.78699999999998</v>
          </cell>
          <cell r="DA22">
            <v>0.25387880737277874</v>
          </cell>
          <cell r="DB22">
            <v>497.70299999999997</v>
          </cell>
          <cell r="DC22">
            <v>0.26872839913458851</v>
          </cell>
          <cell r="DD22">
            <v>529.53700000000003</v>
          </cell>
          <cell r="DE22">
            <v>0.23205704304171129</v>
          </cell>
          <cell r="DF22">
            <v>530.45299999999997</v>
          </cell>
          <cell r="DG22">
            <v>0.2517534126169772</v>
          </cell>
          <cell r="DH22">
            <v>577.57899999999995</v>
          </cell>
          <cell r="DI22">
            <v>0.23830977105586287</v>
          </cell>
          <cell r="DJ22">
            <v>666.13499999999999</v>
          </cell>
          <cell r="DK22">
            <v>0.28060478717533738</v>
          </cell>
          <cell r="DL22">
            <v>658.91600000000005</v>
          </cell>
          <cell r="DM22">
            <v>0.23821128600241712</v>
          </cell>
          <cell r="DN22">
            <v>593.04399999999998</v>
          </cell>
          <cell r="DO22">
            <v>0.26295896902901289</v>
          </cell>
          <cell r="DP22">
            <v>651.37800000000004</v>
          </cell>
          <cell r="DQ22">
            <v>0.2928951418862743</v>
          </cell>
          <cell r="DR22">
            <v>720.47299999999996</v>
          </cell>
          <cell r="DS22">
            <v>0.31219567364211465</v>
          </cell>
          <cell r="DT22">
            <v>652.6</v>
          </cell>
          <cell r="DU22">
            <v>0.26053976365378473</v>
          </cell>
          <cell r="DV22">
            <v>531.9</v>
          </cell>
          <cell r="DW22">
            <v>0.27804495556717196</v>
          </cell>
          <cell r="DX22">
            <v>569.79999999999995</v>
          </cell>
          <cell r="DY22">
            <v>0.26176038221242187</v>
          </cell>
          <cell r="DZ22">
            <v>672.3</v>
          </cell>
          <cell r="EA22">
            <v>0.30806946799248497</v>
          </cell>
          <cell r="EB22">
            <v>626.5</v>
          </cell>
          <cell r="EC22">
            <v>0.25048978449482229</v>
          </cell>
          <cell r="ED22">
            <v>624.79999999999995</v>
          </cell>
          <cell r="EE22">
            <v>0.30335103852092093</v>
          </cell>
          <cell r="EF22">
            <v>632.4</v>
          </cell>
          <cell r="EG22">
            <v>0.2925575469577068</v>
          </cell>
          <cell r="EH22">
            <v>722.7</v>
          </cell>
          <cell r="EI22">
            <v>0.31799405460679964</v>
          </cell>
          <cell r="EJ22">
            <v>701.1</v>
          </cell>
          <cell r="EK22">
            <v>0.26590055751507569</v>
          </cell>
          <cell r="EL22">
            <v>673.1</v>
          </cell>
          <cell r="EM22">
            <v>0.30613544367126033</v>
          </cell>
          <cell r="EN22">
            <v>686</v>
          </cell>
          <cell r="EO22">
            <v>0.30679785330948123</v>
          </cell>
          <cell r="EP22">
            <v>750.8</v>
          </cell>
          <cell r="EQ22">
            <v>0.30914930412583375</v>
          </cell>
          <cell r="ES22" t="str">
            <v>SG&amp;A Expense</v>
          </cell>
          <cell r="ET22">
            <v>2623.8110000000001</v>
          </cell>
          <cell r="EU22">
            <v>0.27465657342709321</v>
          </cell>
          <cell r="EV22">
            <v>2426.6</v>
          </cell>
          <cell r="EW22">
            <v>0.27647574884070691</v>
          </cell>
          <cell r="EX22">
            <v>2606.3999999999996</v>
          </cell>
          <cell r="EY22">
            <v>0.28975872338958997</v>
          </cell>
          <cell r="EZ22">
            <v>2811</v>
          </cell>
          <cell r="FA22">
            <v>0.29589473684210527</v>
          </cell>
          <cell r="FB22">
            <v>3080</v>
          </cell>
          <cell r="FC22">
            <v>0.29729729729729731</v>
          </cell>
          <cell r="FE22" t="str">
            <v>SG&amp;A Expense</v>
          </cell>
          <cell r="FF22">
            <v>2556.3510000000001</v>
          </cell>
          <cell r="FG22">
            <v>0.28564208686751991</v>
          </cell>
          <cell r="FH22">
            <v>2493.3999999999996</v>
          </cell>
          <cell r="FI22">
            <v>0.27953353527970165</v>
          </cell>
          <cell r="FJ22">
            <v>2729.2999999999997</v>
          </cell>
          <cell r="FK22">
            <v>0.29443208039949464</v>
          </cell>
          <cell r="FL22">
            <v>3120</v>
          </cell>
          <cell r="FM22">
            <v>0.29295774647887324</v>
          </cell>
        </row>
        <row r="23">
          <cell r="A23" t="str">
            <v xml:space="preserve">  % Change </v>
          </cell>
          <cell r="D23" t="str">
            <v xml:space="preserve"> </v>
          </cell>
          <cell r="F23" t="str">
            <v xml:space="preserve"> </v>
          </cell>
          <cell r="H23" t="str">
            <v xml:space="preserve"> </v>
          </cell>
          <cell r="J23">
            <v>0.12308515190415062</v>
          </cell>
          <cell r="L23">
            <v>-7.1052016049227174E-2</v>
          </cell>
          <cell r="N23">
            <v>7.5111164523495866E-3</v>
          </cell>
          <cell r="O23" t="str">
            <v xml:space="preserve"> </v>
          </cell>
          <cell r="P23">
            <v>-9.121258858671244E-2</v>
          </cell>
          <cell r="R23">
            <v>7.1800049530413634E-2</v>
          </cell>
          <cell r="T23">
            <v>3.71295758280068E-2</v>
          </cell>
          <cell r="V23">
            <v>7.2602930359237483E-2</v>
          </cell>
          <cell r="W23" t="str">
            <v xml:space="preserve"> </v>
          </cell>
          <cell r="X23">
            <v>0.30617199080538793</v>
          </cell>
          <cell r="Y23" t="str">
            <v xml:space="preserve"> </v>
          </cell>
          <cell r="Z23">
            <v>0.39138317159006064</v>
          </cell>
          <cell r="AB23">
            <v>0.60085532336078606</v>
          </cell>
          <cell r="AD23">
            <v>0.42292365577447022</v>
          </cell>
          <cell r="AE23" t="str">
            <v xml:space="preserve"> </v>
          </cell>
          <cell r="AF23">
            <v>0.44645647275538214</v>
          </cell>
          <cell r="AG23" t="str">
            <v xml:space="preserve"> </v>
          </cell>
          <cell r="AH23">
            <v>0.33347385094913262</v>
          </cell>
          <cell r="AJ23">
            <v>0.18088916368217833</v>
          </cell>
          <cell r="AL23">
            <v>0.35651482981855143</v>
          </cell>
          <cell r="AM23" t="str">
            <v xml:space="preserve"> </v>
          </cell>
          <cell r="AN23">
            <v>0.30439133104404981</v>
          </cell>
          <cell r="AO23" t="str">
            <v xml:space="preserve"> </v>
          </cell>
          <cell r="AP23">
            <v>0.28787109505972985</v>
          </cell>
          <cell r="AR23">
            <v>0.44637300325012103</v>
          </cell>
          <cell r="AT23">
            <v>0.3730423176270633</v>
          </cell>
          <cell r="AU23" t="str">
            <v xml:space="preserve"> </v>
          </cell>
          <cell r="AV23">
            <v>0.58442588653718741</v>
          </cell>
          <cell r="AW23" t="str">
            <v xml:space="preserve"> </v>
          </cell>
          <cell r="AX23">
            <v>0.43487284006635063</v>
          </cell>
          <cell r="AZ23">
            <v>0.17670682730923684</v>
          </cell>
          <cell r="BB23">
            <v>0.26829848241135745</v>
          </cell>
          <cell r="BC23" t="str">
            <v xml:space="preserve"> </v>
          </cell>
          <cell r="BD23">
            <v>6.5652870009188069E-2</v>
          </cell>
          <cell r="BE23" t="str">
            <v xml:space="preserve"> </v>
          </cell>
          <cell r="BF23">
            <v>0.11025401762571274</v>
          </cell>
          <cell r="BH23">
            <v>0.3234252745466788</v>
          </cell>
          <cell r="BJ23">
            <v>0.17748712462917826</v>
          </cell>
          <cell r="BK23" t="str">
            <v xml:space="preserve"> </v>
          </cell>
          <cell r="BL23">
            <v>0.14962930838651056</v>
          </cell>
          <cell r="BM23" t="str">
            <v xml:space="preserve"> </v>
          </cell>
          <cell r="BN23">
            <v>0.20484853012588244</v>
          </cell>
          <cell r="BP23">
            <v>4.9446284072717707E-2</v>
          </cell>
          <cell r="BR23">
            <v>4.6482659149019723E-2</v>
          </cell>
          <cell r="BS23" t="str">
            <v xml:space="preserve"> </v>
          </cell>
          <cell r="BT23">
            <v>3.8670882096697369E-2</v>
          </cell>
          <cell r="BU23" t="str">
            <v xml:space="preserve"> </v>
          </cell>
          <cell r="BV23">
            <v>8.5362734459773618E-2</v>
          </cell>
          <cell r="BX23">
            <v>0.22156144082848886</v>
          </cell>
          <cell r="BZ23">
            <v>0.34866289580611093</v>
          </cell>
          <cell r="CB23">
            <v>0.20318345355934642</v>
          </cell>
          <cell r="CC23" t="str">
            <v xml:space="preserve"> </v>
          </cell>
          <cell r="CD23">
            <v>0.14539889380134974</v>
          </cell>
          <cell r="CE23" t="str">
            <v xml:space="preserve"> </v>
          </cell>
          <cell r="CF23">
            <v>0.20332490217696764</v>
          </cell>
          <cell r="CG23" t="str">
            <v xml:space="preserve"> </v>
          </cell>
          <cell r="CH23">
            <v>0.22579501480856945</v>
          </cell>
          <cell r="CI23" t="str">
            <v xml:space="preserve"> </v>
          </cell>
          <cell r="CJ23">
            <v>0.32211935001267533</v>
          </cell>
          <cell r="CL23">
            <v>0.33354518740158601</v>
          </cell>
          <cell r="CN23">
            <v>0.23001156369956277</v>
          </cell>
          <cell r="CP23">
            <v>0.22449839572902264</v>
          </cell>
          <cell r="CR23">
            <v>0.33365194720183888</v>
          </cell>
          <cell r="CS23" t="str">
            <v xml:space="preserve"> </v>
          </cell>
          <cell r="CT23">
            <v>0.3819151429910923</v>
          </cell>
          <cell r="CU23" t="str">
            <v xml:space="preserve"> </v>
          </cell>
          <cell r="CV23">
            <v>0.37514147841802881</v>
          </cell>
          <cell r="CW23" t="str">
            <v xml:space="preserve"> </v>
          </cell>
          <cell r="CX23">
            <v>0.3669243901406663</v>
          </cell>
          <cell r="CY23" t="str">
            <v xml:space="preserve"> </v>
          </cell>
          <cell r="CZ23">
            <v>0.31733921713720892</v>
          </cell>
          <cell r="DB23">
            <v>0.33260237441161805</v>
          </cell>
          <cell r="DD23">
            <v>0.43489241091146569</v>
          </cell>
          <cell r="DF23">
            <v>0.49966215738659669</v>
          </cell>
          <cell r="DG23" t="str">
            <v xml:space="preserve"> </v>
          </cell>
          <cell r="DH23">
            <v>0.4903956814111794</v>
          </cell>
          <cell r="DI23" t="str">
            <v xml:space="preserve"> </v>
          </cell>
          <cell r="DJ23">
            <v>0.3384186954870676</v>
          </cell>
          <cell r="DL23">
            <v>0.24432475917641261</v>
          </cell>
          <cell r="DN23">
            <v>0.117995373765442</v>
          </cell>
          <cell r="DO23" t="str">
            <v xml:space="preserve"> </v>
          </cell>
          <cell r="DP23">
            <v>0.12777299728695146</v>
          </cell>
          <cell r="DQ23" t="str">
            <v xml:space="preserve"> </v>
          </cell>
          <cell r="DR23">
            <v>8.1572053712835935E-2</v>
          </cell>
          <cell r="DT23">
            <v>-9.5854403292681169E-3</v>
          </cell>
          <cell r="DV23">
            <v>-0.10310196208038525</v>
          </cell>
          <cell r="DW23" t="str">
            <v xml:space="preserve"> </v>
          </cell>
          <cell r="DX23">
            <v>-0.12523910847464925</v>
          </cell>
          <cell r="DZ23">
            <v>-6.6863019155471437E-2</v>
          </cell>
          <cell r="EA23" t="str">
            <v xml:space="preserve"> </v>
          </cell>
          <cell r="EB23">
            <v>-3.9993870671161544E-2</v>
          </cell>
          <cell r="ED23">
            <v>0.17465689039293086</v>
          </cell>
          <cell r="EE23" t="str">
            <v xml:space="preserve"> </v>
          </cell>
          <cell r="EF23">
            <v>0.10986310986310992</v>
          </cell>
          <cell r="EH23">
            <v>7.4966532797858143E-2</v>
          </cell>
          <cell r="EI23" t="str">
            <v xml:space="preserve"> </v>
          </cell>
          <cell r="EJ23">
            <v>0.119074221867518</v>
          </cell>
          <cell r="EL23">
            <v>7.7304737516005195E-2</v>
          </cell>
          <cell r="EM23" t="str">
            <v xml:space="preserve"> </v>
          </cell>
          <cell r="EN23">
            <v>8.4756483238456706E-2</v>
          </cell>
          <cell r="EP23">
            <v>3.8881970388819465E-2</v>
          </cell>
          <cell r="EQ23" t="str">
            <v xml:space="preserve"> </v>
          </cell>
          <cell r="ES23" t="str">
            <v xml:space="preserve">  % Change</v>
          </cell>
          <cell r="ET23">
            <v>0.13895318148512148</v>
          </cell>
          <cell r="EV23">
            <v>-7.5162044827161822E-2</v>
          </cell>
          <cell r="EX23">
            <v>7.4095442182477322E-2</v>
          </cell>
          <cell r="EZ23">
            <v>7.8499079189687127E-2</v>
          </cell>
          <cell r="FB23">
            <v>9.5695482034863E-2</v>
          </cell>
          <cell r="FE23" t="str">
            <v xml:space="preserve">  % Change</v>
          </cell>
          <cell r="FF23">
            <v>2.4312870991964441E-2</v>
          </cell>
          <cell r="FH23">
            <v>-2.4625335096784662E-2</v>
          </cell>
          <cell r="FJ23">
            <v>9.4609769792251663E-2</v>
          </cell>
          <cell r="FL23">
            <v>0.14315025830799111</v>
          </cell>
        </row>
        <row r="24">
          <cell r="A24" t="str">
            <v>Operating Income</v>
          </cell>
          <cell r="C24">
            <v>28.127999999999965</v>
          </cell>
          <cell r="D24">
            <v>50.491000000000021</v>
          </cell>
          <cell r="E24">
            <v>0.15407313828164101</v>
          </cell>
          <cell r="F24">
            <v>27.58799999999998</v>
          </cell>
          <cell r="G24">
            <v>0.11596079156648781</v>
          </cell>
          <cell r="H24">
            <v>29.592999999999968</v>
          </cell>
          <cell r="I24">
            <v>0.11441108812897478</v>
          </cell>
          <cell r="J24">
            <v>29.40799999999998</v>
          </cell>
          <cell r="K24">
            <v>0.12005666439410323</v>
          </cell>
          <cell r="L24">
            <v>32.186999999999976</v>
          </cell>
          <cell r="M24">
            <v>0.12513753192879046</v>
          </cell>
          <cell r="N24">
            <v>6.4480000000000217</v>
          </cell>
          <cell r="O24">
            <v>3.5222846779524107E-2</v>
          </cell>
          <cell r="P24">
            <v>14.120000000000012</v>
          </cell>
          <cell r="Q24">
            <v>7.0806045592674741E-2</v>
          </cell>
          <cell r="R24">
            <v>23.198000000000008</v>
          </cell>
          <cell r="S24">
            <v>9.7608799013729555E-2</v>
          </cell>
          <cell r="T24">
            <v>41.855000000000047</v>
          </cell>
          <cell r="U24">
            <v>0.14798746941604099</v>
          </cell>
          <cell r="V24">
            <v>16.990000000000009</v>
          </cell>
          <cell r="W24">
            <v>7.2480461417699094E-2</v>
          </cell>
          <cell r="X24">
            <v>45.596000000000046</v>
          </cell>
          <cell r="Y24">
            <v>0.13742551697323899</v>
          </cell>
          <cell r="Z24">
            <v>49.036000000000044</v>
          </cell>
          <cell r="AA24">
            <v>0.13835679439756005</v>
          </cell>
          <cell r="AB24">
            <v>99.814999999999998</v>
          </cell>
          <cell r="AC24">
            <v>0.19545278311917696</v>
          </cell>
          <cell r="AD24">
            <v>40.151000000000025</v>
          </cell>
          <cell r="AE24">
            <v>0.1246797688435658</v>
          </cell>
          <cell r="AF24">
            <v>83.793000000000035</v>
          </cell>
          <cell r="AG24">
            <v>0.18033069127518231</v>
          </cell>
          <cell r="AH24">
            <v>57.388000000000005</v>
          </cell>
          <cell r="AI24">
            <v>0.13881249380171787</v>
          </cell>
          <cell r="AJ24">
            <v>94.668000000000035</v>
          </cell>
          <cell r="AK24">
            <v>0.16600615850792966</v>
          </cell>
          <cell r="AL24">
            <v>29.634999999999948</v>
          </cell>
          <cell r="AM24">
            <v>7.1335037575162241E-2</v>
          </cell>
          <cell r="AN24">
            <v>105.22400000000017</v>
          </cell>
          <cell r="AO24">
            <v>0.18208971237425808</v>
          </cell>
          <cell r="AP24">
            <v>104.37300000000005</v>
          </cell>
          <cell r="AQ24">
            <v>0.17137804545648605</v>
          </cell>
          <cell r="AR24">
            <v>165.32499999999996</v>
          </cell>
          <cell r="AS24">
            <v>0.19832487011265496</v>
          </cell>
          <cell r="AT24">
            <v>99.083000000000084</v>
          </cell>
          <cell r="AU24">
            <v>0.15271073381543349</v>
          </cell>
          <cell r="AV24">
            <v>124.27599999999998</v>
          </cell>
          <cell r="AW24">
            <v>0.15491742789899873</v>
          </cell>
          <cell r="AX24">
            <v>100.33499999999984</v>
          </cell>
          <cell r="AY24">
            <v>0.13955438844898285</v>
          </cell>
          <cell r="AZ24">
            <v>194.29100000000005</v>
          </cell>
          <cell r="BA24">
            <v>0.20512985648691198</v>
          </cell>
          <cell r="BB24">
            <v>106.62499999999991</v>
          </cell>
          <cell r="BC24">
            <v>0.14342556062075515</v>
          </cell>
          <cell r="BD24">
            <v>140.75400000000002</v>
          </cell>
          <cell r="BE24">
            <v>0.16234246308327732</v>
          </cell>
          <cell r="BF24">
            <v>112.95400000000018</v>
          </cell>
          <cell r="BG24">
            <v>0.13326113065617151</v>
          </cell>
          <cell r="BH24">
            <v>205.19400000000007</v>
          </cell>
          <cell r="BI24">
            <v>0.18656340522720127</v>
          </cell>
          <cell r="BJ24">
            <v>132.6929999999999</v>
          </cell>
          <cell r="BK24">
            <v>0.15150387228702983</v>
          </cell>
          <cell r="BL24">
            <v>153.30699999999999</v>
          </cell>
          <cell r="BM24">
            <v>0.15772260196460094</v>
          </cell>
          <cell r="BN24">
            <v>130.53599999999989</v>
          </cell>
          <cell r="BO24">
            <v>0.13275580989729252</v>
          </cell>
          <cell r="BP24">
            <v>200.79200000000014</v>
          </cell>
          <cell r="BQ24">
            <v>0.18124017265438985</v>
          </cell>
          <cell r="BR24">
            <v>86.193000000000012</v>
          </cell>
          <cell r="BS24">
            <v>0.10696720853722254</v>
          </cell>
          <cell r="BT24">
            <v>103.494</v>
          </cell>
          <cell r="BU24">
            <v>0.11870688023673932</v>
          </cell>
          <cell r="BV24">
            <v>123.66699999999992</v>
          </cell>
          <cell r="BW24">
            <v>0.12315516712542665</v>
          </cell>
          <cell r="BX24">
            <v>177.61400000000003</v>
          </cell>
          <cell r="BY24">
            <v>0.15176079052936933</v>
          </cell>
          <cell r="BZ24">
            <v>205.23200000000003</v>
          </cell>
          <cell r="CA24">
            <v>0.16372337616441265</v>
          </cell>
          <cell r="CB24">
            <v>144.84199999999993</v>
          </cell>
          <cell r="CC24">
            <v>0.13745437705101604</v>
          </cell>
          <cell r="CD24">
            <v>120.6689999999999</v>
          </cell>
          <cell r="CE24">
            <v>0.12363449704614883</v>
          </cell>
          <cell r="CF24">
            <v>167.98200000000014</v>
          </cell>
          <cell r="CG24">
            <v>0.14935756030290837</v>
          </cell>
          <cell r="CH24">
            <v>203.87500000000006</v>
          </cell>
          <cell r="CI24">
            <v>0.1687803359628986</v>
          </cell>
          <cell r="CJ24">
            <v>195.35599999999982</v>
          </cell>
          <cell r="CK24">
            <v>0.13835058029681951</v>
          </cell>
          <cell r="CL24">
            <v>160.87900000000008</v>
          </cell>
          <cell r="CM24">
            <v>0.11907005178632096</v>
          </cell>
          <cell r="CN24">
            <v>287.60199999999986</v>
          </cell>
          <cell r="CO24">
            <v>0.17812044599166746</v>
          </cell>
          <cell r="CP24">
            <v>317.59799999999996</v>
          </cell>
          <cell r="CQ24">
            <v>0.18682015505699931</v>
          </cell>
          <cell r="CR24">
            <v>208.99799999999999</v>
          </cell>
          <cell r="CS24">
            <v>0.14483304886187159</v>
          </cell>
          <cell r="CT24">
            <v>174.91599999999977</v>
          </cell>
          <cell r="CU24">
            <v>0.12892184321471728</v>
          </cell>
          <cell r="CV24">
            <v>206.51800000000014</v>
          </cell>
          <cell r="CW24">
            <v>0.13845298807799092</v>
          </cell>
          <cell r="CX24">
            <v>241.18800000000022</v>
          </cell>
          <cell r="CY24">
            <v>0.15245398656669445</v>
          </cell>
          <cell r="CZ24">
            <v>272.14899999999994</v>
          </cell>
          <cell r="DA24">
            <v>0.14164556158260544</v>
          </cell>
          <cell r="DB24">
            <v>233.81100000000015</v>
          </cell>
          <cell r="DC24">
            <v>0.12624327305653635</v>
          </cell>
          <cell r="DD24">
            <v>390.27</v>
          </cell>
          <cell r="DE24">
            <v>0.17102658017832303</v>
          </cell>
          <cell r="DF24">
            <v>298.95300000000032</v>
          </cell>
          <cell r="DG24">
            <v>0.14188332983710766</v>
          </cell>
          <cell r="DH24">
            <v>410.64200000000028</v>
          </cell>
          <cell r="DI24">
            <v>0.16943136957181912</v>
          </cell>
          <cell r="DJ24">
            <v>279.97199999999998</v>
          </cell>
          <cell r="DK24">
            <v>0.11793627939539816</v>
          </cell>
          <cell r="DL24">
            <v>441.71800000000019</v>
          </cell>
          <cell r="DM24">
            <v>0.15968987371746282</v>
          </cell>
          <cell r="DN24">
            <v>252.70600000000002</v>
          </cell>
          <cell r="DO24">
            <v>0.1120512292973974</v>
          </cell>
          <cell r="DP24">
            <v>143.70199999999966</v>
          </cell>
          <cell r="DQ24">
            <v>6.4616271472695247E-2</v>
          </cell>
          <cell r="DR24">
            <v>25.654999999999518</v>
          </cell>
          <cell r="DS24">
            <v>1.1116835755522138E-2</v>
          </cell>
          <cell r="DT24">
            <v>289.60000000000025</v>
          </cell>
          <cell r="DU24">
            <v>0.11561801341424474</v>
          </cell>
          <cell r="DV24">
            <v>151.50000000000011</v>
          </cell>
          <cell r="DW24">
            <v>7.9194981704129697E-2</v>
          </cell>
          <cell r="DX24">
            <v>242.10000000000014</v>
          </cell>
          <cell r="DY24">
            <v>0.11121830209481813</v>
          </cell>
          <cell r="DZ24">
            <v>173.60000000000002</v>
          </cell>
          <cell r="EA24">
            <v>7.9549099573844109E-2</v>
          </cell>
          <cell r="EB24">
            <v>339.89999999999975</v>
          </cell>
          <cell r="EC24">
            <v>0.13590020391027938</v>
          </cell>
          <cell r="ED24">
            <v>196.8599999999999</v>
          </cell>
          <cell r="EE24">
            <v>9.5578881951389999E-2</v>
          </cell>
          <cell r="EF24">
            <v>242.82600000000014</v>
          </cell>
          <cell r="EG24">
            <v>0.11233488124217608</v>
          </cell>
          <cell r="EH24">
            <v>205.28400000000056</v>
          </cell>
          <cell r="EI24">
            <v>9.032667981998399E-2</v>
          </cell>
          <cell r="EJ24">
            <v>366.39999999999975</v>
          </cell>
          <cell r="EK24">
            <v>0.1389615807638335</v>
          </cell>
          <cell r="EL24">
            <v>198.29999999999995</v>
          </cell>
          <cell r="EM24">
            <v>9.018965752490106E-2</v>
          </cell>
          <cell r="EN24">
            <v>170</v>
          </cell>
          <cell r="EO24">
            <v>7.6028622540250446E-2</v>
          </cell>
          <cell r="EP24">
            <v>234.30000000000041</v>
          </cell>
          <cell r="EQ24">
            <v>9.6475335584287392E-2</v>
          </cell>
          <cell r="ES24" t="str">
            <v>Operating Income</v>
          </cell>
          <cell r="ET24">
            <v>863.78099999999938</v>
          </cell>
          <cell r="EU24">
            <v>9.0419290738329799E-2</v>
          </cell>
          <cell r="EV24">
            <v>856.79999999999791</v>
          </cell>
          <cell r="EW24">
            <v>9.7619888571135377E-2</v>
          </cell>
          <cell r="EX24">
            <v>984.87000000000126</v>
          </cell>
          <cell r="EY24">
            <v>0.10948997617583867</v>
          </cell>
          <cell r="EZ24">
            <v>969</v>
          </cell>
          <cell r="FA24">
            <v>0.10199999999999999</v>
          </cell>
          <cell r="FB24">
            <v>1080</v>
          </cell>
          <cell r="FC24">
            <v>0.10424710424710425</v>
          </cell>
          <cell r="FE24" t="str">
            <v>Operating Income</v>
          </cell>
          <cell r="FF24">
            <v>610.45699999999954</v>
          </cell>
          <cell r="FG24">
            <v>6.8211372938569645E-2</v>
          </cell>
          <cell r="FH24">
            <v>952.46000000000095</v>
          </cell>
          <cell r="FI24">
            <v>0.10677970282044795</v>
          </cell>
          <cell r="FJ24">
            <v>1012.8100000000018</v>
          </cell>
          <cell r="FK24">
            <v>0.10926016024233785</v>
          </cell>
          <cell r="FL24">
            <v>1130</v>
          </cell>
          <cell r="FM24">
            <v>0.10610328638497653</v>
          </cell>
        </row>
        <row r="25">
          <cell r="A25" t="str">
            <v xml:space="preserve">  % Change </v>
          </cell>
          <cell r="D25" t="str">
            <v xml:space="preserve"> </v>
          </cell>
          <cell r="F25" t="str">
            <v xml:space="preserve"> </v>
          </cell>
          <cell r="H25" t="str">
            <v xml:space="preserve"> </v>
          </cell>
          <cell r="J25" t="str">
            <v xml:space="preserve"> </v>
          </cell>
          <cell r="L25">
            <v>-0.36252005307876722</v>
          </cell>
          <cell r="N25">
            <v>-0.76627519211251172</v>
          </cell>
          <cell r="P25">
            <v>-0.52286013584293489</v>
          </cell>
          <cell r="R25">
            <v>-0.21116702937975984</v>
          </cell>
          <cell r="T25">
            <v>0.30036971448100402</v>
          </cell>
          <cell r="V25">
            <v>1.6349255583126476</v>
          </cell>
          <cell r="X25">
            <v>2.2291784702549582</v>
          </cell>
          <cell r="Y25" t="str">
            <v xml:space="preserve"> </v>
          </cell>
          <cell r="Z25">
            <v>1.1138029140443155</v>
          </cell>
          <cell r="AB25">
            <v>1.3847807908254661</v>
          </cell>
          <cell r="AD25">
            <v>1.3632136550912302</v>
          </cell>
          <cell r="AF25">
            <v>0.83772699359592839</v>
          </cell>
          <cell r="AG25" t="str">
            <v xml:space="preserve"> </v>
          </cell>
          <cell r="AH25">
            <v>0.17032384370666365</v>
          </cell>
          <cell r="AJ25">
            <v>-5.1565395982567375E-2</v>
          </cell>
          <cell r="AL25">
            <v>-0.2619112848995061</v>
          </cell>
          <cell r="AN25">
            <v>0.25576122110438981</v>
          </cell>
          <cell r="AO25" t="str">
            <v xml:space="preserve"> </v>
          </cell>
          <cell r="AP25">
            <v>0.81872516902488401</v>
          </cell>
          <cell r="AR25">
            <v>0.74636624836269805</v>
          </cell>
          <cell r="AT25">
            <v>2.343445250548347</v>
          </cell>
          <cell r="AV25">
            <v>0.18106135482399233</v>
          </cell>
          <cell r="AW25" t="str">
            <v xml:space="preserve"> </v>
          </cell>
          <cell r="AX25">
            <v>-3.8688166479838748E-2</v>
          </cell>
          <cell r="AZ25">
            <v>0.17520641161348918</v>
          </cell>
          <cell r="BB25">
            <v>7.6118002079063274E-2</v>
          </cell>
          <cell r="BD25">
            <v>0.13259197270591305</v>
          </cell>
          <cell r="BE25" t="str">
            <v xml:space="preserve"> </v>
          </cell>
          <cell r="BF25">
            <v>0.12576867493895816</v>
          </cell>
          <cell r="BH25">
            <v>5.6116855644368586E-2</v>
          </cell>
          <cell r="BJ25">
            <v>0.2444830011723329</v>
          </cell>
          <cell r="BL25">
            <v>8.9183966352643473E-2</v>
          </cell>
          <cell r="BM25" t="str">
            <v xml:space="preserve"> </v>
          </cell>
          <cell r="BN25">
            <v>0.15565628485932037</v>
          </cell>
          <cell r="BP25">
            <v>-2.145286899227038E-2</v>
          </cell>
          <cell r="BR25">
            <v>-0.35043295426284671</v>
          </cell>
          <cell r="BS25" t="str">
            <v xml:space="preserve"> </v>
          </cell>
          <cell r="BT25">
            <v>-0.32492319333102854</v>
          </cell>
          <cell r="BU25" t="str">
            <v xml:space="preserve"> </v>
          </cell>
          <cell r="BV25">
            <v>-5.2621499050070304E-2</v>
          </cell>
          <cell r="BX25">
            <v>-0.11543288577234199</v>
          </cell>
          <cell r="BZ25">
            <v>2.2112434758356312E-2</v>
          </cell>
          <cell r="CB25">
            <v>0.68043808661956207</v>
          </cell>
          <cell r="CC25" t="str">
            <v xml:space="preserve"> </v>
          </cell>
          <cell r="CD25">
            <v>0.39998607775573292</v>
          </cell>
          <cell r="CE25" t="str">
            <v xml:space="preserve"> </v>
          </cell>
          <cell r="CF25">
            <v>0.6231085860049872</v>
          </cell>
          <cell r="CG25" t="str">
            <v xml:space="preserve"> </v>
          </cell>
          <cell r="CH25">
            <v>0.96992096160163932</v>
          </cell>
          <cell r="CI25" t="str">
            <v xml:space="preserve"> </v>
          </cell>
          <cell r="CJ25">
            <v>0.57969385527262696</v>
          </cell>
          <cell r="CL25">
            <v>0.30090484931307615</v>
          </cell>
          <cell r="CN25">
            <v>0.61925298681410146</v>
          </cell>
          <cell r="CP25">
            <v>0.54750721135105596</v>
          </cell>
          <cell r="CR25">
            <v>0.44293782190248754</v>
          </cell>
          <cell r="CS25" t="str">
            <v xml:space="preserve"> </v>
          </cell>
          <cell r="CT25">
            <v>0.44955208048463091</v>
          </cell>
          <cell r="CU25" t="str">
            <v xml:space="preserve"> </v>
          </cell>
          <cell r="CV25">
            <v>0.22940553154504631</v>
          </cell>
          <cell r="CW25" t="str">
            <v xml:space="preserve"> </v>
          </cell>
          <cell r="CX25">
            <v>0.18301900674432936</v>
          </cell>
          <cell r="CY25" t="str">
            <v xml:space="preserve"> </v>
          </cell>
          <cell r="CZ25">
            <v>0.39309261041380961</v>
          </cell>
          <cell r="DB25">
            <v>0.45333449362564437</v>
          </cell>
          <cell r="DD25">
            <v>0.22881756182343729</v>
          </cell>
          <cell r="DF25">
            <v>0.70912323629628338</v>
          </cell>
          <cell r="DG25" t="str">
            <v xml:space="preserve"> </v>
          </cell>
          <cell r="DH25">
            <v>0.70258055956349375</v>
          </cell>
          <cell r="DI25" t="str">
            <v xml:space="preserve"> </v>
          </cell>
          <cell r="DJ25">
            <v>0.19742869240540362</v>
          </cell>
          <cell r="DL25">
            <v>0.13182668409050199</v>
          </cell>
          <cell r="DN25">
            <v>-0.15469655765287604</v>
          </cell>
          <cell r="DO25" t="str">
            <v xml:space="preserve"> </v>
          </cell>
          <cell r="DP25">
            <v>-0.65005527929437434</v>
          </cell>
          <cell r="DQ25" t="str">
            <v xml:space="preserve"> </v>
          </cell>
          <cell r="DR25">
            <v>-0.9083658365836601</v>
          </cell>
          <cell r="DT25">
            <v>-0.34437808737701403</v>
          </cell>
          <cell r="DV25">
            <v>-0.40048910591754805</v>
          </cell>
          <cell r="DW25" t="str">
            <v xml:space="preserve"> </v>
          </cell>
          <cell r="DX25">
            <v>0.68473646852514725</v>
          </cell>
          <cell r="DZ25">
            <v>5.7667121418828016</v>
          </cell>
          <cell r="EA25" t="str">
            <v xml:space="preserve"> </v>
          </cell>
          <cell r="EB25">
            <v>0.17368784530386552</v>
          </cell>
          <cell r="ED25">
            <v>0.29940594059405767</v>
          </cell>
          <cell r="EE25" t="str">
            <v xml:space="preserve"> </v>
          </cell>
          <cell r="EF25">
            <v>2.9987608426270082E-3</v>
          </cell>
          <cell r="EH25">
            <v>0.18251152073733024</v>
          </cell>
          <cell r="EI25" t="str">
            <v xml:space="preserve"> </v>
          </cell>
          <cell r="EJ25">
            <v>7.7964107090320742E-2</v>
          </cell>
          <cell r="EL25">
            <v>7.3148430356602123E-3</v>
          </cell>
          <cell r="EM25" t="str">
            <v xml:space="preserve"> </v>
          </cell>
          <cell r="EN25">
            <v>-0.29991022378163829</v>
          </cell>
          <cell r="EP25">
            <v>0.14134564798035787</v>
          </cell>
          <cell r="EQ25" t="str">
            <v xml:space="preserve"> </v>
          </cell>
          <cell r="ES25" t="str">
            <v xml:space="preserve">  % Change</v>
          </cell>
          <cell r="ET25">
            <v>-0.37399779829066837</v>
          </cell>
          <cell r="EV25">
            <v>-8.0819096507117605E-3</v>
          </cell>
          <cell r="EX25">
            <v>0.14947478991597074</v>
          </cell>
          <cell r="EZ25">
            <v>-1.6113801821561413E-2</v>
          </cell>
          <cell r="FB25">
            <v>0.11455108359133126</v>
          </cell>
          <cell r="FE25" t="str">
            <v xml:space="preserve">  % Change</v>
          </cell>
          <cell r="FF25">
            <v>-0.55924891591422088</v>
          </cell>
          <cell r="FH25">
            <v>0.56024093425090005</v>
          </cell>
          <cell r="FJ25">
            <v>6.3362240934003333E-2</v>
          </cell>
          <cell r="FL25">
            <v>0.11570778329597653</v>
          </cell>
        </row>
        <row r="26">
          <cell r="P26" t="str">
            <v xml:space="preserve"> </v>
          </cell>
          <cell r="V26" t="str">
            <v xml:space="preserve"> </v>
          </cell>
          <cell r="Y26" t="str">
            <v xml:space="preserve"> </v>
          </cell>
          <cell r="AD26" t="str">
            <v xml:space="preserve"> </v>
          </cell>
          <cell r="AG26" t="str">
            <v xml:space="preserve"> </v>
          </cell>
          <cell r="AL26" t="str">
            <v xml:space="preserve"> </v>
          </cell>
          <cell r="AO26" t="str">
            <v xml:space="preserve"> </v>
          </cell>
          <cell r="AT26" t="str">
            <v xml:space="preserve"> </v>
          </cell>
          <cell r="AW26" t="str">
            <v xml:space="preserve"> </v>
          </cell>
          <cell r="BB26" t="str">
            <v xml:space="preserve"> </v>
          </cell>
          <cell r="BE26" t="str">
            <v xml:space="preserve"> </v>
          </cell>
          <cell r="BJ26" t="str">
            <v xml:space="preserve"> </v>
          </cell>
          <cell r="BM26" t="str">
            <v xml:space="preserve"> </v>
          </cell>
          <cell r="BR26" t="str">
            <v xml:space="preserve"> </v>
          </cell>
          <cell r="BU26" t="str">
            <v xml:space="preserve"> </v>
          </cell>
          <cell r="CB26" t="str">
            <v xml:space="preserve"> </v>
          </cell>
          <cell r="CD26" t="str">
            <v xml:space="preserve"> </v>
          </cell>
          <cell r="CG26" t="str">
            <v xml:space="preserve"> </v>
          </cell>
          <cell r="CI26" t="str">
            <v xml:space="preserve"> </v>
          </cell>
          <cell r="CR26" t="str">
            <v xml:space="preserve"> </v>
          </cell>
          <cell r="CT26" t="str">
            <v xml:space="preserve"> </v>
          </cell>
          <cell r="CW26" t="str">
            <v xml:space="preserve"> </v>
          </cell>
          <cell r="CY26" t="str">
            <v xml:space="preserve"> </v>
          </cell>
          <cell r="DF26" t="str">
            <v xml:space="preserve"> </v>
          </cell>
          <cell r="DI26" t="str">
            <v xml:space="preserve"> </v>
          </cell>
          <cell r="DN26" t="str">
            <v xml:space="preserve"> </v>
          </cell>
          <cell r="DQ26" t="str">
            <v xml:space="preserve"> </v>
          </cell>
          <cell r="DV26" t="str">
            <v xml:space="preserve"> </v>
          </cell>
          <cell r="DZ26" t="str">
            <v xml:space="preserve"> </v>
          </cell>
          <cell r="ED26" t="str">
            <v xml:space="preserve"> </v>
          </cell>
          <cell r="EH26" t="str">
            <v xml:space="preserve"> </v>
          </cell>
          <cell r="EL26" t="str">
            <v xml:space="preserve"> </v>
          </cell>
          <cell r="EP26" t="str">
            <v xml:space="preserve"> </v>
          </cell>
        </row>
        <row r="27">
          <cell r="A27" t="str">
            <v>EBITDA</v>
          </cell>
          <cell r="EB27">
            <v>401.49999999999977</v>
          </cell>
          <cell r="EC27">
            <v>0.16052936707848539</v>
          </cell>
          <cell r="ED27">
            <v>246.65999999999991</v>
          </cell>
          <cell r="EE27">
            <v>0.11975762990008056</v>
          </cell>
          <cell r="EF27">
            <v>298.82600000000014</v>
          </cell>
          <cell r="EG27">
            <v>0.13824130538770357</v>
          </cell>
          <cell r="EH27">
            <v>261.48400000000055</v>
          </cell>
          <cell r="EI27">
            <v>0.11505515065006859</v>
          </cell>
          <cell r="EJ27">
            <v>418.79999999999973</v>
          </cell>
          <cell r="EK27">
            <v>0.1588349072704516</v>
          </cell>
          <cell r="EL27">
            <v>253.19999999999996</v>
          </cell>
          <cell r="EM27">
            <v>0.11515895756583434</v>
          </cell>
          <cell r="EN27">
            <v>226</v>
          </cell>
          <cell r="EO27">
            <v>0.10107334525939177</v>
          </cell>
          <cell r="EP27">
            <v>291.0000000000004</v>
          </cell>
          <cell r="EQ27">
            <v>0.11982211973976792</v>
          </cell>
          <cell r="EX27">
            <v>1208.4700000000012</v>
          </cell>
          <cell r="EY27">
            <v>0.13434803731377309</v>
          </cell>
          <cell r="EZ27">
            <v>1189</v>
          </cell>
          <cell r="FA27">
            <v>0.12515789473684211</v>
          </cell>
          <cell r="FB27">
            <v>1360</v>
          </cell>
          <cell r="FC27">
            <v>0.13127413127413126</v>
          </cell>
          <cell r="FE27" t="str">
            <v>EBITDA</v>
          </cell>
          <cell r="FF27">
            <v>808.89899999999955</v>
          </cell>
          <cell r="FG27">
            <v>9.0384926962318493E-2</v>
          </cell>
          <cell r="FH27">
            <v>1190.660000000001</v>
          </cell>
          <cell r="FI27">
            <v>0.13348415782310494</v>
          </cell>
          <cell r="FJ27">
            <v>1232.3100000000018</v>
          </cell>
          <cell r="FK27">
            <v>0.13293943391972365</v>
          </cell>
          <cell r="FL27">
            <v>1450</v>
          </cell>
          <cell r="FM27">
            <v>0.13615023474178403</v>
          </cell>
        </row>
        <row r="29">
          <cell r="A29" t="str">
            <v>Interest Expense</v>
          </cell>
          <cell r="D29">
            <v>4.0330000000000004</v>
          </cell>
          <cell r="E29">
            <v>1.2306687660966471E-2</v>
          </cell>
          <cell r="F29">
            <v>3.7850000000000001</v>
          </cell>
          <cell r="G29">
            <v>1.5909511239638855E-2</v>
          </cell>
          <cell r="H29">
            <v>4.0170000000000003</v>
          </cell>
          <cell r="I29">
            <v>1.5530339641607549E-2</v>
          </cell>
          <cell r="J29">
            <v>3.9849999999999999</v>
          </cell>
          <cell r="K29">
            <v>1.6268559834415861E-2</v>
          </cell>
          <cell r="L29">
            <v>2.2240000000000002</v>
          </cell>
          <cell r="M29">
            <v>8.646530307566104E-3</v>
          </cell>
          <cell r="N29">
            <v>2.1619999999999999</v>
          </cell>
          <cell r="O29">
            <v>1.1810141863729971E-2</v>
          </cell>
          <cell r="P29">
            <v>2.157</v>
          </cell>
          <cell r="Q29">
            <v>1.0816475944999949E-2</v>
          </cell>
          <cell r="R29">
            <v>1.9319999999999999</v>
          </cell>
          <cell r="S29">
            <v>8.1291576728392718E-3</v>
          </cell>
          <cell r="T29">
            <v>1.736</v>
          </cell>
          <cell r="U29">
            <v>6.1380061380061374E-3</v>
          </cell>
          <cell r="V29">
            <v>2.298</v>
          </cell>
          <cell r="W29">
            <v>9.8034196785092651E-3</v>
          </cell>
          <cell r="X29">
            <v>2.0169999999999999</v>
          </cell>
          <cell r="Y29">
            <v>6.0792014153658817E-3</v>
          </cell>
          <cell r="Z29">
            <v>1.9530000000000001</v>
          </cell>
          <cell r="AA29">
            <v>5.5104580197902469E-3</v>
          </cell>
          <cell r="AB29">
            <v>3.7410000000000001</v>
          </cell>
          <cell r="AC29">
            <v>7.3254406817496471E-3</v>
          </cell>
          <cell r="AD29">
            <v>3.1230000000000002</v>
          </cell>
          <cell r="AE29">
            <v>9.6977638937624407E-3</v>
          </cell>
          <cell r="AF29">
            <v>3.97</v>
          </cell>
          <cell r="AG29">
            <v>8.543826386004481E-3</v>
          </cell>
          <cell r="AH29">
            <v>3.1150000000000002</v>
          </cell>
          <cell r="AI29">
            <v>7.5346922386622843E-3</v>
          </cell>
          <cell r="AJ29">
            <v>2.452</v>
          </cell>
          <cell r="AK29">
            <v>4.2997327572299338E-3</v>
          </cell>
          <cell r="AL29">
            <v>2.4820000000000002</v>
          </cell>
          <cell r="AM29">
            <v>5.9744748865042351E-3</v>
          </cell>
          <cell r="AN29">
            <v>2.5179999999999998</v>
          </cell>
          <cell r="AO29">
            <v>4.357388958397144E-3</v>
          </cell>
          <cell r="AP29">
            <v>3.0049999999999999</v>
          </cell>
          <cell r="AQ29">
            <v>4.934140310202258E-3</v>
          </cell>
          <cell r="AR29">
            <v>2.383</v>
          </cell>
          <cell r="AS29">
            <v>2.8586612156567782E-3</v>
          </cell>
          <cell r="AT29">
            <v>5.2229999999999999</v>
          </cell>
          <cell r="AU29">
            <v>8.0498992028704055E-3</v>
          </cell>
          <cell r="AV29">
            <v>9.7059999999999995</v>
          </cell>
          <cell r="AW29">
            <v>1.2099106466153416E-2</v>
          </cell>
          <cell r="AX29">
            <v>10.004</v>
          </cell>
          <cell r="AY29">
            <v>1.3914407754458829E-2</v>
          </cell>
          <cell r="AZ29">
            <v>8.4770000000000003</v>
          </cell>
          <cell r="BA29">
            <v>8.9499039761983448E-3</v>
          </cell>
          <cell r="BB29">
            <v>7.1239999999999997</v>
          </cell>
          <cell r="BC29">
            <v>9.5827779025768854E-3</v>
          </cell>
          <cell r="BD29">
            <v>6.5990000000000002</v>
          </cell>
          <cell r="BE29">
            <v>7.6111365494873819E-3</v>
          </cell>
          <cell r="BF29">
            <v>8.4649999999999999</v>
          </cell>
          <cell r="BG29">
            <v>9.986857225104822E-3</v>
          </cell>
          <cell r="BH29">
            <v>5.8520000000000003</v>
          </cell>
          <cell r="BI29">
            <v>5.3206675019229687E-3</v>
          </cell>
          <cell r="BJ29">
            <v>7.3440000000000003</v>
          </cell>
          <cell r="BK29">
            <v>8.3851027414855936E-3</v>
          </cell>
          <cell r="BL29">
            <v>5.8230000000000004</v>
          </cell>
          <cell r="BM29">
            <v>5.9907160875881174E-3</v>
          </cell>
          <cell r="BN29">
            <v>6.72</v>
          </cell>
          <cell r="BO29">
            <v>6.8342759277885533E-3</v>
          </cell>
          <cell r="BP29">
            <v>4.6319999999999997</v>
          </cell>
          <cell r="BQ29">
            <v>4.1809657742097944E-3</v>
          </cell>
          <cell r="BR29">
            <v>3.88</v>
          </cell>
          <cell r="BS29">
            <v>4.8151563250429085E-3</v>
          </cell>
          <cell r="BT29">
            <v>3.988</v>
          </cell>
          <cell r="BU29">
            <v>4.5742075712999443E-3</v>
          </cell>
          <cell r="BV29">
            <v>2.782</v>
          </cell>
          <cell r="BW29">
            <v>2.7704858607626704E-3</v>
          </cell>
          <cell r="BX29">
            <v>4.7569999999999997</v>
          </cell>
          <cell r="BY29">
            <v>4.0645786962075605E-3</v>
          </cell>
          <cell r="BZ29">
            <v>5.2060000000000004</v>
          </cell>
          <cell r="CA29">
            <v>4.1530750385511631E-3</v>
          </cell>
          <cell r="CB29">
            <v>3.9409999999999998</v>
          </cell>
          <cell r="CC29">
            <v>3.7399904720872017E-3</v>
          </cell>
          <cell r="CD29">
            <v>4.3600000000000003</v>
          </cell>
          <cell r="CE29">
            <v>4.4671490367966041E-3</v>
          </cell>
          <cell r="CF29">
            <v>6.2569999999999997</v>
          </cell>
          <cell r="CG29">
            <v>5.5632761534884501E-3</v>
          </cell>
          <cell r="CH29">
            <v>6.0060000000000002</v>
          </cell>
          <cell r="CI29">
            <v>4.9721383092246165E-3</v>
          </cell>
          <cell r="CJ29">
            <v>9.2530000000000001</v>
          </cell>
          <cell r="CK29">
            <v>6.5529490749527642E-3</v>
          </cell>
          <cell r="CL29">
            <v>9.5649999999999995</v>
          </cell>
          <cell r="CM29">
            <v>7.0792648222338496E-3</v>
          </cell>
          <cell r="CN29">
            <v>11.377000000000001</v>
          </cell>
          <cell r="CO29">
            <v>7.0461134277480754E-3</v>
          </cell>
          <cell r="CP29">
            <v>11.250999999999999</v>
          </cell>
          <cell r="CQ29">
            <v>6.6181574334419589E-3</v>
          </cell>
          <cell r="CR29">
            <v>7.984</v>
          </cell>
          <cell r="CS29">
            <v>5.5328140083310984E-3</v>
          </cell>
          <cell r="CT29">
            <v>8.5269999999999992</v>
          </cell>
          <cell r="CU29">
            <v>6.2848256139626767E-3</v>
          </cell>
          <cell r="CV29">
            <v>11.638</v>
          </cell>
          <cell r="CW29">
            <v>7.8023023429030754E-3</v>
          </cell>
          <cell r="CX29">
            <v>12.086</v>
          </cell>
          <cell r="CY29">
            <v>7.6395130837565205E-3</v>
          </cell>
          <cell r="CZ29">
            <v>8.4990000000000006</v>
          </cell>
          <cell r="DA29">
            <v>4.4234798874534312E-3</v>
          </cell>
          <cell r="DB29">
            <v>4.9290000000000003</v>
          </cell>
          <cell r="DC29">
            <v>2.6613508042635605E-3</v>
          </cell>
          <cell r="DD29">
            <v>12.666</v>
          </cell>
          <cell r="DE29">
            <v>5.5505743832183867E-3</v>
          </cell>
          <cell r="DF29">
            <v>10.228</v>
          </cell>
          <cell r="DG29">
            <v>4.8542168754751938E-3</v>
          </cell>
          <cell r="DH29">
            <v>15.792999999999999</v>
          </cell>
          <cell r="DI29">
            <v>6.5162102747593703E-3</v>
          </cell>
          <cell r="DJ29">
            <v>18.853000000000002</v>
          </cell>
          <cell r="DK29">
            <v>7.9416965819490599E-3</v>
          </cell>
          <cell r="DL29">
            <v>16.919</v>
          </cell>
          <cell r="DM29">
            <v>6.1165562042428704E-3</v>
          </cell>
          <cell r="DN29">
            <v>17.135999999999999</v>
          </cell>
          <cell r="DO29">
            <v>7.5981965811662625E-3</v>
          </cell>
          <cell r="DP29">
            <v>13.167</v>
          </cell>
          <cell r="DQ29">
            <v>5.9206026811107742E-3</v>
          </cell>
          <cell r="DR29">
            <v>16.283999999999999</v>
          </cell>
          <cell r="DS29">
            <v>7.0561899607455032E-3</v>
          </cell>
          <cell r="DT29">
            <v>14.2</v>
          </cell>
          <cell r="DU29">
            <v>5.6691152986266362E-3</v>
          </cell>
          <cell r="DV29">
            <v>10.1</v>
          </cell>
          <cell r="DW29">
            <v>5.2796654469419758E-3</v>
          </cell>
          <cell r="DX29">
            <v>10.4</v>
          </cell>
          <cell r="DY29">
            <v>4.7776552737963983E-3</v>
          </cell>
          <cell r="DZ29">
            <v>9.4</v>
          </cell>
          <cell r="EA29">
            <v>4.3073821197818817E-3</v>
          </cell>
          <cell r="EB29">
            <v>10</v>
          </cell>
          <cell r="EC29">
            <v>3.9982407740594139E-3</v>
          </cell>
          <cell r="ED29">
            <v>6.7</v>
          </cell>
          <cell r="EE29">
            <v>3.2529640814503366E-3</v>
          </cell>
          <cell r="EF29">
            <v>13.9</v>
          </cell>
          <cell r="EG29">
            <v>6.4303445646934293E-3</v>
          </cell>
          <cell r="EH29">
            <v>14.4</v>
          </cell>
          <cell r="EI29">
            <v>6.3361206397369793E-3</v>
          </cell>
          <cell r="EJ29">
            <v>15.4</v>
          </cell>
          <cell r="EK29">
            <v>5.8406341259908227E-3</v>
          </cell>
          <cell r="EL29">
            <v>16.7</v>
          </cell>
          <cell r="EM29">
            <v>7.5953972802110343E-3</v>
          </cell>
          <cell r="EN29">
            <v>18</v>
          </cell>
          <cell r="EO29">
            <v>8.0500894454382833E-3</v>
          </cell>
          <cell r="EP29">
            <v>5.9</v>
          </cell>
          <cell r="EQ29">
            <v>2.4293831837272502E-3</v>
          </cell>
          <cell r="ES29" t="str">
            <v>Interest Expense</v>
          </cell>
          <cell r="ET29">
            <v>63.506</v>
          </cell>
          <cell r="EU29">
            <v>6.6477121835608515E-3</v>
          </cell>
          <cell r="EV29">
            <v>44.099999999999994</v>
          </cell>
          <cell r="EW29">
            <v>5.0245530882202152E-3</v>
          </cell>
          <cell r="EX29">
            <v>45</v>
          </cell>
          <cell r="EY29">
            <v>5.0027403900136398E-3</v>
          </cell>
          <cell r="EZ29">
            <v>56</v>
          </cell>
          <cell r="FA29">
            <v>5.8947368421052634E-3</v>
          </cell>
          <cell r="FB29">
            <v>50</v>
          </cell>
          <cell r="FC29">
            <v>4.8262548262548262E-3</v>
          </cell>
          <cell r="FE29" t="str">
            <v>Interest Expense</v>
          </cell>
          <cell r="FF29">
            <v>53.750999999999998</v>
          </cell>
          <cell r="FG29">
            <v>6.0060405676748072E-3</v>
          </cell>
          <cell r="FH29">
            <v>36.5</v>
          </cell>
          <cell r="FI29">
            <v>4.0919924752182207E-3</v>
          </cell>
          <cell r="FJ29">
            <v>60.400000000000006</v>
          </cell>
          <cell r="FK29">
            <v>6.5158456952806509E-3</v>
          </cell>
          <cell r="FL29">
            <v>42</v>
          </cell>
          <cell r="FM29">
            <v>3.9436619718309857E-3</v>
          </cell>
        </row>
        <row r="30">
          <cell r="A30" t="str">
            <v>Other Income/(Exp)</v>
          </cell>
          <cell r="D30">
            <v>0.78300000000000003</v>
          </cell>
          <cell r="E30">
            <v>2.3893222014720419E-3</v>
          </cell>
          <cell r="F30">
            <v>-5.3159999999999998</v>
          </cell>
          <cell r="G30">
            <v>-2.2344771928644688E-2</v>
          </cell>
          <cell r="H30">
            <v>3.9E-2</v>
          </cell>
          <cell r="I30">
            <v>1.5077999652046164E-4</v>
          </cell>
          <cell r="J30">
            <v>-6.7489999999999997</v>
          </cell>
          <cell r="K30">
            <v>-2.7552449265363276E-2</v>
          </cell>
          <cell r="L30">
            <v>-0.123</v>
          </cell>
          <cell r="M30">
            <v>-4.7820289021161455E-4</v>
          </cell>
          <cell r="N30">
            <v>2.5030000000000001</v>
          </cell>
          <cell r="O30">
            <v>1.3672888568416338E-2</v>
          </cell>
          <cell r="P30">
            <v>0.99199999999999999</v>
          </cell>
          <cell r="Q30">
            <v>4.9744757243578809E-3</v>
          </cell>
          <cell r="R30">
            <v>2.8290000000000002</v>
          </cell>
          <cell r="S30">
            <v>1.190340944951465E-2</v>
          </cell>
          <cell r="T30">
            <v>3.1619999999999999</v>
          </cell>
          <cell r="U30">
            <v>1.1179939751368322E-2</v>
          </cell>
          <cell r="V30">
            <v>16.6555</v>
          </cell>
          <cell r="W30">
            <v>7.1053462339169302E-2</v>
          </cell>
          <cell r="X30">
            <v>1.42</v>
          </cell>
          <cell r="Y30">
            <v>4.2798542438371601E-3</v>
          </cell>
          <cell r="Z30">
            <v>-0.51600000000000001</v>
          </cell>
          <cell r="AA30">
            <v>-1.4559121035390514E-3</v>
          </cell>
          <cell r="AB30">
            <v>-1.0880000000000001</v>
          </cell>
          <cell r="AC30">
            <v>-2.1304676454807847E-3</v>
          </cell>
          <cell r="AD30">
            <v>3.0470000000000002</v>
          </cell>
          <cell r="AE30">
            <v>9.4617632354448145E-3</v>
          </cell>
          <cell r="AF30">
            <v>5.0000000000000001E-3</v>
          </cell>
          <cell r="AG30">
            <v>1.0760486632247457E-5</v>
          </cell>
          <cell r="AH30">
            <v>1.4850000000000001</v>
          </cell>
          <cell r="AI30">
            <v>3.5919800880942192E-3</v>
          </cell>
          <cell r="AJ30">
            <v>0.25800000000000001</v>
          </cell>
          <cell r="AK30">
            <v>4.5241886271016432E-4</v>
          </cell>
          <cell r="AL30">
            <v>3.153</v>
          </cell>
          <cell r="AM30">
            <v>7.5896532301159758E-3</v>
          </cell>
          <cell r="AN30">
            <v>1.1990000000000001</v>
          </cell>
          <cell r="AO30">
            <v>2.0748647184742558E-3</v>
          </cell>
          <cell r="AP30">
            <v>2.6539999999999999</v>
          </cell>
          <cell r="AQ30">
            <v>4.357806450341695E-3</v>
          </cell>
          <cell r="AR30">
            <v>0.41</v>
          </cell>
          <cell r="AS30">
            <v>4.9183848024308811E-4</v>
          </cell>
          <cell r="AT30">
            <v>1.321</v>
          </cell>
          <cell r="AU30">
            <v>2.0359787185509869E-3</v>
          </cell>
          <cell r="AV30">
            <v>1.298</v>
          </cell>
          <cell r="AW30">
            <v>1.6180342255375166E-3</v>
          </cell>
          <cell r="AX30">
            <v>-2.988</v>
          </cell>
          <cell r="AY30">
            <v>-4.1559626519715098E-3</v>
          </cell>
          <cell r="AZ30">
            <v>0.32300000000000001</v>
          </cell>
          <cell r="BA30">
            <v>3.4101910868374014E-4</v>
          </cell>
          <cell r="BB30">
            <v>0.434</v>
          </cell>
          <cell r="BC30">
            <v>5.8379079305423474E-4</v>
          </cell>
          <cell r="BD30">
            <v>6.2E-2</v>
          </cell>
          <cell r="BE30">
            <v>7.1509390220975551E-5</v>
          </cell>
          <cell r="BF30">
            <v>-2.96</v>
          </cell>
          <cell r="BG30">
            <v>-3.4921556274436234E-3</v>
          </cell>
          <cell r="BH30">
            <v>0.85099999999999998</v>
          </cell>
          <cell r="BI30">
            <v>7.7373343201237962E-4</v>
          </cell>
          <cell r="BJ30">
            <v>-1.204</v>
          </cell>
          <cell r="BK30">
            <v>-1.3746818764635966E-3</v>
          </cell>
          <cell r="BL30">
            <v>-1.413</v>
          </cell>
          <cell r="BM30">
            <v>-1.4536977214085539E-3</v>
          </cell>
          <cell r="BN30">
            <v>0.29099999999999998</v>
          </cell>
          <cell r="BO30">
            <v>2.9594855580155786E-4</v>
          </cell>
          <cell r="BP30">
            <v>-3.36</v>
          </cell>
          <cell r="BQ30">
            <v>-3.0328249139345664E-3</v>
          </cell>
          <cell r="BR30">
            <v>1.1819999999999999</v>
          </cell>
          <cell r="BS30">
            <v>1.466885251598123E-3</v>
          </cell>
          <cell r="BT30">
            <v>3.2290000000000001</v>
          </cell>
          <cell r="BU30">
            <v>3.7036399818775128E-3</v>
          </cell>
          <cell r="BV30">
            <v>-9.3209999999999997</v>
          </cell>
          <cell r="BW30">
            <v>-9.2824222531160492E-3</v>
          </cell>
          <cell r="BX30">
            <v>0.83</v>
          </cell>
          <cell r="BY30">
            <v>7.0918652887371771E-4</v>
          </cell>
          <cell r="BZ30">
            <v>-1.1619999999999999</v>
          </cell>
          <cell r="CA30">
            <v>-9.2698294175882644E-4</v>
          </cell>
          <cell r="CB30">
            <v>-1.6619999999999999</v>
          </cell>
          <cell r="CC30">
            <v>-1.5772301864016567E-3</v>
          </cell>
          <cell r="CD30">
            <v>-2.98</v>
          </cell>
          <cell r="CE30">
            <v>-3.0532348921224494E-3</v>
          </cell>
          <cell r="CF30">
            <v>-5.3760000000000003</v>
          </cell>
          <cell r="CG30">
            <v>-4.7799540676288811E-3</v>
          </cell>
          <cell r="CH30">
            <v>-1.726</v>
          </cell>
          <cell r="CI30">
            <v>-1.4288895640562249E-3</v>
          </cell>
          <cell r="CJ30">
            <v>-5.5140000000000002</v>
          </cell>
          <cell r="CK30">
            <v>-3.9049995892456008E-3</v>
          </cell>
          <cell r="CL30">
            <v>-6.133</v>
          </cell>
          <cell r="CM30">
            <v>-4.5391668745175329E-3</v>
          </cell>
          <cell r="CN30">
            <v>-8.3439999999999994</v>
          </cell>
          <cell r="CO30">
            <v>-5.1676865993785645E-3</v>
          </cell>
          <cell r="CP30">
            <v>-10.249000000000001</v>
          </cell>
          <cell r="CQ30">
            <v>-6.028752602910554E-3</v>
          </cell>
          <cell r="CR30">
            <v>-8.798</v>
          </cell>
          <cell r="CS30">
            <v>-6.0969060176975206E-3</v>
          </cell>
          <cell r="CT30">
            <v>-7.375</v>
          </cell>
          <cell r="CU30">
            <v>-5.435743978301248E-3</v>
          </cell>
          <cell r="CV30">
            <v>-9.8309999999999995</v>
          </cell>
          <cell r="CW30">
            <v>-6.5908604857432664E-3</v>
          </cell>
          <cell r="CX30">
            <v>-11.429</v>
          </cell>
          <cell r="CY30">
            <v>-7.2242259667593314E-3</v>
          </cell>
          <cell r="CZ30">
            <v>-9.7059999999999995</v>
          </cell>
          <cell r="DA30">
            <v>-5.051687938301329E-3</v>
          </cell>
          <cell r="DB30">
            <v>-11.455</v>
          </cell>
          <cell r="DC30">
            <v>-6.1849814288575944E-3</v>
          </cell>
          <cell r="DD30">
            <v>-8.641</v>
          </cell>
          <cell r="DE30">
            <v>-3.7867135042941795E-3</v>
          </cell>
          <cell r="DF30">
            <v>0.14699999999999999</v>
          </cell>
          <cell r="DG30">
            <v>6.976631606324339E-5</v>
          </cell>
          <cell r="DH30">
            <v>-7.7160000000000002</v>
          </cell>
          <cell r="DI30">
            <v>-3.1836306262295515E-3</v>
          </cell>
          <cell r="DJ30">
            <v>-10.87</v>
          </cell>
          <cell r="DK30">
            <v>-4.5789127378022734E-3</v>
          </cell>
          <cell r="DL30">
            <v>-13.169</v>
          </cell>
          <cell r="DM30">
            <v>-4.7608563540205897E-3</v>
          </cell>
          <cell r="DN30">
            <v>-6.3209999999999997</v>
          </cell>
          <cell r="DO30">
            <v>-2.8027661408468688E-3</v>
          </cell>
          <cell r="DP30">
            <v>-7.9829999999999997</v>
          </cell>
          <cell r="DQ30">
            <v>-3.5895930130862997E-3</v>
          </cell>
          <cell r="DR30">
            <v>10.028</v>
          </cell>
          <cell r="DS30">
            <v>4.3453373204590954E-3</v>
          </cell>
          <cell r="DT30">
            <v>-4.5999999999999996</v>
          </cell>
          <cell r="DU30">
            <v>-1.8364739699776426E-3</v>
          </cell>
          <cell r="DV30">
            <v>-27.6</v>
          </cell>
          <cell r="DW30">
            <v>-1.4427600627286985E-2</v>
          </cell>
          <cell r="DX30">
            <v>-26.3</v>
          </cell>
          <cell r="DY30">
            <v>-1.2081955163542815E-2</v>
          </cell>
          <cell r="DZ30">
            <v>15.2</v>
          </cell>
          <cell r="EA30">
            <v>6.9651285341153822E-3</v>
          </cell>
          <cell r="EB30">
            <v>-7</v>
          </cell>
          <cell r="EC30">
            <v>-2.7987685418415899E-3</v>
          </cell>
          <cell r="ED30">
            <v>-16.8</v>
          </cell>
          <cell r="EE30">
            <v>-8.1566860549799492E-3</v>
          </cell>
          <cell r="EF30">
            <v>0.2</v>
          </cell>
          <cell r="EG30">
            <v>9.2522943376883873E-5</v>
          </cell>
          <cell r="EH30">
            <v>2.8</v>
          </cell>
          <cell r="EI30">
            <v>1.2320234577266346E-3</v>
          </cell>
          <cell r="EJ30">
            <v>-20</v>
          </cell>
          <cell r="EK30">
            <v>-7.5852391246634052E-3</v>
          </cell>
          <cell r="EL30">
            <v>6.4</v>
          </cell>
          <cell r="EM30">
            <v>2.9108109337335703E-3</v>
          </cell>
          <cell r="EN30">
            <v>-2</v>
          </cell>
          <cell r="EO30">
            <v>-8.9445438282647585E-4</v>
          </cell>
          <cell r="EP30">
            <v>5.6</v>
          </cell>
          <cell r="EQ30">
            <v>2.3058552252326436E-3</v>
          </cell>
          <cell r="ES30" t="str">
            <v>Other Income/(Exp)</v>
          </cell>
          <cell r="ET30">
            <v>-17.445</v>
          </cell>
          <cell r="EU30">
            <v>-1.8261162573964516E-3</v>
          </cell>
          <cell r="EV30">
            <v>-43.3</v>
          </cell>
          <cell r="EW30">
            <v>-4.9334047328783524E-3</v>
          </cell>
          <cell r="EX30">
            <v>-20.8</v>
          </cell>
          <cell r="EY30">
            <v>-2.3123777802729712E-3</v>
          </cell>
          <cell r="EZ30">
            <v>-10</v>
          </cell>
          <cell r="FA30">
            <v>-1.0526315789473684E-3</v>
          </cell>
          <cell r="FB30">
            <v>-10</v>
          </cell>
          <cell r="FC30">
            <v>-9.6525096525096527E-4</v>
          </cell>
          <cell r="FE30" t="str">
            <v>Other Income/(Exp)</v>
          </cell>
          <cell r="FF30">
            <v>-30.155000000000001</v>
          </cell>
          <cell r="FG30">
            <v>-3.3694657460927951E-3</v>
          </cell>
          <cell r="FH30">
            <v>-34.900000000000006</v>
          </cell>
          <cell r="FI30">
            <v>-3.9126174626059156E-3</v>
          </cell>
          <cell r="FJ30">
            <v>-10.6</v>
          </cell>
          <cell r="FK30">
            <v>-1.1435093438737563E-3</v>
          </cell>
          <cell r="FL30">
            <v>-15</v>
          </cell>
          <cell r="FM30">
            <v>-1.4084507042253522E-3</v>
          </cell>
        </row>
        <row r="31">
          <cell r="A31" t="str">
            <v>Pretax Income</v>
          </cell>
          <cell r="D31">
            <v>47.241000000000021</v>
          </cell>
          <cell r="E31">
            <v>0.14415577282214659</v>
          </cell>
          <cell r="F31">
            <v>18.486999999999981</v>
          </cell>
          <cell r="G31">
            <v>7.7706508398204269E-2</v>
          </cell>
          <cell r="H31">
            <v>25.61499999999997</v>
          </cell>
          <cell r="I31">
            <v>9.9031528483887701E-2</v>
          </cell>
          <cell r="J31">
            <v>18.673999999999982</v>
          </cell>
          <cell r="K31">
            <v>7.6235655294324092E-2</v>
          </cell>
          <cell r="L31">
            <v>29.839999999999975</v>
          </cell>
          <cell r="M31">
            <v>0.11601279873101274</v>
          </cell>
          <cell r="N31">
            <v>6.7890000000000219</v>
          </cell>
          <cell r="O31">
            <v>3.708559348421047E-2</v>
          </cell>
          <cell r="P31">
            <v>12.955000000000013</v>
          </cell>
          <cell r="Q31">
            <v>6.496404537203268E-2</v>
          </cell>
          <cell r="R31">
            <v>24.09500000000001</v>
          </cell>
          <cell r="S31">
            <v>0.10138305079040494</v>
          </cell>
          <cell r="T31">
            <v>43.281000000000049</v>
          </cell>
          <cell r="U31">
            <v>0.15302940302940318</v>
          </cell>
          <cell r="V31">
            <v>31.347500000000011</v>
          </cell>
          <cell r="W31">
            <v>0.13373050407835912</v>
          </cell>
          <cell r="X31">
            <v>44.999000000000045</v>
          </cell>
          <cell r="Y31">
            <v>0.13562616980171024</v>
          </cell>
          <cell r="Z31">
            <v>46.567000000000043</v>
          </cell>
          <cell r="AA31">
            <v>0.13139042427423075</v>
          </cell>
          <cell r="AB31">
            <v>94.986000000000004</v>
          </cell>
          <cell r="AC31">
            <v>0.18599687479194654</v>
          </cell>
          <cell r="AD31">
            <v>40.075000000000024</v>
          </cell>
          <cell r="AE31">
            <v>0.12444376818524816</v>
          </cell>
          <cell r="AF31">
            <v>79.828000000000031</v>
          </cell>
          <cell r="AG31">
            <v>0.17179762537581006</v>
          </cell>
          <cell r="AH31">
            <v>55.758000000000003</v>
          </cell>
          <cell r="AI31">
            <v>0.13486978165114979</v>
          </cell>
          <cell r="AJ31">
            <v>92.474000000000032</v>
          </cell>
          <cell r="AK31">
            <v>0.16215884461340987</v>
          </cell>
          <cell r="AL31">
            <v>30.305999999999948</v>
          </cell>
          <cell r="AM31">
            <v>7.2950215918773986E-2</v>
          </cell>
          <cell r="AN31">
            <v>103.90500000000017</v>
          </cell>
          <cell r="AO31">
            <v>0.17980718813433519</v>
          </cell>
          <cell r="AP31">
            <v>104.02200000000005</v>
          </cell>
          <cell r="AQ31">
            <v>0.17080171159662547</v>
          </cell>
          <cell r="AR31">
            <v>163.35199999999995</v>
          </cell>
          <cell r="AS31">
            <v>0.19595804737724126</v>
          </cell>
          <cell r="AT31">
            <v>95.181000000000083</v>
          </cell>
          <cell r="AU31">
            <v>0.14669681333111406</v>
          </cell>
          <cell r="AV31">
            <v>115.86799999999998</v>
          </cell>
          <cell r="AW31">
            <v>0.14443635565838284</v>
          </cell>
          <cell r="AX31">
            <v>87.342999999999833</v>
          </cell>
          <cell r="AY31">
            <v>0.1214840180425525</v>
          </cell>
          <cell r="AZ31">
            <v>186.13700000000006</v>
          </cell>
          <cell r="BA31">
            <v>0.19652097161939738</v>
          </cell>
          <cell r="BB31">
            <v>99.934999999999917</v>
          </cell>
          <cell r="BC31">
            <v>0.13442657351123249</v>
          </cell>
          <cell r="BD31">
            <v>134.21700000000004</v>
          </cell>
          <cell r="BE31">
            <v>0.15480283592401095</v>
          </cell>
          <cell r="BF31">
            <v>101.52900000000018</v>
          </cell>
          <cell r="BG31">
            <v>0.11978211780362306</v>
          </cell>
          <cell r="BH31">
            <v>200.19300000000007</v>
          </cell>
          <cell r="BI31">
            <v>0.18201647115729069</v>
          </cell>
          <cell r="BJ31">
            <v>124.14499999999991</v>
          </cell>
          <cell r="BK31">
            <v>0.14174408766908064</v>
          </cell>
          <cell r="BL31">
            <v>146.07099999999997</v>
          </cell>
          <cell r="BM31">
            <v>0.15027818815560426</v>
          </cell>
          <cell r="BN31">
            <v>124.10699999999989</v>
          </cell>
          <cell r="BO31">
            <v>0.12621748252530554</v>
          </cell>
          <cell r="BP31">
            <v>192.80000000000013</v>
          </cell>
          <cell r="BQ31">
            <v>0.17402638196624548</v>
          </cell>
          <cell r="BR31">
            <v>83.495000000000019</v>
          </cell>
          <cell r="BS31">
            <v>0.10361893746377776</v>
          </cell>
          <cell r="BT31">
            <v>102.735</v>
          </cell>
          <cell r="BU31">
            <v>0.11783631264731689</v>
          </cell>
          <cell r="BV31">
            <v>111.56399999999992</v>
          </cell>
          <cell r="BW31">
            <v>0.11110225901154794</v>
          </cell>
          <cell r="BX31">
            <v>173.68700000000004</v>
          </cell>
          <cell r="BY31">
            <v>0.14840539836203548</v>
          </cell>
          <cell r="BZ31">
            <v>198.86400000000003</v>
          </cell>
          <cell r="CA31">
            <v>0.15864331818410266</v>
          </cell>
          <cell r="CB31">
            <v>139.23899999999992</v>
          </cell>
          <cell r="CC31">
            <v>0.13213715639252718</v>
          </cell>
          <cell r="CD31">
            <v>113.32899999999989</v>
          </cell>
          <cell r="CE31">
            <v>0.11611411311722979</v>
          </cell>
          <cell r="CF31">
            <v>156.34900000000013</v>
          </cell>
          <cell r="CG31">
            <v>0.13901433008179101</v>
          </cell>
          <cell r="CH31">
            <v>196.14300000000006</v>
          </cell>
          <cell r="CI31">
            <v>0.16237930808961776</v>
          </cell>
          <cell r="CJ31">
            <v>180.58899999999983</v>
          </cell>
          <cell r="CK31">
            <v>0.12789263163262116</v>
          </cell>
          <cell r="CL31">
            <v>145.18100000000007</v>
          </cell>
          <cell r="CM31">
            <v>0.10745162008956957</v>
          </cell>
          <cell r="CN31">
            <v>267.88099999999986</v>
          </cell>
          <cell r="CO31">
            <v>0.16590664596454083</v>
          </cell>
          <cell r="CP31">
            <v>296.09799999999996</v>
          </cell>
          <cell r="CQ31">
            <v>0.17417324502064679</v>
          </cell>
          <cell r="CR31">
            <v>192.21599999999998</v>
          </cell>
          <cell r="CS31">
            <v>0.13320332883584296</v>
          </cell>
          <cell r="CT31">
            <v>159.01399999999978</v>
          </cell>
          <cell r="CU31">
            <v>0.11720127362245335</v>
          </cell>
          <cell r="CV31">
            <v>185.04900000000015</v>
          </cell>
          <cell r="CW31">
            <v>0.12405982524934459</v>
          </cell>
          <cell r="CX31">
            <v>217.6730000000002</v>
          </cell>
          <cell r="CY31">
            <v>0.1375902475161786</v>
          </cell>
          <cell r="CZ31">
            <v>253.94399999999993</v>
          </cell>
          <cell r="DA31">
            <v>0.13217039375685066</v>
          </cell>
          <cell r="DB31">
            <v>217.42700000000013</v>
          </cell>
          <cell r="DC31">
            <v>0.11739694082341519</v>
          </cell>
          <cell r="DD31">
            <v>368.96299999999997</v>
          </cell>
          <cell r="DE31">
            <v>0.16168929229081047</v>
          </cell>
          <cell r="DF31">
            <v>288.8720000000003</v>
          </cell>
          <cell r="DG31">
            <v>0.13709887927769571</v>
          </cell>
          <cell r="DH31">
            <v>387.13300000000027</v>
          </cell>
          <cell r="DI31">
            <v>0.15973152867083018</v>
          </cell>
          <cell r="DJ31">
            <v>250.24899999999997</v>
          </cell>
          <cell r="DK31">
            <v>0.10541567007564683</v>
          </cell>
          <cell r="DL31">
            <v>411.63000000000022</v>
          </cell>
          <cell r="DM31">
            <v>0.14881246115919936</v>
          </cell>
          <cell r="DN31">
            <v>229.24900000000002</v>
          </cell>
          <cell r="DO31">
            <v>0.10165026657538427</v>
          </cell>
          <cell r="DP31">
            <v>122.55199999999965</v>
          </cell>
          <cell r="DQ31">
            <v>5.510607577849818E-2</v>
          </cell>
          <cell r="DR31">
            <v>19.398999999999518</v>
          </cell>
          <cell r="DS31">
            <v>8.4059831152357295E-3</v>
          </cell>
          <cell r="DT31">
            <v>270.80000000000024</v>
          </cell>
          <cell r="DU31">
            <v>0.10811242414564046</v>
          </cell>
          <cell r="DV31">
            <v>113.80000000000013</v>
          </cell>
          <cell r="DW31">
            <v>5.9487715629900746E-2</v>
          </cell>
          <cell r="DX31">
            <v>205.40000000000012</v>
          </cell>
          <cell r="DY31">
            <v>9.4358691657478913E-2</v>
          </cell>
          <cell r="DZ31">
            <v>179.4</v>
          </cell>
          <cell r="EA31">
            <v>8.220684598817761E-2</v>
          </cell>
          <cell r="EB31">
            <v>322.89999999999975</v>
          </cell>
          <cell r="EC31">
            <v>0.12910319459437838</v>
          </cell>
          <cell r="ED31">
            <v>173.3599999999999</v>
          </cell>
          <cell r="EE31">
            <v>8.4169231814959708E-2</v>
          </cell>
          <cell r="EF31">
            <v>229.12600000000012</v>
          </cell>
          <cell r="EG31">
            <v>0.10599705962085952</v>
          </cell>
          <cell r="EH31">
            <v>193.68400000000057</v>
          </cell>
          <cell r="EI31">
            <v>8.5222582637973651E-2</v>
          </cell>
          <cell r="EJ31">
            <v>330.99999999999977</v>
          </cell>
          <cell r="EK31">
            <v>0.12553570751317927</v>
          </cell>
          <cell r="EL31">
            <v>187.99999999999997</v>
          </cell>
          <cell r="EM31">
            <v>8.5505071178423611E-2</v>
          </cell>
          <cell r="EN31">
            <v>150</v>
          </cell>
          <cell r="EO31">
            <v>6.7084078711985684E-2</v>
          </cell>
          <cell r="EP31">
            <v>234.0000000000004</v>
          </cell>
          <cell r="EQ31">
            <v>9.635180762579279E-2</v>
          </cell>
          <cell r="ES31" t="str">
            <v>Pretax Income</v>
          </cell>
          <cell r="ET31">
            <v>782.82999999999947</v>
          </cell>
          <cell r="EU31">
            <v>8.1945462297372498E-2</v>
          </cell>
          <cell r="EV31">
            <v>769.39999999999793</v>
          </cell>
          <cell r="EW31">
            <v>8.7661930750036809E-2</v>
          </cell>
          <cell r="EX31">
            <v>919.0700000000013</v>
          </cell>
          <cell r="EY31">
            <v>0.10217485800555205</v>
          </cell>
          <cell r="EZ31">
            <v>903</v>
          </cell>
          <cell r="FA31">
            <v>9.5052631578947375E-2</v>
          </cell>
          <cell r="FB31">
            <v>1020</v>
          </cell>
          <cell r="FC31">
            <v>9.8455598455598453E-2</v>
          </cell>
          <cell r="FE31" t="str">
            <v>Pretax Income</v>
          </cell>
          <cell r="FF31">
            <v>526.55099999999948</v>
          </cell>
          <cell r="FG31">
            <v>5.8835866624802037E-2</v>
          </cell>
          <cell r="FH31">
            <v>881.06000000000097</v>
          </cell>
          <cell r="FI31">
            <v>9.8775092882623816E-2</v>
          </cell>
          <cell r="FJ31">
            <v>941.81000000000176</v>
          </cell>
          <cell r="FK31">
            <v>0.10160080520318344</v>
          </cell>
          <cell r="FL31">
            <v>1073</v>
          </cell>
          <cell r="FM31">
            <v>0.10075117370892019</v>
          </cell>
        </row>
        <row r="32">
          <cell r="Y32" t="str">
            <v xml:space="preserve"> </v>
          </cell>
          <cell r="AG32" t="str">
            <v xml:space="preserve"> </v>
          </cell>
          <cell r="AO32" t="str">
            <v xml:space="preserve"> </v>
          </cell>
          <cell r="AW32" t="str">
            <v xml:space="preserve"> </v>
          </cell>
          <cell r="BE32" t="str">
            <v xml:space="preserve"> </v>
          </cell>
          <cell r="BM32" t="str">
            <v xml:space="preserve"> </v>
          </cell>
          <cell r="BU32" t="str">
            <v xml:space="preserve"> </v>
          </cell>
          <cell r="CG32" t="str">
            <v xml:space="preserve"> </v>
          </cell>
          <cell r="CI32" t="str">
            <v xml:space="preserve"> </v>
          </cell>
          <cell r="CW32" t="str">
            <v xml:space="preserve"> </v>
          </cell>
          <cell r="CY32" t="str">
            <v xml:space="preserve"> </v>
          </cell>
          <cell r="DI32" t="str">
            <v xml:space="preserve"> </v>
          </cell>
          <cell r="DQ32" t="str">
            <v xml:space="preserve"> </v>
          </cell>
        </row>
        <row r="33">
          <cell r="A33" t="str">
            <v>Income Tax</v>
          </cell>
          <cell r="D33">
            <v>24.1</v>
          </cell>
          <cell r="F33">
            <v>10.1</v>
          </cell>
          <cell r="H33">
            <v>16</v>
          </cell>
          <cell r="J33">
            <v>7.56</v>
          </cell>
          <cell r="L33">
            <v>14.9</v>
          </cell>
          <cell r="N33">
            <v>1.6</v>
          </cell>
          <cell r="P33">
            <v>8.6999999999999993</v>
          </cell>
          <cell r="R33">
            <v>12.6</v>
          </cell>
          <cell r="T33">
            <v>18.2</v>
          </cell>
          <cell r="V33">
            <v>12.8</v>
          </cell>
          <cell r="X33">
            <v>17.399999999999999</v>
          </cell>
          <cell r="Z33">
            <v>16.100000000000001</v>
          </cell>
          <cell r="AB33">
            <v>38</v>
          </cell>
          <cell r="AD33">
            <v>15.3</v>
          </cell>
          <cell r="AF33">
            <v>31</v>
          </cell>
          <cell r="AH33">
            <v>19.3</v>
          </cell>
          <cell r="AJ33">
            <v>49</v>
          </cell>
          <cell r="AL33">
            <v>23.8</v>
          </cell>
          <cell r="AN33">
            <v>40.799999999999997</v>
          </cell>
          <cell r="AP33">
            <v>36.799999999999997</v>
          </cell>
          <cell r="AR33">
            <v>63.7</v>
          </cell>
          <cell r="AT33">
            <v>37.1</v>
          </cell>
          <cell r="AV33">
            <v>45.2</v>
          </cell>
          <cell r="AX33">
            <v>28.7</v>
          </cell>
          <cell r="AZ33">
            <v>71.7</v>
          </cell>
          <cell r="BB33">
            <v>38.4</v>
          </cell>
          <cell r="BD33">
            <v>51.7</v>
          </cell>
          <cell r="BF33">
            <v>30.8</v>
          </cell>
          <cell r="BH33">
            <v>77.599999999999994</v>
          </cell>
          <cell r="BJ33">
            <v>48.1</v>
          </cell>
          <cell r="BL33">
            <v>56.6</v>
          </cell>
          <cell r="BN33">
            <v>47.2</v>
          </cell>
          <cell r="BP33">
            <v>78.7</v>
          </cell>
          <cell r="BR33">
            <v>31.2</v>
          </cell>
          <cell r="BT33">
            <v>39.5</v>
          </cell>
          <cell r="BV33">
            <v>42.4</v>
          </cell>
          <cell r="BX33">
            <v>67.7</v>
          </cell>
          <cell r="BZ33">
            <v>77.5</v>
          </cell>
          <cell r="CB33">
            <v>54.3</v>
          </cell>
          <cell r="CD33">
            <v>44</v>
          </cell>
          <cell r="CF33">
            <v>61</v>
          </cell>
          <cell r="CH33">
            <v>76.400000000000006</v>
          </cell>
          <cell r="CJ33">
            <v>67.2</v>
          </cell>
          <cell r="CL33">
            <v>54</v>
          </cell>
          <cell r="CN33">
            <v>103.1</v>
          </cell>
          <cell r="CP33">
            <v>114</v>
          </cell>
          <cell r="CR33">
            <v>74</v>
          </cell>
          <cell r="CT33">
            <v>61.2</v>
          </cell>
          <cell r="CV33">
            <v>71.3</v>
          </cell>
          <cell r="CX33">
            <v>83.8</v>
          </cell>
          <cell r="CZ33">
            <v>97.5</v>
          </cell>
          <cell r="DB33">
            <v>83.7</v>
          </cell>
          <cell r="DD33">
            <v>142.9</v>
          </cell>
          <cell r="DF33">
            <v>112</v>
          </cell>
          <cell r="DH33">
            <v>150</v>
          </cell>
          <cell r="DJ33">
            <v>94.5</v>
          </cell>
          <cell r="DL33">
            <v>158.5</v>
          </cell>
          <cell r="DN33">
            <v>88.2</v>
          </cell>
          <cell r="DP33">
            <v>49.5</v>
          </cell>
          <cell r="DR33">
            <v>7.6</v>
          </cell>
          <cell r="DT33">
            <v>107</v>
          </cell>
          <cell r="DV33">
            <v>44.9</v>
          </cell>
          <cell r="DX33">
            <v>81.2</v>
          </cell>
          <cell r="DZ33">
            <v>70.86</v>
          </cell>
          <cell r="EB33">
            <v>122.7</v>
          </cell>
          <cell r="ED33">
            <v>65.900000000000006</v>
          </cell>
          <cell r="EF33">
            <v>83.8</v>
          </cell>
          <cell r="EH33">
            <v>67.7</v>
          </cell>
          <cell r="EJ33">
            <v>120.8</v>
          </cell>
          <cell r="EL33">
            <v>68.599999999999994</v>
          </cell>
          <cell r="EN33">
            <v>57</v>
          </cell>
          <cell r="EP33">
            <v>73.599999999999994</v>
          </cell>
          <cell r="ES33" t="str">
            <v>Income Tax</v>
          </cell>
          <cell r="ET33">
            <v>303.8</v>
          </cell>
          <cell r="EU33">
            <v>3.1801325250618635E-2</v>
          </cell>
          <cell r="EV33">
            <v>303.96000000000004</v>
          </cell>
          <cell r="EW33">
            <v>3.4631817612140972E-2</v>
          </cell>
          <cell r="EX33">
            <v>340.1</v>
          </cell>
          <cell r="EY33">
            <v>3.7809600147636423E-2</v>
          </cell>
          <cell r="EZ33">
            <v>320</v>
          </cell>
          <cell r="FA33">
            <v>3.3684210526315789E-2</v>
          </cell>
          <cell r="FB33">
            <v>362</v>
          </cell>
          <cell r="FC33">
            <v>3.4942084942084943E-2</v>
          </cell>
          <cell r="FE33" t="str">
            <v>Income Tax</v>
          </cell>
          <cell r="FF33">
            <v>209</v>
          </cell>
          <cell r="FH33">
            <v>340.65999999999997</v>
          </cell>
          <cell r="FJ33">
            <v>340.9</v>
          </cell>
          <cell r="FL33">
            <v>410</v>
          </cell>
        </row>
        <row r="34">
          <cell r="A34" t="str">
            <v>Effective Tax Rate</v>
          </cell>
          <cell r="D34">
            <v>0.51015008149700447</v>
          </cell>
          <cell r="F34">
            <v>0.54632985341050522</v>
          </cell>
          <cell r="H34">
            <v>0.62463400351356702</v>
          </cell>
          <cell r="J34">
            <v>0.40484095533897435</v>
          </cell>
          <cell r="L34">
            <v>0.49932975871313717</v>
          </cell>
          <cell r="N34">
            <v>0.23567535719546251</v>
          </cell>
          <cell r="P34">
            <v>0.67155538402161252</v>
          </cell>
          <cell r="R34">
            <v>0.5229300684789373</v>
          </cell>
          <cell r="T34">
            <v>0.42050784408862962</v>
          </cell>
          <cell r="V34">
            <v>0.40832602280883629</v>
          </cell>
          <cell r="X34">
            <v>0.38667525945020959</v>
          </cell>
          <cell r="Y34" t="str">
            <v xml:space="preserve"> </v>
          </cell>
          <cell r="Z34">
            <v>0.34573839843666088</v>
          </cell>
          <cell r="AB34">
            <v>0.40005895605668201</v>
          </cell>
          <cell r="AD34">
            <v>0.38178415470991867</v>
          </cell>
          <cell r="AF34">
            <v>0.38833492007816789</v>
          </cell>
          <cell r="AG34" t="str">
            <v xml:space="preserve"> </v>
          </cell>
          <cell r="AH34">
            <v>0.34613867068402743</v>
          </cell>
          <cell r="AJ34">
            <v>0.52987866859874111</v>
          </cell>
          <cell r="AL34">
            <v>0.78532303834224382</v>
          </cell>
          <cell r="AN34">
            <v>0.39266637794138809</v>
          </cell>
          <cell r="AO34" t="str">
            <v xml:space="preserve"> </v>
          </cell>
          <cell r="AP34">
            <v>0.35377131760589087</v>
          </cell>
          <cell r="AR34">
            <v>0.38995543366472418</v>
          </cell>
          <cell r="AT34">
            <v>0.38978367531335001</v>
          </cell>
          <cell r="AV34">
            <v>0.39009907826147006</v>
          </cell>
          <cell r="AW34" t="str">
            <v xml:space="preserve"> </v>
          </cell>
          <cell r="AX34">
            <v>0.3285895835957095</v>
          </cell>
          <cell r="AZ34">
            <v>0.38520014827788124</v>
          </cell>
          <cell r="BB34">
            <v>0.38424976234552488</v>
          </cell>
          <cell r="BD34">
            <v>0.38519710617879993</v>
          </cell>
          <cell r="BE34" t="str">
            <v xml:space="preserve"> </v>
          </cell>
          <cell r="BF34">
            <v>0.3033616011188916</v>
          </cell>
          <cell r="BH34">
            <v>0.38762594096696673</v>
          </cell>
          <cell r="BJ34">
            <v>0.38745015908816333</v>
          </cell>
          <cell r="BL34">
            <v>0.38748279946053643</v>
          </cell>
          <cell r="BM34" t="str">
            <v xml:space="preserve"> </v>
          </cell>
          <cell r="BN34">
            <v>0.38031698453753654</v>
          </cell>
          <cell r="BP34">
            <v>0.40819502074688774</v>
          </cell>
          <cell r="BR34">
            <v>0.37367507036349473</v>
          </cell>
          <cell r="BT34">
            <v>0.38448435294690225</v>
          </cell>
          <cell r="BU34" t="str">
            <v xml:space="preserve"> </v>
          </cell>
          <cell r="BV34">
            <v>0.38005091248072881</v>
          </cell>
          <cell r="BX34">
            <v>0.38978161865885175</v>
          </cell>
          <cell r="BZ34">
            <v>0.38971357309518057</v>
          </cell>
          <cell r="CB34">
            <v>0.38997694611423545</v>
          </cell>
          <cell r="CD34">
            <v>0.38825013897590238</v>
          </cell>
          <cell r="CF34">
            <v>0.39015279918643514</v>
          </cell>
          <cell r="CG34" t="str">
            <v xml:space="preserve"> </v>
          </cell>
          <cell r="CH34">
            <v>0.38951173378606418</v>
          </cell>
          <cell r="CI34" t="str">
            <v xml:space="preserve"> </v>
          </cell>
          <cell r="CJ34">
            <v>0.37211568810946438</v>
          </cell>
          <cell r="CL34">
            <v>0.37194949752378048</v>
          </cell>
          <cell r="CN34">
            <v>0.38487238736603213</v>
          </cell>
          <cell r="CP34">
            <v>0.38500766638072537</v>
          </cell>
          <cell r="CR34">
            <v>0.38498356016148505</v>
          </cell>
          <cell r="CT34">
            <v>0.38487177229677944</v>
          </cell>
          <cell r="CV34">
            <v>0.38530335208512306</v>
          </cell>
          <cell r="CW34" t="str">
            <v xml:space="preserve"> </v>
          </cell>
          <cell r="CX34">
            <v>0.38498114143692569</v>
          </cell>
          <cell r="CY34" t="str">
            <v xml:space="preserve"> </v>
          </cell>
          <cell r="CZ34">
            <v>0.38394291654853047</v>
          </cell>
          <cell r="DB34">
            <v>0.38495679009506617</v>
          </cell>
          <cell r="DD34">
            <v>0.38730170775931466</v>
          </cell>
          <cell r="DF34">
            <v>0.38771497410617811</v>
          </cell>
          <cell r="DH34">
            <v>0.38746373985167859</v>
          </cell>
          <cell r="DI34" t="str">
            <v xml:space="preserve"> </v>
          </cell>
          <cell r="DJ34">
            <v>0.37762388660893753</v>
          </cell>
          <cell r="DL34">
            <v>0.38505453927070404</v>
          </cell>
          <cell r="DN34">
            <v>0.38473450265868114</v>
          </cell>
          <cell r="DP34">
            <v>0.40391017690449882</v>
          </cell>
          <cell r="DQ34" t="str">
            <v xml:space="preserve"> </v>
          </cell>
          <cell r="DR34">
            <v>0.39177277179237013</v>
          </cell>
          <cell r="DT34">
            <v>0.39512555391432758</v>
          </cell>
          <cell r="DV34">
            <v>0.39455184534270604</v>
          </cell>
          <cell r="DX34">
            <v>0.395326192794547</v>
          </cell>
          <cell r="DZ34">
            <v>0.39500000000000002</v>
          </cell>
          <cell r="EB34">
            <v>0.37999380613192968</v>
          </cell>
          <cell r="ED34">
            <v>0.3801338255652979</v>
          </cell>
          <cell r="EF34">
            <v>0.36573762907745061</v>
          </cell>
          <cell r="EH34">
            <v>0.34953842341132879</v>
          </cell>
          <cell r="EJ34">
            <v>0.36495468277945642</v>
          </cell>
          <cell r="EL34">
            <v>0.3648936170212766</v>
          </cell>
          <cell r="EN34">
            <v>0.38</v>
          </cell>
          <cell r="EP34">
            <v>0.31452991452991397</v>
          </cell>
          <cell r="ES34" t="str">
            <v>Effective Tax Rate</v>
          </cell>
          <cell r="ET34">
            <v>0.38807914872960952</v>
          </cell>
          <cell r="EV34">
            <v>0.39506108656095767</v>
          </cell>
          <cell r="EX34">
            <v>0.37004798328745314</v>
          </cell>
          <cell r="EZ34">
            <v>0.35437430786267998</v>
          </cell>
          <cell r="FB34">
            <v>0.35490196078431374</v>
          </cell>
          <cell r="FE34" t="str">
            <v>Effective Tax Rate</v>
          </cell>
          <cell r="FF34">
            <v>0.39692261528323031</v>
          </cell>
          <cell r="FH34">
            <v>0.38664790139150523</v>
          </cell>
          <cell r="FJ34">
            <v>0.36196260392223412</v>
          </cell>
          <cell r="FL34">
            <v>0.38210624417520972</v>
          </cell>
        </row>
        <row r="35">
          <cell r="A35" t="str">
            <v>Net Income</v>
          </cell>
          <cell r="C35">
            <v>13.64</v>
          </cell>
          <cell r="D35">
            <v>24.151000000000021</v>
          </cell>
          <cell r="E35">
            <v>7.3696705603769272E-2</v>
          </cell>
          <cell r="F35">
            <v>9.8429999999999804</v>
          </cell>
          <cell r="G35">
            <v>4.1373135834019796E-2</v>
          </cell>
          <cell r="H35">
            <v>11.490999999999969</v>
          </cell>
          <cell r="I35">
            <v>4.4425972820938978E-2</v>
          </cell>
          <cell r="J35">
            <v>13.725999999999983</v>
          </cell>
          <cell r="K35">
            <v>5.6035696935305364E-2</v>
          </cell>
          <cell r="L35">
            <v>14.939999999999975</v>
          </cell>
          <cell r="M35">
            <v>5.8084155933020402E-2</v>
          </cell>
          <cell r="N35">
            <v>5.1890000000000214</v>
          </cell>
          <cell r="O35">
            <v>2.834543299301345E-2</v>
          </cell>
          <cell r="P35">
            <v>4.2550000000000132</v>
          </cell>
          <cell r="Q35">
            <v>2.1337090934619808E-2</v>
          </cell>
          <cell r="R35">
            <v>11.49500000000001</v>
          </cell>
          <cell r="S35">
            <v>4.8366805097974905E-2</v>
          </cell>
          <cell r="T35">
            <v>25.081000000000049</v>
          </cell>
          <cell r="U35">
            <v>8.8679338679338846E-2</v>
          </cell>
          <cell r="V35">
            <v>18.54750000000001</v>
          </cell>
          <cell r="W35">
            <v>7.9124859219821889E-2</v>
          </cell>
          <cell r="X35">
            <v>27.599000000000046</v>
          </cell>
          <cell r="Y35">
            <v>8.3182885405395757E-2</v>
          </cell>
          <cell r="Z35">
            <v>30.467000000000041</v>
          </cell>
          <cell r="AA35">
            <v>8.5963709415744841E-2</v>
          </cell>
          <cell r="AB35">
            <v>56.986000000000004</v>
          </cell>
          <cell r="AC35">
            <v>0.111587159232875</v>
          </cell>
          <cell r="AD35">
            <v>24.775000000000023</v>
          </cell>
          <cell r="AE35">
            <v>7.6933109339726122E-2</v>
          </cell>
          <cell r="AF35">
            <v>48.828000000000031</v>
          </cell>
          <cell r="AG35">
            <v>0.10508260825587583</v>
          </cell>
          <cell r="AH35">
            <v>36.457999999999998</v>
          </cell>
          <cell r="AI35">
            <v>8.8186134714975772E-2</v>
          </cell>
          <cell r="AJ35">
            <v>43.474000000000032</v>
          </cell>
          <cell r="AK35">
            <v>7.6234331928146118E-2</v>
          </cell>
          <cell r="AL35">
            <v>6.5059999999999469</v>
          </cell>
          <cell r="AM35">
            <v>1.5660730705719675E-2</v>
          </cell>
          <cell r="AN35">
            <v>63.105000000000175</v>
          </cell>
          <cell r="AO35">
            <v>0.10920295084180007</v>
          </cell>
          <cell r="AP35">
            <v>67.222000000000051</v>
          </cell>
          <cell r="AQ35">
            <v>0.11037696503574591</v>
          </cell>
          <cell r="AR35">
            <v>99.651999999999944</v>
          </cell>
          <cell r="AS35">
            <v>0.11954314203215657</v>
          </cell>
          <cell r="AT35">
            <v>58.081000000000081</v>
          </cell>
          <cell r="AU35">
            <v>8.9516790274155975E-2</v>
          </cell>
          <cell r="AV35">
            <v>70.667999999999978</v>
          </cell>
          <cell r="AW35">
            <v>8.8091866448601841E-2</v>
          </cell>
          <cell r="AX35">
            <v>58.64299999999983</v>
          </cell>
          <cell r="AY35">
            <v>8.1565635140416509E-2</v>
          </cell>
          <cell r="AZ35">
            <v>114.43700000000005</v>
          </cell>
          <cell r="BA35">
            <v>0.12082106421189222</v>
          </cell>
          <cell r="BB35">
            <v>61.534999999999918</v>
          </cell>
          <cell r="BC35">
            <v>8.2773194586618179E-2</v>
          </cell>
          <cell r="BD35">
            <v>82.517000000000039</v>
          </cell>
          <cell r="BE35">
            <v>9.5173231497810359E-2</v>
          </cell>
          <cell r="BF35">
            <v>70.729000000000184</v>
          </cell>
          <cell r="BG35">
            <v>8.3444822761304285E-2</v>
          </cell>
          <cell r="BH35">
            <v>122.59300000000007</v>
          </cell>
          <cell r="BI35">
            <v>0.11146216525345913</v>
          </cell>
          <cell r="BJ35">
            <v>76.044999999999902</v>
          </cell>
          <cell r="BK35">
            <v>8.6825318351888767E-2</v>
          </cell>
          <cell r="BL35">
            <v>89.470999999999975</v>
          </cell>
          <cell r="BM35">
            <v>9.2047975111213501E-2</v>
          </cell>
          <cell r="BN35">
            <v>76.906999999999883</v>
          </cell>
          <cell r="BO35">
            <v>7.8214830175362127E-2</v>
          </cell>
          <cell r="BP35">
            <v>114.10000000000012</v>
          </cell>
          <cell r="BQ35">
            <v>0.10298967936902809</v>
          </cell>
          <cell r="BR35">
            <v>52.295000000000016</v>
          </cell>
          <cell r="BS35">
            <v>6.4899123716010046E-2</v>
          </cell>
          <cell r="BT35">
            <v>63.234999999999999</v>
          </cell>
          <cell r="BU35">
            <v>7.2530094225464387E-2</v>
          </cell>
          <cell r="BV35">
            <v>69.16399999999993</v>
          </cell>
          <cell r="BW35">
            <v>6.8877744095538873E-2</v>
          </cell>
          <cell r="BX35">
            <v>105.98700000000004</v>
          </cell>
          <cell r="BY35">
            <v>9.0559701970769582E-2</v>
          </cell>
          <cell r="BZ35">
            <v>121.36400000000003</v>
          </cell>
          <cell r="CA35">
            <v>9.6817863806900384E-2</v>
          </cell>
          <cell r="CB35">
            <v>84.938999999999922</v>
          </cell>
          <cell r="CC35">
            <v>8.0606711674350295E-2</v>
          </cell>
          <cell r="CD35">
            <v>69.328999999999894</v>
          </cell>
          <cell r="CE35">
            <v>7.1032792562401664E-2</v>
          </cell>
          <cell r="CF35">
            <v>95.349000000000132</v>
          </cell>
          <cell r="CG35">
            <v>8.4777500073353204E-2</v>
          </cell>
          <cell r="CH35">
            <v>119.74300000000005</v>
          </cell>
          <cell r="CI35">
            <v>9.9130662264649255E-2</v>
          </cell>
          <cell r="CJ35">
            <v>113.38899999999983</v>
          </cell>
          <cell r="CK35">
            <v>8.030177700851808E-2</v>
          </cell>
          <cell r="CL35">
            <v>91.181000000000068</v>
          </cell>
          <cell r="CM35">
            <v>6.7485043989138016E-2</v>
          </cell>
          <cell r="CN35">
            <v>164.78099999999986</v>
          </cell>
          <cell r="CO35">
            <v>0.10205375905227691</v>
          </cell>
          <cell r="CP35">
            <v>182.09799999999996</v>
          </cell>
          <cell r="CQ35">
            <v>0.10711521040928927</v>
          </cell>
          <cell r="CR35">
            <v>118.21599999999998</v>
          </cell>
          <cell r="CS35">
            <v>8.1922237075259141E-2</v>
          </cell>
          <cell r="CT35">
            <v>97.81399999999978</v>
          </cell>
          <cell r="CU35">
            <v>7.2093811727939938E-2</v>
          </cell>
          <cell r="CV35">
            <v>113.74900000000015</v>
          </cell>
          <cell r="CW35">
            <v>7.6259158721677531E-2</v>
          </cell>
          <cell r="CX35">
            <v>133.87300000000022</v>
          </cell>
          <cell r="CY35">
            <v>8.4620596976811055E-2</v>
          </cell>
          <cell r="CZ35">
            <v>156.44399999999993</v>
          </cell>
          <cell r="DA35">
            <v>8.1424507296477738E-2</v>
          </cell>
          <cell r="DB35">
            <v>133.72700000000015</v>
          </cell>
          <cell r="DC35">
            <v>7.2204191317052857E-2</v>
          </cell>
          <cell r="DD35">
            <v>226.06299999999996</v>
          </cell>
          <cell r="DE35">
            <v>9.906675326018459E-2</v>
          </cell>
          <cell r="DF35">
            <v>176.8720000000003</v>
          </cell>
          <cell r="DG35">
            <v>8.3943590848557875E-2</v>
          </cell>
          <cell r="DH35">
            <v>237.13300000000027</v>
          </cell>
          <cell r="DI35">
            <v>9.7841353199804693E-2</v>
          </cell>
          <cell r="DJ35">
            <v>155.74899999999997</v>
          </cell>
          <cell r="DK35">
            <v>6.5608195032195601E-2</v>
          </cell>
          <cell r="DL35">
            <v>253.13000000000022</v>
          </cell>
          <cell r="DM35">
            <v>9.1511547489804307E-2</v>
          </cell>
          <cell r="DN35">
            <v>141.04900000000004</v>
          </cell>
          <cell r="DO35">
            <v>6.2541901819381449E-2</v>
          </cell>
          <cell r="DP35">
            <v>73.051999999999651</v>
          </cell>
          <cell r="DQ35">
            <v>3.2848170962292263E-2</v>
          </cell>
          <cell r="DR35">
            <v>11.798999999999518</v>
          </cell>
          <cell r="DS35">
            <v>5.112747810539965E-3</v>
          </cell>
          <cell r="DT35">
            <v>163.80000000000024</v>
          </cell>
          <cell r="DU35">
            <v>6.5394442670073549E-2</v>
          </cell>
          <cell r="DV35">
            <v>68.900000000000119</v>
          </cell>
          <cell r="DW35">
            <v>3.6016727652901266E-2</v>
          </cell>
          <cell r="DX35">
            <v>124.20000000000012</v>
          </cell>
          <cell r="DY35">
            <v>5.705622932745319E-2</v>
          </cell>
          <cell r="DZ35">
            <v>108.54</v>
          </cell>
          <cell r="EA35">
            <v>4.9736516519268657E-2</v>
          </cell>
          <cell r="EB35">
            <v>200.19999999999976</v>
          </cell>
          <cell r="EC35">
            <v>8.0044780296669379E-2</v>
          </cell>
          <cell r="ED35">
            <v>107.45999999999989</v>
          </cell>
          <cell r="EE35">
            <v>5.2173659730246694E-2</v>
          </cell>
          <cell r="EF35">
            <v>145.32600000000014</v>
          </cell>
          <cell r="EG35">
            <v>6.7229946345945188E-2</v>
          </cell>
          <cell r="EH35">
            <v>125.98400000000056</v>
          </cell>
          <cell r="EI35">
            <v>5.5434015463654659E-2</v>
          </cell>
          <cell r="EJ35">
            <v>210.19999999999976</v>
          </cell>
          <cell r="EK35">
            <v>7.9720863200212308E-2</v>
          </cell>
          <cell r="EL35">
            <v>119.39999999999998</v>
          </cell>
          <cell r="EM35">
            <v>5.4304816482466906E-2</v>
          </cell>
          <cell r="EN35">
            <v>93</v>
          </cell>
          <cell r="EO35">
            <v>4.1592128801431129E-2</v>
          </cell>
          <cell r="EP35">
            <v>160.4000000000004</v>
          </cell>
          <cell r="EQ35">
            <v>6.6046281808449472E-2</v>
          </cell>
          <cell r="ES35" t="str">
            <v>Net Income</v>
          </cell>
          <cell r="ET35">
            <v>479.0299999999994</v>
          </cell>
          <cell r="EU35">
            <v>5.0144137046753863E-2</v>
          </cell>
          <cell r="EV35">
            <v>465.43999999999789</v>
          </cell>
          <cell r="EW35">
            <v>5.3030113137895844E-2</v>
          </cell>
          <cell r="EX35">
            <v>578.97000000000128</v>
          </cell>
          <cell r="EY35">
            <v>6.4365257857915636E-2</v>
          </cell>
          <cell r="EZ35">
            <v>583</v>
          </cell>
          <cell r="FA35">
            <v>6.1368421052631579E-2</v>
          </cell>
          <cell r="FB35">
            <v>658</v>
          </cell>
          <cell r="FC35">
            <v>6.3513513513513517E-2</v>
          </cell>
          <cell r="FE35" t="str">
            <v>Net Income</v>
          </cell>
          <cell r="FF35">
            <v>317.55099999999953</v>
          </cell>
          <cell r="FG35">
            <v>3.5482580571630291E-2</v>
          </cell>
          <cell r="FH35">
            <v>540.400000000001</v>
          </cell>
          <cell r="FI35">
            <v>6.0583910509806313E-2</v>
          </cell>
          <cell r="FJ35">
            <v>600.91000000000179</v>
          </cell>
          <cell r="FK35">
            <v>6.4825113191243497E-2</v>
          </cell>
          <cell r="FL35">
            <v>663</v>
          </cell>
          <cell r="FM35">
            <v>6.2253521126760566E-2</v>
          </cell>
        </row>
        <row r="36">
          <cell r="A36" t="str">
            <v xml:space="preserve">  % Change</v>
          </cell>
          <cell r="D36" t="str">
            <v xml:space="preserve"> </v>
          </cell>
          <cell r="E36" t="str">
            <v xml:space="preserve"> </v>
          </cell>
          <cell r="F36" t="str">
            <v xml:space="preserve"> </v>
          </cell>
          <cell r="G36" t="str">
            <v xml:space="preserve"> </v>
          </cell>
          <cell r="H36" t="str">
            <v xml:space="preserve"> </v>
          </cell>
          <cell r="I36" t="str">
            <v xml:space="preserve"> </v>
          </cell>
          <cell r="J36">
            <v>6.3049853372421213E-3</v>
          </cell>
          <cell r="K36" t="str">
            <v xml:space="preserve"> </v>
          </cell>
          <cell r="L36">
            <v>-0.38139207486232618</v>
          </cell>
          <cell r="M36" t="str">
            <v xml:space="preserve"> </v>
          </cell>
          <cell r="N36">
            <v>-0.47282332622167711</v>
          </cell>
          <cell r="O36" t="str">
            <v xml:space="preserve"> </v>
          </cell>
          <cell r="P36">
            <v>-0.62971020798885879</v>
          </cell>
          <cell r="Q36" t="str">
            <v xml:space="preserve"> </v>
          </cell>
          <cell r="R36">
            <v>-0.16253824857933674</v>
          </cell>
          <cell r="S36" t="str">
            <v xml:space="preserve"> </v>
          </cell>
          <cell r="T36">
            <v>0.67878179384204085</v>
          </cell>
          <cell r="U36" t="str">
            <v xml:space="preserve"> </v>
          </cell>
          <cell r="V36">
            <v>2.5743881287338475</v>
          </cell>
          <cell r="W36" t="str">
            <v xml:space="preserve"> </v>
          </cell>
          <cell r="X36">
            <v>5.4862514688601554</v>
          </cell>
          <cell r="Y36" t="str">
            <v xml:space="preserve"> </v>
          </cell>
          <cell r="Z36">
            <v>1.6504567203131808</v>
          </cell>
          <cell r="AB36">
            <v>1.2720784657708979</v>
          </cell>
          <cell r="AC36" t="str">
            <v xml:space="preserve"> </v>
          </cell>
          <cell r="AD36">
            <v>0.33575953632565092</v>
          </cell>
          <cell r="AE36" t="str">
            <v xml:space="preserve"> </v>
          </cell>
          <cell r="AF36">
            <v>0.76919453603391252</v>
          </cell>
          <cell r="AG36" t="str">
            <v xml:space="preserve"> </v>
          </cell>
          <cell r="AH36">
            <v>0.19663898644434785</v>
          </cell>
          <cell r="AJ36">
            <v>-0.23711086933632775</v>
          </cell>
          <cell r="AK36" t="str">
            <v xml:space="preserve"> </v>
          </cell>
          <cell r="AL36">
            <v>-0.73739656912210128</v>
          </cell>
          <cell r="AM36" t="str">
            <v xml:space="preserve"> </v>
          </cell>
          <cell r="AN36">
            <v>0.29239370852789648</v>
          </cell>
          <cell r="AO36" t="str">
            <v xml:space="preserve"> </v>
          </cell>
          <cell r="AP36">
            <v>0.84382028635690531</v>
          </cell>
          <cell r="AR36">
            <v>1.2922206376224841</v>
          </cell>
          <cell r="AT36">
            <v>7.9272978788811184</v>
          </cell>
          <cell r="AU36" t="str">
            <v xml:space="preserve"> </v>
          </cell>
          <cell r="AV36">
            <v>0.11984787259329344</v>
          </cell>
          <cell r="AW36" t="str">
            <v xml:space="preserve"> </v>
          </cell>
          <cell r="AX36">
            <v>-0.12762190949391883</v>
          </cell>
          <cell r="AZ36">
            <v>0.14836631477541964</v>
          </cell>
          <cell r="BB36">
            <v>5.9468673060034005E-2</v>
          </cell>
          <cell r="BC36" t="str">
            <v xml:space="preserve"> </v>
          </cell>
          <cell r="BD36">
            <v>0.16767136469123312</v>
          </cell>
          <cell r="BE36" t="str">
            <v xml:space="preserve"> </v>
          </cell>
          <cell r="BF36">
            <v>0.20609450403288343</v>
          </cell>
          <cell r="BH36">
            <v>7.1270655469821961E-2</v>
          </cell>
          <cell r="BJ36">
            <v>0.23580076379296333</v>
          </cell>
          <cell r="BK36" t="str">
            <v xml:space="preserve"> </v>
          </cell>
          <cell r="BL36">
            <v>8.4273543633432313E-2</v>
          </cell>
          <cell r="BM36" t="str">
            <v xml:space="preserve"> </v>
          </cell>
          <cell r="BN36">
            <v>8.734748123117364E-2</v>
          </cell>
          <cell r="BP36">
            <v>-6.9278017505077352E-2</v>
          </cell>
          <cell r="BR36">
            <v>-0.31231507659938085</v>
          </cell>
          <cell r="BS36" t="str">
            <v xml:space="preserve"> </v>
          </cell>
          <cell r="BT36">
            <v>-0.29323467939332276</v>
          </cell>
          <cell r="BU36" t="str">
            <v xml:space="preserve"> </v>
          </cell>
          <cell r="BV36">
            <v>-0.10068004212880445</v>
          </cell>
          <cell r="BX36">
            <v>-7.1104294478528271E-2</v>
          </cell>
          <cell r="BZ36">
            <v>6.3663453111305016E-2</v>
          </cell>
          <cell r="CB36">
            <v>0.62422793766134221</v>
          </cell>
          <cell r="CC36" t="str">
            <v xml:space="preserve"> </v>
          </cell>
          <cell r="CD36">
            <v>0.32572903719284585</v>
          </cell>
          <cell r="CE36" t="str">
            <v xml:space="preserve"> </v>
          </cell>
          <cell r="CF36">
            <v>0.50785166442634821</v>
          </cell>
          <cell r="CG36" t="str">
            <v xml:space="preserve"> </v>
          </cell>
          <cell r="CH36">
            <v>0.8936190400885593</v>
          </cell>
          <cell r="CI36" t="str">
            <v xml:space="preserve"> </v>
          </cell>
          <cell r="CJ36">
            <v>0.63942224278526316</v>
          </cell>
          <cell r="CL36">
            <v>0.31833034526632575</v>
          </cell>
          <cell r="CN36">
            <v>0.55472841008802787</v>
          </cell>
          <cell r="CP36">
            <v>0.50042846313569023</v>
          </cell>
          <cell r="CR36">
            <v>0.39177527402018031</v>
          </cell>
          <cell r="CS36" t="str">
            <v xml:space="preserve"> </v>
          </cell>
          <cell r="CT36">
            <v>0.41086702534292896</v>
          </cell>
          <cell r="CU36" t="str">
            <v xml:space="preserve"> </v>
          </cell>
          <cell r="CV36">
            <v>0.19297528028610667</v>
          </cell>
          <cell r="CW36" t="str">
            <v xml:space="preserve"> </v>
          </cell>
          <cell r="CX36">
            <v>0.11800272249734989</v>
          </cell>
          <cell r="CY36" t="str">
            <v xml:space="preserve"> </v>
          </cell>
          <cell r="CZ36">
            <v>0.3797105539338046</v>
          </cell>
          <cell r="DB36">
            <v>0.46661036838815151</v>
          </cell>
          <cell r="DD36">
            <v>0.24143593010357067</v>
          </cell>
          <cell r="DF36">
            <v>0.80824830801317504</v>
          </cell>
          <cell r="DG36" t="str">
            <v xml:space="preserve"> </v>
          </cell>
          <cell r="DH36">
            <v>0.77132804971876245</v>
          </cell>
          <cell r="DI36" t="str">
            <v xml:space="preserve"> </v>
          </cell>
          <cell r="DJ36">
            <v>0.16467878588467388</v>
          </cell>
          <cell r="DL36">
            <v>0.11973211007551111</v>
          </cell>
          <cell r="DN36">
            <v>-0.20253629743543466</v>
          </cell>
          <cell r="DO36" t="str">
            <v xml:space="preserve"> </v>
          </cell>
          <cell r="DP36">
            <v>-0.69193659254511364</v>
          </cell>
          <cell r="DQ36" t="str">
            <v xml:space="preserve"> </v>
          </cell>
          <cell r="DR36">
            <v>-0.92424349434025566</v>
          </cell>
          <cell r="DT36">
            <v>-0.35290167107810178</v>
          </cell>
          <cell r="DV36">
            <v>-0.51151727413877368</v>
          </cell>
          <cell r="DW36" t="str">
            <v xml:space="preserve"> </v>
          </cell>
          <cell r="DX36">
            <v>0.70015879099820277</v>
          </cell>
          <cell r="DZ36" t="str">
            <v>NM</v>
          </cell>
          <cell r="EA36" t="str">
            <v xml:space="preserve"> </v>
          </cell>
          <cell r="EB36">
            <v>0.22222222222221899</v>
          </cell>
          <cell r="ED36">
            <v>0.55965166908562702</v>
          </cell>
          <cell r="EF36">
            <v>0.17009661835748791</v>
          </cell>
          <cell r="EH36">
            <v>0.16071494379952603</v>
          </cell>
          <cell r="EI36" t="str">
            <v xml:space="preserve"> </v>
          </cell>
          <cell r="EJ36">
            <v>4.9950049950050007E-2</v>
          </cell>
          <cell r="EL36">
            <v>0.11111111111111205</v>
          </cell>
          <cell r="EM36" t="str">
            <v xml:space="preserve"> </v>
          </cell>
          <cell r="EN36">
            <v>-0.36005945254118388</v>
          </cell>
          <cell r="EP36">
            <v>0.27317754635509023</v>
          </cell>
          <cell r="EQ36" t="str">
            <v xml:space="preserve"> </v>
          </cell>
          <cell r="ES36" t="str">
            <v xml:space="preserve">  % Change</v>
          </cell>
          <cell r="ET36">
            <v>-0.39806513306451219</v>
          </cell>
          <cell r="EV36">
            <v>-2.8369830699541798E-2</v>
          </cell>
          <cell r="EX36">
            <v>0.2439197318666293</v>
          </cell>
          <cell r="EZ36">
            <v>6.9606369932788681E-3</v>
          </cell>
          <cell r="FB36">
            <v>0.12864493996569459</v>
          </cell>
          <cell r="FE36" t="str">
            <v xml:space="preserve">  % Change</v>
          </cell>
          <cell r="FF36">
            <v>-0.59653571959479712</v>
          </cell>
          <cell r="FH36">
            <v>0.70177388828881604</v>
          </cell>
          <cell r="FJ36">
            <v>0.1119726128793499</v>
          </cell>
          <cell r="FL36">
            <v>0.10332662129103865</v>
          </cell>
        </row>
        <row r="37">
          <cell r="Y37" t="str">
            <v xml:space="preserve"> </v>
          </cell>
          <cell r="AG37" t="str">
            <v xml:space="preserve"> </v>
          </cell>
          <cell r="AO37" t="str">
            <v xml:space="preserve"> </v>
          </cell>
          <cell r="AW37" t="str">
            <v xml:space="preserve"> </v>
          </cell>
          <cell r="BE37" t="str">
            <v xml:space="preserve"> </v>
          </cell>
          <cell r="BM37" t="str">
            <v xml:space="preserve"> </v>
          </cell>
          <cell r="BU37" t="str">
            <v xml:space="preserve"> </v>
          </cell>
          <cell r="CG37" t="str">
            <v xml:space="preserve"> </v>
          </cell>
          <cell r="CI37" t="str">
            <v xml:space="preserve"> </v>
          </cell>
          <cell r="CW37" t="str">
            <v xml:space="preserve"> </v>
          </cell>
          <cell r="CY37" t="str">
            <v xml:space="preserve"> </v>
          </cell>
          <cell r="DI37" t="str">
            <v xml:space="preserve"> </v>
          </cell>
          <cell r="DQ37" t="str">
            <v xml:space="preserve"> </v>
          </cell>
        </row>
        <row r="38">
          <cell r="A38" t="str">
            <v>Net EPS</v>
          </cell>
          <cell r="D38">
            <v>7.9414820855474369E-2</v>
          </cell>
          <cell r="F38">
            <v>3.2272131147540919E-2</v>
          </cell>
          <cell r="G38" t="str">
            <v xml:space="preserve"> </v>
          </cell>
          <cell r="H38">
            <v>3.7584713609126727E-2</v>
          </cell>
          <cell r="I38" t="str">
            <v xml:space="preserve"> </v>
          </cell>
          <cell r="J38">
            <v>4.4939626496241329E-2</v>
          </cell>
          <cell r="K38" t="str">
            <v xml:space="preserve"> </v>
          </cell>
          <cell r="L38">
            <v>4.8587261941929361E-2</v>
          </cell>
          <cell r="M38" t="str">
            <v xml:space="preserve"> </v>
          </cell>
          <cell r="N38">
            <v>1.6914180661312263E-2</v>
          </cell>
          <cell r="O38" t="str">
            <v xml:space="preserve"> </v>
          </cell>
          <cell r="P38">
            <v>1.3876930703402254E-2</v>
          </cell>
          <cell r="R38">
            <v>3.7360244409776422E-2</v>
          </cell>
          <cell r="T38">
            <v>8.1429703124594327E-2</v>
          </cell>
          <cell r="U38" t="str">
            <v xml:space="preserve"> </v>
          </cell>
          <cell r="V38">
            <v>6.1673693871036425E-2</v>
          </cell>
          <cell r="W38" t="str">
            <v xml:space="preserve"> </v>
          </cell>
          <cell r="X38">
            <v>9.2858392549526422E-2</v>
          </cell>
          <cell r="Z38">
            <v>0.10207384079335312</v>
          </cell>
          <cell r="AB38">
            <v>0.19001413785744772</v>
          </cell>
          <cell r="AC38" t="str">
            <v xml:space="preserve"> </v>
          </cell>
          <cell r="AD38">
            <v>8.242068983871835E-2</v>
          </cell>
          <cell r="AE38" t="str">
            <v xml:space="preserve"> </v>
          </cell>
          <cell r="AF38">
            <v>0.16241351782863236</v>
          </cell>
          <cell r="AH38">
            <v>0.12104249667994688</v>
          </cell>
          <cell r="AJ38">
            <v>0.14406431430768019</v>
          </cell>
          <cell r="AK38" t="str">
            <v xml:space="preserve"> </v>
          </cell>
          <cell r="AL38">
            <v>2.14742150986241E-2</v>
          </cell>
          <cell r="AM38" t="str">
            <v xml:space="preserve"> </v>
          </cell>
          <cell r="AN38">
            <v>0.20856468628539759</v>
          </cell>
          <cell r="AP38">
            <v>0.22156229400131858</v>
          </cell>
          <cell r="AR38">
            <v>0.32769914763758795</v>
          </cell>
          <cell r="AT38">
            <v>0.1913731976698213</v>
          </cell>
          <cell r="AU38" t="str">
            <v xml:space="preserve"> </v>
          </cell>
          <cell r="AV38">
            <v>0.23207881773399008</v>
          </cell>
          <cell r="AX38">
            <v>0.19228221808357104</v>
          </cell>
          <cell r="AZ38">
            <v>0.37541498812445073</v>
          </cell>
          <cell r="BB38">
            <v>0.20092667572227133</v>
          </cell>
          <cell r="BC38" t="str">
            <v xml:space="preserve"> </v>
          </cell>
          <cell r="BD38">
            <v>0.26953655795965309</v>
          </cell>
          <cell r="BF38">
            <v>0.23024662421709241</v>
          </cell>
          <cell r="BH38">
            <v>0.39876979325240408</v>
          </cell>
          <cell r="BJ38">
            <v>0.24654714044870932</v>
          </cell>
          <cell r="BK38" t="str">
            <v xml:space="preserve"> </v>
          </cell>
          <cell r="BL38">
            <v>0.28976021452444484</v>
          </cell>
          <cell r="BN38">
            <v>0.24939359742651793</v>
          </cell>
          <cell r="BP38">
            <v>0.37169029500677619</v>
          </cell>
          <cell r="BR38">
            <v>0.1728211873256752</v>
          </cell>
          <cell r="BS38" t="str">
            <v xml:space="preserve"> </v>
          </cell>
          <cell r="BT38">
            <v>0.21036540739065057</v>
          </cell>
          <cell r="BV38">
            <v>0.23278763563908533</v>
          </cell>
          <cell r="BX38">
            <v>0.35699320956050784</v>
          </cell>
          <cell r="BZ38">
            <v>0.40878715205734162</v>
          </cell>
          <cell r="CB38">
            <v>0.28942400741457536</v>
          </cell>
          <cell r="CC38" t="str">
            <v xml:space="preserve"> </v>
          </cell>
          <cell r="CD38">
            <v>0.23623396802464219</v>
          </cell>
          <cell r="CE38" t="str">
            <v xml:space="preserve"> </v>
          </cell>
          <cell r="CF38">
            <v>0.32439577039274969</v>
          </cell>
          <cell r="CH38">
            <v>0.40738888435263076</v>
          </cell>
          <cell r="CJ38">
            <v>0.39364324983890592</v>
          </cell>
          <cell r="CL38">
            <v>0.31752484953180082</v>
          </cell>
          <cell r="CN38">
            <v>0.56489112250774709</v>
          </cell>
          <cell r="CP38">
            <v>0.62425609521981174</v>
          </cell>
          <cell r="CR38">
            <v>0.40211165081567951</v>
          </cell>
          <cell r="CS38" t="str">
            <v xml:space="preserve"> </v>
          </cell>
          <cell r="CT38">
            <v>0.33271426044600383</v>
          </cell>
          <cell r="CU38" t="str">
            <v xml:space="preserve"> </v>
          </cell>
          <cell r="CV38">
            <v>0.3875604770017041</v>
          </cell>
          <cell r="CX38">
            <v>0.45612606473594625</v>
          </cell>
          <cell r="CZ38">
            <v>0.52948224161155577</v>
          </cell>
          <cell r="DB38">
            <v>0.45259691470423041</v>
          </cell>
          <cell r="DD38">
            <v>0.76277803271608258</v>
          </cell>
          <cell r="DF38">
            <v>0.59548450956494903</v>
          </cell>
          <cell r="DG38" t="str">
            <v xml:space="preserve"> </v>
          </cell>
          <cell r="DH38">
            <v>0.79743953619757424</v>
          </cell>
          <cell r="DJ38">
            <v>0.5239628328825372</v>
          </cell>
          <cell r="DL38">
            <v>0.85087430334729508</v>
          </cell>
          <cell r="DN38">
            <v>0.47535900728293595</v>
          </cell>
          <cell r="DO38" t="str">
            <v xml:space="preserve"> </v>
          </cell>
          <cell r="DP38">
            <v>0.24916690826611065</v>
          </cell>
          <cell r="DR38">
            <v>4.0328534514579378E-2</v>
          </cell>
          <cell r="DT38">
            <v>0.56095890410958982</v>
          </cell>
          <cell r="DV38">
            <v>0.23948557525199904</v>
          </cell>
          <cell r="DW38" t="str">
            <v xml:space="preserve"> </v>
          </cell>
          <cell r="DX38">
            <v>0.44</v>
          </cell>
          <cell r="DZ38">
            <v>0.37785900783289822</v>
          </cell>
          <cell r="EA38" t="str">
            <v xml:space="preserve"> </v>
          </cell>
          <cell r="EB38">
            <v>0.70122591943957879</v>
          </cell>
          <cell r="ED38">
            <v>0.38214793741109493</v>
          </cell>
          <cell r="EF38">
            <v>0.52483206933911208</v>
          </cell>
          <cell r="EH38">
            <v>0.45996349032493822</v>
          </cell>
          <cell r="EI38" t="str">
            <v xml:space="preserve"> </v>
          </cell>
          <cell r="EJ38">
            <v>0.7677136596055506</v>
          </cell>
          <cell r="EL38">
            <v>0.43704245973645672</v>
          </cell>
          <cell r="EM38" t="str">
            <v xml:space="preserve"> </v>
          </cell>
          <cell r="EN38">
            <v>0.34191176470588236</v>
          </cell>
          <cell r="EP38">
            <v>0.59850746268656863</v>
          </cell>
          <cell r="EQ38" t="str">
            <v xml:space="preserve"> </v>
          </cell>
          <cell r="ES38" t="str">
            <v>Net EPS</v>
          </cell>
          <cell r="ET38">
            <v>1.615728753410921</v>
          </cell>
          <cell r="EV38">
            <v>1.618303487194487</v>
          </cell>
          <cell r="EX38">
            <v>2.0723758389261793</v>
          </cell>
          <cell r="EZ38">
            <v>2.1453541858325669</v>
          </cell>
          <cell r="FB38">
            <v>2.446096654275093</v>
          </cell>
          <cell r="FE38" t="str">
            <v>Net EPS</v>
          </cell>
          <cell r="FF38">
            <v>1.089939922142279</v>
          </cell>
          <cell r="FH38">
            <v>1.9012328646835719</v>
          </cell>
          <cell r="FJ38">
            <v>2.1895062852978753</v>
          </cell>
          <cell r="FL38">
            <v>2.4555555555555557</v>
          </cell>
        </row>
        <row r="39">
          <cell r="A39" t="str">
            <v>Ave Shares O/S (000)</v>
          </cell>
          <cell r="D39">
            <v>304.11200000000002</v>
          </cell>
          <cell r="F39">
            <v>305</v>
          </cell>
          <cell r="H39">
            <v>305.73599999999999</v>
          </cell>
          <cell r="J39">
            <v>305.43200000000002</v>
          </cell>
          <cell r="L39">
            <v>307.488</v>
          </cell>
          <cell r="N39">
            <v>306.78399999999999</v>
          </cell>
          <cell r="P39">
            <v>306.62400000000002</v>
          </cell>
          <cell r="R39">
            <v>307.68</v>
          </cell>
          <cell r="T39">
            <v>308.00799999999998</v>
          </cell>
          <cell r="V39">
            <v>300.73599999999999</v>
          </cell>
          <cell r="X39">
            <v>297.21600000000001</v>
          </cell>
          <cell r="Z39">
            <v>298.48</v>
          </cell>
          <cell r="AB39">
            <v>299.904</v>
          </cell>
          <cell r="AD39">
            <v>300.59199999999998</v>
          </cell>
          <cell r="AF39">
            <v>300.64</v>
          </cell>
          <cell r="AH39">
            <v>301.2</v>
          </cell>
          <cell r="AJ39">
            <v>301.76799999999997</v>
          </cell>
          <cell r="AL39">
            <v>302.96800000000002</v>
          </cell>
          <cell r="AN39">
            <v>302.56799999999998</v>
          </cell>
          <cell r="AP39">
            <v>303.39999999999998</v>
          </cell>
          <cell r="AR39">
            <v>304.096</v>
          </cell>
          <cell r="AT39">
            <v>303.49599999999998</v>
          </cell>
          <cell r="AV39">
            <v>304.5</v>
          </cell>
          <cell r="AX39">
            <v>304.98399999999998</v>
          </cell>
          <cell r="AZ39">
            <v>304.82799999999997</v>
          </cell>
          <cell r="BB39">
            <v>306.25599999999997</v>
          </cell>
          <cell r="BD39">
            <v>306.14400000000001</v>
          </cell>
          <cell r="BF39">
            <v>307.18799999999999</v>
          </cell>
          <cell r="BH39">
            <v>307.428</v>
          </cell>
          <cell r="BJ39">
            <v>308.44</v>
          </cell>
          <cell r="BL39">
            <v>308.77600000000001</v>
          </cell>
          <cell r="BN39">
            <v>308.37599999999998</v>
          </cell>
          <cell r="BP39">
            <v>306.976</v>
          </cell>
          <cell r="BR39">
            <v>302.596</v>
          </cell>
          <cell r="BT39">
            <v>300.596</v>
          </cell>
          <cell r="BV39">
            <v>297.11200000000002</v>
          </cell>
          <cell r="BX39">
            <v>296.88799999999998</v>
          </cell>
          <cell r="BZ39">
            <v>296.88799999999998</v>
          </cell>
          <cell r="CB39">
            <v>293.476</v>
          </cell>
          <cell r="CD39">
            <v>293.476</v>
          </cell>
          <cell r="CF39">
            <v>293.928</v>
          </cell>
          <cell r="CH39">
            <v>293.928</v>
          </cell>
          <cell r="CJ39">
            <v>291.75599999999997</v>
          </cell>
          <cell r="CL39">
            <v>291.75599999999997</v>
          </cell>
          <cell r="CN39">
            <v>291.70400000000001</v>
          </cell>
          <cell r="CP39">
            <v>291.70400000000001</v>
          </cell>
          <cell r="CR39">
            <v>293.988</v>
          </cell>
          <cell r="CT39">
            <v>293.988</v>
          </cell>
          <cell r="CV39">
            <v>293.5</v>
          </cell>
          <cell r="CX39">
            <v>293.5</v>
          </cell>
          <cell r="CZ39">
            <v>295.46600000000001</v>
          </cell>
          <cell r="DB39">
            <v>295.46600000000001</v>
          </cell>
          <cell r="DD39">
            <v>296.36799999999999</v>
          </cell>
          <cell r="DF39">
            <v>297.02199999999999</v>
          </cell>
          <cell r="DH39">
            <v>297.36799999999999</v>
          </cell>
          <cell r="DJ39">
            <v>297.25200000000001</v>
          </cell>
          <cell r="DL39">
            <v>297.49400000000003</v>
          </cell>
          <cell r="DN39">
            <v>296.721</v>
          </cell>
          <cell r="DP39">
            <v>293.185</v>
          </cell>
          <cell r="DR39">
            <v>292.572</v>
          </cell>
          <cell r="DT39">
            <v>292</v>
          </cell>
          <cell r="DV39">
            <v>287.7</v>
          </cell>
          <cell r="DX39">
            <v>286.10000000000002</v>
          </cell>
          <cell r="DZ39">
            <v>287.25</v>
          </cell>
          <cell r="EB39">
            <v>285.5</v>
          </cell>
          <cell r="ED39">
            <v>281.2</v>
          </cell>
          <cell r="EF39">
            <v>276.89999999999998</v>
          </cell>
          <cell r="EH39">
            <v>273.89999999999998</v>
          </cell>
          <cell r="EJ39">
            <v>273.8</v>
          </cell>
          <cell r="EL39">
            <v>273.2</v>
          </cell>
          <cell r="EN39">
            <v>272</v>
          </cell>
          <cell r="EP39">
            <v>268</v>
          </cell>
          <cell r="ES39" t="str">
            <v>Ave Shares O/S (000)</v>
          </cell>
          <cell r="ET39">
            <v>294.99300000000005</v>
          </cell>
          <cell r="EV39">
            <v>288.26250000000005</v>
          </cell>
          <cell r="EX39">
            <v>279.375</v>
          </cell>
          <cell r="EZ39">
            <v>271.75</v>
          </cell>
          <cell r="FB39">
            <v>269</v>
          </cell>
          <cell r="FE39" t="str">
            <v>Ave Shares O/S</v>
          </cell>
          <cell r="FF39">
            <v>291.36425000000003</v>
          </cell>
          <cell r="FH39">
            <v>285.01249999999999</v>
          </cell>
          <cell r="FJ39">
            <v>274.45</v>
          </cell>
          <cell r="FL39">
            <v>270</v>
          </cell>
        </row>
      </sheetData>
      <sheetData sheetId="1" refreshError="1"/>
      <sheetData sheetId="2" refreshError="1">
        <row r="20">
          <cell r="BH20">
            <v>667.54700000000003</v>
          </cell>
          <cell r="BI20">
            <v>746.05700000000002</v>
          </cell>
          <cell r="BJ20">
            <v>631.59199999999998</v>
          </cell>
          <cell r="BK20">
            <v>778.73099999999999</v>
          </cell>
          <cell r="BL20">
            <v>703.68200000000002</v>
          </cell>
          <cell r="BM20">
            <v>805.04</v>
          </cell>
          <cell r="BN20">
            <v>776.952</v>
          </cell>
          <cell r="BO20">
            <v>930.59199999999998</v>
          </cell>
        </row>
        <row r="22">
          <cell r="BH22">
            <v>2187.4630000000002</v>
          </cell>
          <cell r="BI22">
            <v>2266.29</v>
          </cell>
          <cell r="BJ22">
            <v>2183.44</v>
          </cell>
          <cell r="BK22">
            <v>2374.9209999999998</v>
          </cell>
          <cell r="BL22">
            <v>2373.8150000000001</v>
          </cell>
          <cell r="BM22">
            <v>2546.855</v>
          </cell>
          <cell r="BN22">
            <v>2527.7550000000001</v>
          </cell>
          <cell r="BO22">
            <v>2963.3330000000001</v>
          </cell>
        </row>
        <row r="27">
          <cell r="BH27">
            <v>1646.0260000000001</v>
          </cell>
          <cell r="BI27">
            <v>1711.953</v>
          </cell>
          <cell r="BJ27">
            <v>1717.9449999999999</v>
          </cell>
          <cell r="BK27">
            <v>1728.6489999999999</v>
          </cell>
          <cell r="BL27">
            <v>1740.9490000000001</v>
          </cell>
          <cell r="BM27">
            <v>1837.7249999999999</v>
          </cell>
          <cell r="BN27">
            <v>1861.251</v>
          </cell>
          <cell r="BO27">
            <v>1918.347</v>
          </cell>
        </row>
        <row r="29">
          <cell r="BH29">
            <v>1691.0239999999999</v>
          </cell>
          <cell r="BI29">
            <v>1756.3009999999999</v>
          </cell>
          <cell r="BJ29">
            <v>1759.9380000000001</v>
          </cell>
          <cell r="BK29">
            <v>1772.6209999999999</v>
          </cell>
          <cell r="BL29">
            <v>1790.9160000000002</v>
          </cell>
          <cell r="BM29">
            <v>1874.9569999999999</v>
          </cell>
          <cell r="BN29">
            <v>1921.6559999999999</v>
          </cell>
          <cell r="BO29">
            <v>2018.23</v>
          </cell>
        </row>
        <row r="31">
          <cell r="BH31">
            <v>1168.0829999999999</v>
          </cell>
          <cell r="BI31">
            <v>1231.3389999999999</v>
          </cell>
          <cell r="BJ31">
            <v>1234.7650000000001</v>
          </cell>
          <cell r="BK31">
            <v>1234.796</v>
          </cell>
          <cell r="BL31">
            <v>1208.444</v>
          </cell>
          <cell r="BM31">
            <v>1300.4679999999998</v>
          </cell>
          <cell r="BN31">
            <v>1294.8980000000001</v>
          </cell>
          <cell r="BO31">
            <v>1012.831</v>
          </cell>
        </row>
        <row r="60">
          <cell r="BH60">
            <v>7.8214830175362224E-2</v>
          </cell>
          <cell r="BI60">
            <v>0.102989679369028</v>
          </cell>
          <cell r="BJ60">
            <v>6.4899123716010032E-2</v>
          </cell>
          <cell r="BK60">
            <v>7.2530094225464387E-2</v>
          </cell>
          <cell r="BL60">
            <v>6.8877744095538943E-2</v>
          </cell>
          <cell r="BM60">
            <v>9.6820025336409446E-2</v>
          </cell>
          <cell r="BN60">
            <v>7.10346961525221E-2</v>
          </cell>
          <cell r="BO60">
            <v>9.9132899645179282E-2</v>
          </cell>
        </row>
        <row r="61">
          <cell r="BH61">
            <v>9.8475828321291994E-2</v>
          </cell>
          <cell r="BI61">
            <v>0.13679115640977763</v>
          </cell>
          <cell r="BJ61">
            <v>6.4966061925533447E-2</v>
          </cell>
          <cell r="BK61">
            <v>7.3069401631971898E-2</v>
          </cell>
          <cell r="BL61">
            <v>7.9784366265888571E-2</v>
          </cell>
          <cell r="BM61">
            <v>0.13192065217391305</v>
          </cell>
          <cell r="BN61">
            <v>7.6619951788588117E-2</v>
          </cell>
          <cell r="BO61">
            <v>0.1153957670985078</v>
          </cell>
        </row>
        <row r="62">
          <cell r="BH62">
            <v>0.20661976054841941</v>
          </cell>
          <cell r="BI62">
            <v>0.2871569012976799</v>
          </cell>
          <cell r="BJ62">
            <v>0.12973646157104665</v>
          </cell>
          <cell r="BK62">
            <v>0.15312222475804887</v>
          </cell>
          <cell r="BL62">
            <v>0.16336465430066652</v>
          </cell>
          <cell r="BM62">
            <v>0.2735279087286227</v>
          </cell>
          <cell r="BN62">
            <v>0.15496441100180042</v>
          </cell>
          <cell r="BO62">
            <v>0.26267316991847534</v>
          </cell>
        </row>
        <row r="66">
          <cell r="BH66" t="e">
            <v>#REF!</v>
          </cell>
          <cell r="BI66" t="e">
            <v>#REF!</v>
          </cell>
          <cell r="BJ66" t="e">
            <v>#REF!</v>
          </cell>
          <cell r="BK66" t="e">
            <v>#REF!</v>
          </cell>
          <cell r="BL66" t="e">
            <v>#REF!</v>
          </cell>
          <cell r="BM66" t="e">
            <v>#REF!</v>
          </cell>
          <cell r="BN66" t="e">
            <v>#REF!</v>
          </cell>
          <cell r="BO66" t="e">
            <v>#REF!</v>
          </cell>
        </row>
        <row r="69">
          <cell r="BH69">
            <v>5.3377240771006829</v>
          </cell>
          <cell r="BI69">
            <v>5.5768301104972373</v>
          </cell>
          <cell r="BJ69">
            <v>5.6773552855953149</v>
          </cell>
          <cell r="BK69">
            <v>5.7507385327815399</v>
          </cell>
          <cell r="BL69">
            <v>5.8595714747300676</v>
          </cell>
          <cell r="BM69">
            <v>6.1899605238339035</v>
          </cell>
          <cell r="BN69">
            <v>6.3420893020212894</v>
          </cell>
          <cell r="BO69">
            <v>6.5265881440352738</v>
          </cell>
        </row>
        <row r="70">
          <cell r="BH70" t="e">
            <v>#REF!</v>
          </cell>
          <cell r="BI70" t="e">
            <v>#REF!</v>
          </cell>
          <cell r="BJ70" t="e">
            <v>#REF!</v>
          </cell>
          <cell r="BK70" t="e">
            <v>#REF!</v>
          </cell>
          <cell r="BL70" t="e">
            <v>#REF!</v>
          </cell>
          <cell r="BM70" t="e">
            <v>#REF!</v>
          </cell>
          <cell r="BN70" t="e">
            <v>#REF!</v>
          </cell>
          <cell r="BO70" t="e">
            <v>#REF!</v>
          </cell>
        </row>
        <row r="71">
          <cell r="BH71">
            <v>0.2</v>
          </cell>
          <cell r="BI71">
            <v>0.13422818791946309</v>
          </cell>
          <cell r="BJ71">
            <v>0.28985507246376818</v>
          </cell>
          <cell r="BK71">
            <v>0.23529411764705885</v>
          </cell>
          <cell r="BL71">
            <v>0.21505376344086022</v>
          </cell>
          <cell r="BM71">
            <v>0.24390243902439027</v>
          </cell>
          <cell r="BN71">
            <v>0.26595744680851063</v>
          </cell>
          <cell r="BO71">
            <v>0.15432098765432098</v>
          </cell>
        </row>
        <row r="72">
          <cell r="BH72">
            <v>0.16529580843873554</v>
          </cell>
          <cell r="BI72">
            <v>0.24861235078792421</v>
          </cell>
          <cell r="BJ72">
            <v>9.2131690101178054E-2</v>
          </cell>
          <cell r="BK72">
            <v>0.11709346599144912</v>
          </cell>
          <cell r="BL72">
            <v>0.12823247058009307</v>
          </cell>
          <cell r="BM72">
            <v>0.20681378464847083</v>
          </cell>
          <cell r="BN72">
            <v>0.1137504719055769</v>
          </cell>
          <cell r="BO72">
            <v>0.22213718690636494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3">
          <cell r="A3" t="str">
            <v>Alcoa Inc.</v>
          </cell>
          <cell r="B3" t="str">
            <v>AA Equity</v>
          </cell>
          <cell r="C3" t="str">
            <v>AA</v>
          </cell>
          <cell r="D3">
            <v>39083</v>
          </cell>
          <cell r="E3" t="str">
            <v>$</v>
          </cell>
          <cell r="F3" t="str">
            <v>Anthony B. Rizzuto, Jr.</v>
          </cell>
          <cell r="G3" t="str">
            <v>D</v>
          </cell>
          <cell r="K3" t="str">
            <v>Hold</v>
          </cell>
          <cell r="M3">
            <v>1.32</v>
          </cell>
          <cell r="N3">
            <v>0.15</v>
          </cell>
          <cell r="O3">
            <v>0.5</v>
          </cell>
          <cell r="T3">
            <v>0.37</v>
          </cell>
          <cell r="U3">
            <v>-0.28000000000000003</v>
          </cell>
          <cell r="V3">
            <v>-0.4</v>
          </cell>
          <cell r="BC3">
            <v>3278</v>
          </cell>
          <cell r="BD3">
            <v>1946</v>
          </cell>
          <cell r="BE3">
            <v>2297</v>
          </cell>
          <cell r="BP3" t="str">
            <v>-</v>
          </cell>
        </row>
        <row r="4">
          <cell r="A4" t="str">
            <v>Century Aluminum  Co.</v>
          </cell>
          <cell r="B4" t="str">
            <v>CENX Equity</v>
          </cell>
          <cell r="C4" t="str">
            <v>CENX</v>
          </cell>
          <cell r="D4">
            <v>39083</v>
          </cell>
          <cell r="E4" t="str">
            <v>$</v>
          </cell>
          <cell r="F4" t="str">
            <v>Anthony B. Rizzuto, Jr.</v>
          </cell>
          <cell r="G4" t="str">
            <v>D</v>
          </cell>
          <cell r="K4" t="str">
            <v>Buy</v>
          </cell>
          <cell r="M4">
            <v>4.8499999999999996</v>
          </cell>
          <cell r="N4">
            <v>-1.9</v>
          </cell>
          <cell r="O4">
            <v>-0.45</v>
          </cell>
          <cell r="R4">
            <v>1.28</v>
          </cell>
          <cell r="S4">
            <v>2.5099999999999998</v>
          </cell>
          <cell r="T4">
            <v>1.31</v>
          </cell>
          <cell r="U4">
            <v>-0.25</v>
          </cell>
          <cell r="BC4">
            <v>400</v>
          </cell>
          <cell r="BD4">
            <v>-54</v>
          </cell>
          <cell r="BE4">
            <v>60</v>
          </cell>
          <cell r="BP4">
            <v>13</v>
          </cell>
          <cell r="BQ4" t="str">
            <v>12/2009</v>
          </cell>
        </row>
        <row r="5">
          <cell r="A5" t="str">
            <v>Kaiser Aluminum Corp.</v>
          </cell>
          <cell r="B5" t="str">
            <v>KALU Equity</v>
          </cell>
          <cell r="C5" t="str">
            <v>KALU</v>
          </cell>
          <cell r="D5">
            <v>39083</v>
          </cell>
          <cell r="E5" t="str">
            <v>$</v>
          </cell>
          <cell r="F5" t="str">
            <v>Anthony B. Rizzuto, Jr.</v>
          </cell>
          <cell r="G5" t="str">
            <v>D</v>
          </cell>
          <cell r="K5" t="str">
            <v>Buy</v>
          </cell>
          <cell r="M5" t="str">
            <v>-</v>
          </cell>
          <cell r="N5" t="str">
            <v>-</v>
          </cell>
          <cell r="O5" t="str">
            <v>-</v>
          </cell>
          <cell r="T5" t="str">
            <v>-</v>
          </cell>
          <cell r="U5" t="str">
            <v>-</v>
          </cell>
          <cell r="BB5">
            <v>143</v>
          </cell>
          <cell r="BC5">
            <v>132</v>
          </cell>
          <cell r="BD5">
            <v>95</v>
          </cell>
          <cell r="BE5">
            <v>120</v>
          </cell>
          <cell r="BH5">
            <v>41.7</v>
          </cell>
          <cell r="BI5">
            <v>37.4</v>
          </cell>
          <cell r="BJ5">
            <v>33.299999999999997</v>
          </cell>
          <cell r="BK5">
            <v>20</v>
          </cell>
          <cell r="BP5">
            <v>35</v>
          </cell>
          <cell r="BQ5" t="str">
            <v>12/2009</v>
          </cell>
        </row>
        <row r="6">
          <cell r="A6" t="str">
            <v>Norsk Hydro ASA</v>
          </cell>
          <cell r="B6" t="str">
            <v>NHY OS Equity</v>
          </cell>
          <cell r="C6" t="str">
            <v>NHY-OS</v>
          </cell>
          <cell r="D6">
            <v>39083</v>
          </cell>
          <cell r="E6" t="str">
            <v>NOK</v>
          </cell>
          <cell r="F6" t="str">
            <v>Anthony B. Rizzuto, Jr.</v>
          </cell>
          <cell r="G6" t="str">
            <v>D</v>
          </cell>
          <cell r="K6" t="str">
            <v>Hold</v>
          </cell>
          <cell r="M6">
            <v>3.1</v>
          </cell>
          <cell r="N6">
            <v>0.8</v>
          </cell>
          <cell r="O6">
            <v>1.9</v>
          </cell>
          <cell r="R6">
            <v>1.19</v>
          </cell>
          <cell r="S6">
            <v>1</v>
          </cell>
          <cell r="T6">
            <v>0.7</v>
          </cell>
          <cell r="U6">
            <v>0.2</v>
          </cell>
          <cell r="BC6">
            <v>8850</v>
          </cell>
          <cell r="BD6">
            <v>5075</v>
          </cell>
          <cell r="BE6">
            <v>7220</v>
          </cell>
          <cell r="BP6" t="str">
            <v>-</v>
          </cell>
        </row>
        <row r="7">
          <cell r="A7" t="str">
            <v>Freeport-McMoRan Copper &amp; Gold</v>
          </cell>
          <cell r="B7" t="str">
            <v>FCX Equity</v>
          </cell>
          <cell r="C7" t="str">
            <v>FCX</v>
          </cell>
          <cell r="D7">
            <v>39083</v>
          </cell>
          <cell r="E7" t="str">
            <v>$</v>
          </cell>
          <cell r="F7" t="str">
            <v>Anthony B. Rizzuto, Jr.</v>
          </cell>
          <cell r="G7" t="str">
            <v>D</v>
          </cell>
          <cell r="K7" t="str">
            <v>Buy</v>
          </cell>
          <cell r="M7">
            <v>5.35</v>
          </cell>
          <cell r="N7">
            <v>2.2999999999999998</v>
          </cell>
          <cell r="O7">
            <v>2.75</v>
          </cell>
          <cell r="T7">
            <v>1.31</v>
          </cell>
          <cell r="U7">
            <v>-0.85</v>
          </cell>
          <cell r="V7">
            <v>0.25</v>
          </cell>
          <cell r="BC7">
            <v>6300</v>
          </cell>
          <cell r="BD7">
            <v>4000</v>
          </cell>
          <cell r="BE7">
            <v>4500</v>
          </cell>
          <cell r="BP7">
            <v>40</v>
          </cell>
          <cell r="BQ7" t="str">
            <v>12/2009</v>
          </cell>
        </row>
        <row r="8">
          <cell r="A8" t="str">
            <v>Southern Copper Corp.</v>
          </cell>
          <cell r="B8" t="str">
            <v>PCU Equity</v>
          </cell>
          <cell r="C8" t="str">
            <v>PCU</v>
          </cell>
          <cell r="D8">
            <v>39083</v>
          </cell>
          <cell r="E8" t="str">
            <v>$</v>
          </cell>
          <cell r="F8" t="str">
            <v>Anthony B. Rizzuto, Jr.</v>
          </cell>
          <cell r="G8" t="str">
            <v>D</v>
          </cell>
          <cell r="K8" t="str">
            <v>Hold</v>
          </cell>
          <cell r="M8">
            <v>1.83</v>
          </cell>
          <cell r="N8">
            <v>0.8</v>
          </cell>
          <cell r="O8">
            <v>1.2</v>
          </cell>
          <cell r="T8">
            <v>0.47</v>
          </cell>
          <cell r="U8">
            <v>0.1</v>
          </cell>
          <cell r="BC8">
            <v>2800</v>
          </cell>
          <cell r="BD8">
            <v>1400</v>
          </cell>
          <cell r="BE8">
            <v>1900</v>
          </cell>
          <cell r="BP8" t="str">
            <v>-</v>
          </cell>
        </row>
        <row r="9">
          <cell r="A9" t="str">
            <v>ArcelorMittal</v>
          </cell>
          <cell r="B9" t="str">
            <v>MT Equity</v>
          </cell>
          <cell r="C9" t="str">
            <v>MT</v>
          </cell>
          <cell r="D9">
            <v>39083</v>
          </cell>
          <cell r="E9" t="str">
            <v>$</v>
          </cell>
          <cell r="F9" t="str">
            <v>Anthony B. Rizzuto, Jr.</v>
          </cell>
          <cell r="G9" t="str">
            <v>D</v>
          </cell>
          <cell r="K9" t="str">
            <v>Buy</v>
          </cell>
          <cell r="M9">
            <v>8.75</v>
          </cell>
          <cell r="N9">
            <v>2.35</v>
          </cell>
          <cell r="O9">
            <v>3.7</v>
          </cell>
          <cell r="T9">
            <v>2.78</v>
          </cell>
          <cell r="U9">
            <v>0.1</v>
          </cell>
          <cell r="BC9">
            <v>24400</v>
          </cell>
          <cell r="BD9">
            <v>11600</v>
          </cell>
          <cell r="BE9">
            <v>13800</v>
          </cell>
          <cell r="BP9">
            <v>33</v>
          </cell>
          <cell r="BQ9" t="str">
            <v>12/2009</v>
          </cell>
        </row>
        <row r="10">
          <cell r="A10" t="str">
            <v>Nucor Corp.</v>
          </cell>
          <cell r="B10" t="str">
            <v>NUE Equity</v>
          </cell>
          <cell r="C10" t="str">
            <v>NUE</v>
          </cell>
          <cell r="D10">
            <v>39083</v>
          </cell>
          <cell r="E10" t="str">
            <v>$</v>
          </cell>
          <cell r="F10" t="str">
            <v>Anthony B. Rizzuto, Jr.</v>
          </cell>
          <cell r="G10" t="str">
            <v>D</v>
          </cell>
          <cell r="K10" t="str">
            <v>Buy</v>
          </cell>
          <cell r="M10">
            <v>6</v>
          </cell>
          <cell r="N10">
            <v>3</v>
          </cell>
          <cell r="O10">
            <v>4.5</v>
          </cell>
          <cell r="R10">
            <v>1.41</v>
          </cell>
          <cell r="S10">
            <v>1.94</v>
          </cell>
          <cell r="T10">
            <v>2.31</v>
          </cell>
          <cell r="U10">
            <v>0.34</v>
          </cell>
          <cell r="V10">
            <v>0.6</v>
          </cell>
          <cell r="BC10">
            <v>4000</v>
          </cell>
          <cell r="BD10">
            <v>2200</v>
          </cell>
          <cell r="BE10">
            <v>3000</v>
          </cell>
          <cell r="BP10">
            <v>50</v>
          </cell>
          <cell r="BQ10" t="str">
            <v>12/2009</v>
          </cell>
        </row>
        <row r="11">
          <cell r="A11" t="str">
            <v>U.S. Steel Corp.</v>
          </cell>
          <cell r="B11" t="str">
            <v>X Equity</v>
          </cell>
          <cell r="C11" t="str">
            <v>X</v>
          </cell>
          <cell r="D11">
            <v>39083</v>
          </cell>
          <cell r="E11" t="str">
            <v>$</v>
          </cell>
          <cell r="F11" t="str">
            <v>Anthony B. Rizzuto, Jr.</v>
          </cell>
          <cell r="G11" t="str">
            <v>D</v>
          </cell>
          <cell r="K11" t="str">
            <v>Hold</v>
          </cell>
          <cell r="M11">
            <v>18.84</v>
          </cell>
          <cell r="N11">
            <v>0</v>
          </cell>
          <cell r="O11">
            <v>4.2</v>
          </cell>
          <cell r="R11">
            <v>1.77</v>
          </cell>
          <cell r="S11">
            <v>5.68</v>
          </cell>
          <cell r="T11">
            <v>8.7899999999999991</v>
          </cell>
          <cell r="U11">
            <v>2.6</v>
          </cell>
          <cell r="V11">
            <v>-0.6</v>
          </cell>
          <cell r="BC11">
            <v>3400</v>
          </cell>
          <cell r="BD11">
            <v>1100</v>
          </cell>
          <cell r="BE11">
            <v>1300</v>
          </cell>
          <cell r="BP11" t="str">
            <v>-</v>
          </cell>
        </row>
        <row r="12">
          <cell r="A12" t="str">
            <v>Steel Dynamics Inc.</v>
          </cell>
          <cell r="B12" t="str">
            <v>STLD Equity</v>
          </cell>
          <cell r="C12" t="str">
            <v>STLD</v>
          </cell>
          <cell r="D12">
            <v>39083</v>
          </cell>
          <cell r="E12" t="str">
            <v>$</v>
          </cell>
          <cell r="F12" t="str">
            <v>Anthony B. Rizzuto, Jr.</v>
          </cell>
          <cell r="G12" t="str">
            <v>D</v>
          </cell>
          <cell r="K12" t="str">
            <v>Hold</v>
          </cell>
          <cell r="M12">
            <v>2.2999999999999998</v>
          </cell>
          <cell r="N12">
            <v>1.45</v>
          </cell>
          <cell r="O12">
            <v>1.9</v>
          </cell>
          <cell r="R12">
            <v>0.72</v>
          </cell>
          <cell r="S12">
            <v>1.05</v>
          </cell>
          <cell r="T12">
            <v>0.98</v>
          </cell>
          <cell r="U12">
            <v>-0.45</v>
          </cell>
          <cell r="V12">
            <v>0.1</v>
          </cell>
          <cell r="BC12">
            <v>1300</v>
          </cell>
          <cell r="BD12">
            <v>770</v>
          </cell>
          <cell r="BE12">
            <v>900</v>
          </cell>
          <cell r="BP12" t="str">
            <v>-</v>
          </cell>
        </row>
        <row r="13">
          <cell r="A13" t="str">
            <v>Reliance Steel &amp; Aluminum Co.</v>
          </cell>
          <cell r="B13" t="str">
            <v>RS Equity</v>
          </cell>
          <cell r="C13" t="str">
            <v>RS</v>
          </cell>
          <cell r="D13">
            <v>39083</v>
          </cell>
          <cell r="E13" t="str">
            <v>$</v>
          </cell>
          <cell r="F13" t="str">
            <v>Anthony B. Rizzuto, Jr.</v>
          </cell>
          <cell r="G13" t="str">
            <v>D</v>
          </cell>
          <cell r="K13" t="str">
            <v>Buy</v>
          </cell>
          <cell r="M13">
            <v>5.95</v>
          </cell>
          <cell r="N13">
            <v>3</v>
          </cell>
          <cell r="O13">
            <v>4.9000000000000004</v>
          </cell>
          <cell r="R13">
            <v>1.46</v>
          </cell>
          <cell r="S13">
            <v>2.12</v>
          </cell>
          <cell r="T13">
            <v>2.0699999999999998</v>
          </cell>
          <cell r="U13">
            <v>0.3</v>
          </cell>
          <cell r="BC13">
            <v>1027</v>
          </cell>
          <cell r="BD13">
            <v>580</v>
          </cell>
          <cell r="BE13">
            <v>800</v>
          </cell>
          <cell r="BP13">
            <v>30</v>
          </cell>
          <cell r="BQ13" t="str">
            <v>12/2009</v>
          </cell>
        </row>
        <row r="14">
          <cell r="A14" t="str">
            <v>General Moly, Inc.</v>
          </cell>
          <cell r="B14" t="str">
            <v>GMO Equity</v>
          </cell>
          <cell r="C14" t="str">
            <v>GMO</v>
          </cell>
          <cell r="D14">
            <v>39083</v>
          </cell>
          <cell r="E14" t="str">
            <v>$</v>
          </cell>
          <cell r="F14" t="str">
            <v>Anthony B. Rizzuto, Jr.</v>
          </cell>
          <cell r="G14" t="str">
            <v>D</v>
          </cell>
          <cell r="K14" t="str">
            <v>Hold</v>
          </cell>
          <cell r="M14">
            <v>-0.24</v>
          </cell>
          <cell r="N14">
            <v>-0.27</v>
          </cell>
          <cell r="O14" t="str">
            <v>-</v>
          </cell>
          <cell r="U14" t="str">
            <v>-</v>
          </cell>
          <cell r="BC14" t="str">
            <v>NM</v>
          </cell>
          <cell r="BD14" t="str">
            <v>NM</v>
          </cell>
          <cell r="BP14" t="str">
            <v>-</v>
          </cell>
        </row>
        <row r="15">
          <cell r="A15" t="str">
            <v>Mercator Minerals Limited</v>
          </cell>
          <cell r="B15" t="str">
            <v>ML CN Equity</v>
          </cell>
          <cell r="C15" t="str">
            <v>ML-T</v>
          </cell>
          <cell r="D15">
            <v>39083</v>
          </cell>
          <cell r="E15" t="str">
            <v>CAD</v>
          </cell>
          <cell r="F15" t="str">
            <v>Anthony B. Rizzuto, Jr.</v>
          </cell>
          <cell r="G15" t="str">
            <v>D</v>
          </cell>
          <cell r="K15" t="str">
            <v>Hold</v>
          </cell>
          <cell r="M15">
            <v>-0.35</v>
          </cell>
          <cell r="N15">
            <v>0.05</v>
          </cell>
          <cell r="O15" t="str">
            <v>-</v>
          </cell>
          <cell r="T15">
            <v>-0.08</v>
          </cell>
          <cell r="U15">
            <v>-0.15</v>
          </cell>
          <cell r="BC15" t="str">
            <v>NM</v>
          </cell>
          <cell r="BD15">
            <v>25</v>
          </cell>
          <cell r="BP15" t="str">
            <v>-</v>
          </cell>
        </row>
        <row r="16">
          <cell r="A16" t="str">
            <v>Thompson Creek Metals Company Inc.</v>
          </cell>
          <cell r="B16" t="str">
            <v>TC Equity</v>
          </cell>
          <cell r="C16" t="str">
            <v>TC</v>
          </cell>
          <cell r="D16">
            <v>39083</v>
          </cell>
          <cell r="E16" t="str">
            <v>$</v>
          </cell>
          <cell r="F16" t="str">
            <v>Anthony B. Rizzuto, Jr.</v>
          </cell>
          <cell r="G16" t="str">
            <v>D</v>
          </cell>
          <cell r="K16" t="str">
            <v>Buy</v>
          </cell>
          <cell r="M16">
            <v>1.93</v>
          </cell>
          <cell r="N16">
            <v>0.25</v>
          </cell>
          <cell r="O16">
            <v>0.7</v>
          </cell>
          <cell r="T16">
            <v>0.71</v>
          </cell>
          <cell r="U16">
            <v>0.4</v>
          </cell>
          <cell r="BC16">
            <v>430</v>
          </cell>
          <cell r="BD16">
            <v>105</v>
          </cell>
          <cell r="BE16">
            <v>190</v>
          </cell>
          <cell r="BP16">
            <v>6</v>
          </cell>
          <cell r="BQ16" t="str">
            <v>12/2009</v>
          </cell>
        </row>
      </sheetData>
      <sheetData sheetId="1" refreshError="1"/>
      <sheetData sheetId="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-Breakdown"/>
      <sheetName val="Hedge Analysis"/>
      <sheetName val="SSB DataSheet"/>
      <sheetName val="DataSheet"/>
      <sheetName val="Balance Sheet"/>
      <sheetName val="LSP Valuation PF Merge"/>
      <sheetName val="Properties"/>
      <sheetName val="LSP Valuation"/>
      <sheetName val="LSP Valuation - POC"/>
      <sheetName val="DCF Based Asset Value &amp; Algeria"/>
      <sheetName val="VQ300"/>
      <sheetName val="VQ200"/>
      <sheetName val="VQ100"/>
      <sheetName val="VQ499"/>
      <sheetName val="GENERIC"/>
      <sheetName val="PrintableModel"/>
      <sheetName val="Valuation_2001"/>
      <sheetName val="ImpliedGrowth'02"/>
      <sheetName val="VQ400"/>
      <sheetName val="Sheet2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10-US2003"/>
      <sheetName val="PV10-Int'l2003"/>
      <sheetName val="PV10-US2002"/>
      <sheetName val="PV10-Int'l2002"/>
      <sheetName val="PV10 (2004)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5">
          <cell r="D5">
            <v>1</v>
          </cell>
          <cell r="E5">
            <v>1</v>
          </cell>
        </row>
        <row r="6">
          <cell r="D6">
            <v>2</v>
          </cell>
          <cell r="E6">
            <v>0.92387953251128674</v>
          </cell>
        </row>
        <row r="7">
          <cell r="D7">
            <v>3</v>
          </cell>
          <cell r="E7">
            <v>0.70710678118654757</v>
          </cell>
        </row>
        <row r="8">
          <cell r="D8">
            <v>4</v>
          </cell>
          <cell r="E8">
            <v>0.38268343236508984</v>
          </cell>
        </row>
        <row r="9">
          <cell r="D9">
            <v>5</v>
          </cell>
          <cell r="E9">
            <v>6.1257422745431001E-17</v>
          </cell>
        </row>
        <row r="10">
          <cell r="D10">
            <v>6</v>
          </cell>
          <cell r="E10">
            <v>-0.38268343236508973</v>
          </cell>
        </row>
        <row r="11">
          <cell r="D11">
            <v>7</v>
          </cell>
          <cell r="E11">
            <v>-0.70710678118654746</v>
          </cell>
        </row>
        <row r="12">
          <cell r="D12">
            <v>8</v>
          </cell>
          <cell r="E12">
            <v>-0.92387953251128674</v>
          </cell>
        </row>
        <row r="13">
          <cell r="D13">
            <v>9</v>
          </cell>
          <cell r="E13">
            <v>-1</v>
          </cell>
        </row>
        <row r="14">
          <cell r="D14">
            <v>10</v>
          </cell>
          <cell r="E14">
            <v>-0.92387953251128685</v>
          </cell>
        </row>
        <row r="15">
          <cell r="D15">
            <v>11</v>
          </cell>
          <cell r="E15">
            <v>-0.70710678118654768</v>
          </cell>
        </row>
        <row r="16">
          <cell r="D16">
            <v>12</v>
          </cell>
          <cell r="E16">
            <v>-0.38268343236509034</v>
          </cell>
        </row>
        <row r="17">
          <cell r="D17">
            <v>13</v>
          </cell>
          <cell r="E17">
            <v>-1.83772268236293E-16</v>
          </cell>
        </row>
        <row r="18">
          <cell r="D18">
            <v>14</v>
          </cell>
          <cell r="E18">
            <v>0.38268343236509</v>
          </cell>
        </row>
        <row r="19">
          <cell r="D19">
            <v>15</v>
          </cell>
          <cell r="E19">
            <v>0.70710678118654802</v>
          </cell>
        </row>
        <row r="20">
          <cell r="D20">
            <v>16</v>
          </cell>
          <cell r="E20">
            <v>0.92387953251128718</v>
          </cell>
        </row>
        <row r="21">
          <cell r="D21">
            <v>17</v>
          </cell>
          <cell r="E21">
            <v>1</v>
          </cell>
        </row>
        <row r="22">
          <cell r="D22">
            <v>18</v>
          </cell>
          <cell r="E22">
            <v>0.92387953251128596</v>
          </cell>
        </row>
        <row r="23">
          <cell r="D23">
            <v>19</v>
          </cell>
          <cell r="E23">
            <v>0.7071067811865458</v>
          </cell>
        </row>
        <row r="24">
          <cell r="D24">
            <v>20</v>
          </cell>
          <cell r="E24">
            <v>0.38268343236508717</v>
          </cell>
        </row>
        <row r="25">
          <cell r="D25">
            <v>21</v>
          </cell>
          <cell r="E25">
            <v>-3.2464265650733459E-15</v>
          </cell>
        </row>
        <row r="26">
          <cell r="D26">
            <v>22</v>
          </cell>
          <cell r="E26">
            <v>-0.38268343236509317</v>
          </cell>
        </row>
        <row r="27">
          <cell r="D27">
            <v>23</v>
          </cell>
          <cell r="E27">
            <v>-0.70710678118655046</v>
          </cell>
        </row>
        <row r="28">
          <cell r="D28">
            <v>24</v>
          </cell>
          <cell r="E28">
            <v>-0.92387953251128851</v>
          </cell>
        </row>
        <row r="29">
          <cell r="D29">
            <v>25</v>
          </cell>
          <cell r="E29">
            <v>-1</v>
          </cell>
        </row>
        <row r="30">
          <cell r="D30">
            <v>26</v>
          </cell>
          <cell r="E30">
            <v>-0.92387953251128474</v>
          </cell>
        </row>
        <row r="31">
          <cell r="D31">
            <v>27</v>
          </cell>
          <cell r="E31">
            <v>-0.70710678118654346</v>
          </cell>
        </row>
        <row r="32">
          <cell r="D32">
            <v>28</v>
          </cell>
          <cell r="E32">
            <v>-0.38268343236508401</v>
          </cell>
        </row>
        <row r="33">
          <cell r="D33">
            <v>29</v>
          </cell>
          <cell r="E33">
            <v>6.6766253983829849E-15</v>
          </cell>
        </row>
        <row r="34">
          <cell r="D34">
            <v>30</v>
          </cell>
          <cell r="E34">
            <v>0.38268343236509633</v>
          </cell>
        </row>
        <row r="35">
          <cell r="D35">
            <v>31</v>
          </cell>
          <cell r="E35">
            <v>0.7071067811865529</v>
          </cell>
        </row>
        <row r="36">
          <cell r="D36">
            <v>32</v>
          </cell>
          <cell r="E36">
            <v>0.92387953251128985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Collection Sheet"/>
      <sheetName val="Link"/>
      <sheetName val="Disclaimer"/>
      <sheetName val="Q-Breakdown"/>
      <sheetName val="Balance Sheet"/>
      <sheetName val="Hedging Analysis - Gas"/>
      <sheetName val="Hedge Analysis- Oil"/>
      <sheetName val="NAV Valuation New"/>
      <sheetName val="NAV Valuation"/>
      <sheetName val="Holders"/>
      <sheetName val="Tables"/>
      <sheetName val="Boomslang"/>
      <sheetName val="Entrada"/>
      <sheetName val="Habanero"/>
      <sheetName val="Medusa"/>
      <sheetName val="Capital Structure"/>
      <sheetName val="Graphs"/>
      <sheetName val="Options"/>
      <sheetName val="From Roger"/>
      <sheetName val="databox"/>
      <sheetName val="Front Tear"/>
      <sheetName val="Data Tear"/>
      <sheetName val="Back Te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D2" t="str">
            <v>Liquidity Analysis</v>
          </cell>
        </row>
        <row r="4">
          <cell r="AE4" t="str">
            <v>3Q02</v>
          </cell>
          <cell r="AF4" t="str">
            <v>4Q02</v>
          </cell>
          <cell r="AG4" t="str">
            <v>1Q03</v>
          </cell>
          <cell r="AH4" t="str">
            <v>2Q03</v>
          </cell>
          <cell r="AI4" t="str">
            <v>3Q03</v>
          </cell>
          <cell r="AJ4" t="str">
            <v>4Q03</v>
          </cell>
          <cell r="AK4" t="str">
            <v>1Q04</v>
          </cell>
          <cell r="AL4" t="str">
            <v>2Q04</v>
          </cell>
          <cell r="AM4" t="str">
            <v>3Q04</v>
          </cell>
          <cell r="AN4" t="str">
            <v>4Q04</v>
          </cell>
          <cell r="AO4" t="str">
            <v>1Q05</v>
          </cell>
          <cell r="AP4" t="str">
            <v>2Q05</v>
          </cell>
          <cell r="AQ4" t="str">
            <v>3Q05</v>
          </cell>
          <cell r="AR4" t="str">
            <v>4Q05</v>
          </cell>
          <cell r="AS4" t="str">
            <v>1Q06</v>
          </cell>
          <cell r="AT4" t="str">
            <v>2Q06</v>
          </cell>
          <cell r="AU4" t="str">
            <v>3Q06</v>
          </cell>
          <cell r="AV4" t="str">
            <v>4Q06</v>
          </cell>
          <cell r="AW4">
            <v>2006</v>
          </cell>
          <cell r="AX4">
            <v>2007</v>
          </cell>
        </row>
        <row r="5">
          <cell r="AD5" t="str">
            <v>Non Discretionary Capital Spending</v>
          </cell>
        </row>
        <row r="6">
          <cell r="AD6" t="str">
            <v>Medusa</v>
          </cell>
          <cell r="AE6">
            <v>7.1</v>
          </cell>
          <cell r="AF6">
            <v>-0.9</v>
          </cell>
          <cell r="AG6">
            <v>2</v>
          </cell>
          <cell r="AH6">
            <v>7.3</v>
          </cell>
          <cell r="AI6">
            <v>-0.29999999999999982</v>
          </cell>
          <cell r="AJ6">
            <v>4.5</v>
          </cell>
          <cell r="AK6" t="str">
            <v>-</v>
          </cell>
          <cell r="AL6" t="str">
            <v>-</v>
          </cell>
          <cell r="AM6" t="str">
            <v>-</v>
          </cell>
          <cell r="AN6" t="str">
            <v>-</v>
          </cell>
          <cell r="AO6" t="str">
            <v>-</v>
          </cell>
          <cell r="AP6" t="str">
            <v>-</v>
          </cell>
          <cell r="AQ6" t="str">
            <v>-</v>
          </cell>
          <cell r="AR6" t="str">
            <v>-</v>
          </cell>
          <cell r="AS6" t="str">
            <v>-</v>
          </cell>
          <cell r="AT6" t="str">
            <v>-</v>
          </cell>
          <cell r="AU6" t="str">
            <v>-</v>
          </cell>
          <cell r="AV6" t="str">
            <v>-</v>
          </cell>
          <cell r="AW6" t="str">
            <v>-</v>
          </cell>
          <cell r="AX6" t="str">
            <v>-</v>
          </cell>
        </row>
        <row r="7">
          <cell r="AD7" t="str">
            <v>Habanero</v>
          </cell>
          <cell r="AE7">
            <v>1.1000000000000001</v>
          </cell>
          <cell r="AF7">
            <v>2.5</v>
          </cell>
          <cell r="AG7">
            <v>5</v>
          </cell>
          <cell r="AH7">
            <v>5</v>
          </cell>
          <cell r="AI7">
            <v>4</v>
          </cell>
          <cell r="AJ7">
            <v>2</v>
          </cell>
          <cell r="AK7" t="str">
            <v>-</v>
          </cell>
          <cell r="AL7" t="str">
            <v>-</v>
          </cell>
          <cell r="AM7" t="str">
            <v>-</v>
          </cell>
          <cell r="AN7" t="str">
            <v>-</v>
          </cell>
          <cell r="AO7" t="str">
            <v>-</v>
          </cell>
          <cell r="AP7" t="str">
            <v>-</v>
          </cell>
          <cell r="AQ7" t="str">
            <v>-</v>
          </cell>
          <cell r="AR7" t="str">
            <v>-</v>
          </cell>
          <cell r="AS7" t="str">
            <v>-</v>
          </cell>
          <cell r="AT7" t="str">
            <v>-</v>
          </cell>
          <cell r="AU7" t="str">
            <v>-</v>
          </cell>
          <cell r="AV7" t="str">
            <v>-</v>
          </cell>
          <cell r="AW7" t="str">
            <v>-</v>
          </cell>
          <cell r="AX7" t="str">
            <v>-</v>
          </cell>
        </row>
        <row r="8">
          <cell r="AD8" t="str">
            <v>Entrada</v>
          </cell>
          <cell r="AE8" t="str">
            <v>-</v>
          </cell>
          <cell r="AF8" t="str">
            <v>-</v>
          </cell>
          <cell r="AG8" t="str">
            <v>-</v>
          </cell>
          <cell r="AH8" t="str">
            <v>-</v>
          </cell>
          <cell r="AI8" t="str">
            <v>-</v>
          </cell>
          <cell r="AJ8" t="str">
            <v>-</v>
          </cell>
          <cell r="AK8" t="str">
            <v>-</v>
          </cell>
          <cell r="AL8" t="str">
            <v>-</v>
          </cell>
          <cell r="AM8" t="str">
            <v>-</v>
          </cell>
          <cell r="AN8" t="str">
            <v>-</v>
          </cell>
          <cell r="AO8">
            <v>3.875</v>
          </cell>
          <cell r="AP8">
            <v>3.875</v>
          </cell>
          <cell r="AQ8">
            <v>3.875</v>
          </cell>
          <cell r="AR8">
            <v>3.875</v>
          </cell>
          <cell r="AS8">
            <v>3.875</v>
          </cell>
          <cell r="AT8">
            <v>3.875</v>
          </cell>
          <cell r="AU8">
            <v>3.875</v>
          </cell>
          <cell r="AV8">
            <v>3.875</v>
          </cell>
          <cell r="AW8">
            <v>40.663699999999999</v>
          </cell>
          <cell r="AX8">
            <v>3.2</v>
          </cell>
        </row>
        <row r="9">
          <cell r="AD9" t="str">
            <v>Total Deepwater GOM</v>
          </cell>
          <cell r="AE9">
            <v>8.1999999999999993</v>
          </cell>
          <cell r="AF9">
            <v>1.6</v>
          </cell>
          <cell r="AG9">
            <v>7</v>
          </cell>
          <cell r="AH9">
            <v>12.3</v>
          </cell>
          <cell r="AI9">
            <v>3.7</v>
          </cell>
          <cell r="AJ9">
            <v>6.5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3.875</v>
          </cell>
          <cell r="AP9">
            <v>3.875</v>
          </cell>
          <cell r="AQ9">
            <v>3.875</v>
          </cell>
          <cell r="AR9">
            <v>3.875</v>
          </cell>
          <cell r="AS9">
            <v>3.875</v>
          </cell>
          <cell r="AT9">
            <v>3.875</v>
          </cell>
          <cell r="AU9">
            <v>3.875</v>
          </cell>
          <cell r="AV9">
            <v>3.875</v>
          </cell>
          <cell r="AW9">
            <v>40.663699999999999</v>
          </cell>
          <cell r="AX9">
            <v>3.2</v>
          </cell>
        </row>
        <row r="10">
          <cell r="AD10" t="str">
            <v>GOM Shelf + Other</v>
          </cell>
          <cell r="AE10">
            <v>5.2000000000000011</v>
          </cell>
          <cell r="AF10">
            <v>7.0806949491937488</v>
          </cell>
          <cell r="AG10">
            <v>0.81307720408749962</v>
          </cell>
          <cell r="AH10">
            <v>1.3804367948198717</v>
          </cell>
          <cell r="AI10">
            <v>10.899894798097755</v>
          </cell>
          <cell r="AJ10">
            <v>5.5</v>
          </cell>
          <cell r="AK10">
            <v>12.9</v>
          </cell>
          <cell r="AL10">
            <v>13.167999999999999</v>
          </cell>
          <cell r="AM10">
            <v>17.216000000000001</v>
          </cell>
          <cell r="AN10">
            <v>13.1</v>
          </cell>
          <cell r="AO10">
            <v>9.25</v>
          </cell>
          <cell r="AP10">
            <v>9.25</v>
          </cell>
          <cell r="AQ10">
            <v>9.25</v>
          </cell>
          <cell r="AR10">
            <v>9.25</v>
          </cell>
          <cell r="AS10">
            <v>11.925000000000001</v>
          </cell>
          <cell r="AT10">
            <v>11.925000000000001</v>
          </cell>
          <cell r="AU10">
            <v>11.925000000000001</v>
          </cell>
          <cell r="AV10">
            <v>11.925000000000001</v>
          </cell>
          <cell r="AW10">
            <v>5.0215351362375458</v>
          </cell>
          <cell r="AX10">
            <v>11.976860964186841</v>
          </cell>
        </row>
        <row r="12">
          <cell r="AD12" t="str">
            <v>Total CAPEX Excl. Cap. Items</v>
          </cell>
          <cell r="AE12">
            <v>13.4</v>
          </cell>
          <cell r="AF12">
            <v>8.6806949491937484</v>
          </cell>
          <cell r="AG12">
            <v>7.8130772040874996</v>
          </cell>
          <cell r="AH12">
            <v>13.680436794819872</v>
          </cell>
          <cell r="AI12">
            <v>14</v>
          </cell>
          <cell r="AJ12">
            <v>12</v>
          </cell>
          <cell r="AK12">
            <v>13.125</v>
          </cell>
          <cell r="AL12">
            <v>13.125</v>
          </cell>
          <cell r="AM12">
            <v>13.125</v>
          </cell>
          <cell r="AN12">
            <v>13.125</v>
          </cell>
          <cell r="AO12">
            <v>13.125</v>
          </cell>
          <cell r="AP12">
            <v>13.125</v>
          </cell>
          <cell r="AQ12">
            <v>13.125</v>
          </cell>
          <cell r="AR12">
            <v>13.125</v>
          </cell>
          <cell r="AS12">
            <v>15.8</v>
          </cell>
          <cell r="AT12">
            <v>15.8</v>
          </cell>
          <cell r="AU12">
            <v>15.8</v>
          </cell>
          <cell r="AV12">
            <v>15.8</v>
          </cell>
          <cell r="AW12">
            <v>63.2</v>
          </cell>
          <cell r="AX12">
            <v>63.2</v>
          </cell>
        </row>
        <row r="13">
          <cell r="AD13" t="str">
            <v>Capitalized Int</v>
          </cell>
          <cell r="AE13">
            <v>-1.4102647610498025</v>
          </cell>
          <cell r="AF13">
            <v>-1.1813050508062506</v>
          </cell>
          <cell r="AG13">
            <v>-1.3869227959125001</v>
          </cell>
          <cell r="AH13">
            <v>-1.1064860010926285</v>
          </cell>
          <cell r="AI13">
            <v>-1.2065912029948713</v>
          </cell>
          <cell r="AJ13">
            <v>-1.2</v>
          </cell>
          <cell r="AK13">
            <v>-1</v>
          </cell>
          <cell r="AL13">
            <v>-1.0760000000000001</v>
          </cell>
          <cell r="AM13">
            <v>-1.0580637174814629</v>
          </cell>
          <cell r="AN13">
            <v>-1.1000000000000001</v>
          </cell>
          <cell r="AO13">
            <v>-1.0556572327044023</v>
          </cell>
          <cell r="AP13">
            <v>-1.1040008506486838</v>
          </cell>
          <cell r="AQ13">
            <v>-1.0807028650347357</v>
          </cell>
          <cell r="AR13">
            <v>-1.0562618081629636</v>
          </cell>
          <cell r="AS13">
            <v>-1.0447470753633397</v>
          </cell>
          <cell r="AT13">
            <v>-1.0360119662688545</v>
          </cell>
          <cell r="AU13">
            <v>-1.0234180055749784</v>
          </cell>
          <cell r="AV13">
            <v>-1.0105878165552868</v>
          </cell>
          <cell r="AW13">
            <v>-4.114764863762459</v>
          </cell>
          <cell r="AX13">
            <v>-3.482039035813159</v>
          </cell>
        </row>
        <row r="14">
          <cell r="AD14" t="str">
            <v>Capitalized G&amp;A</v>
          </cell>
          <cell r="AE14">
            <v>-2.4009999999999998</v>
          </cell>
          <cell r="AF14">
            <v>-2.2130000000000001</v>
          </cell>
          <cell r="AG14">
            <v>-2.2999999999999998</v>
          </cell>
          <cell r="AH14">
            <v>-2.1</v>
          </cell>
          <cell r="AI14">
            <v>-2</v>
          </cell>
          <cell r="AJ14">
            <v>-3.2</v>
          </cell>
          <cell r="AK14">
            <v>-2.1</v>
          </cell>
          <cell r="AL14">
            <v>-1.756</v>
          </cell>
          <cell r="AM14">
            <v>-2</v>
          </cell>
          <cell r="AN14">
            <v>-1.8</v>
          </cell>
          <cell r="AO14">
            <v>-1.8</v>
          </cell>
          <cell r="AP14">
            <v>-1.8</v>
          </cell>
          <cell r="AQ14">
            <v>-1.8</v>
          </cell>
          <cell r="AR14">
            <v>-1.8</v>
          </cell>
          <cell r="AS14">
            <v>-2</v>
          </cell>
          <cell r="AT14">
            <v>-2</v>
          </cell>
          <cell r="AU14">
            <v>-2</v>
          </cell>
          <cell r="AV14">
            <v>-2</v>
          </cell>
          <cell r="AW14">
            <v>-8</v>
          </cell>
          <cell r="AX14">
            <v>-9.6</v>
          </cell>
        </row>
        <row r="15">
          <cell r="AD15" t="str">
            <v>Total CAPEX</v>
          </cell>
          <cell r="AE15">
            <v>17.211264761049804</v>
          </cell>
          <cell r="AF15">
            <v>12.074999999999999</v>
          </cell>
          <cell r="AG15">
            <v>11.5</v>
          </cell>
          <cell r="AH15">
            <v>16.886922795912501</v>
          </cell>
          <cell r="AI15">
            <v>17.206591202994872</v>
          </cell>
          <cell r="AJ15">
            <v>16.399999999999999</v>
          </cell>
          <cell r="AK15">
            <v>16.225000000000001</v>
          </cell>
          <cell r="AL15">
            <v>15.957000000000001</v>
          </cell>
          <cell r="AM15">
            <v>16.183063717481463</v>
          </cell>
          <cell r="AN15">
            <v>16.024999999999999</v>
          </cell>
          <cell r="AO15">
            <v>15.980657232704402</v>
          </cell>
          <cell r="AP15">
            <v>16.029000850648682</v>
          </cell>
          <cell r="AQ15">
            <v>16.005702865034735</v>
          </cell>
          <cell r="AR15">
            <v>15.981261808162964</v>
          </cell>
          <cell r="AS15">
            <v>18.84474707536334</v>
          </cell>
          <cell r="AT15">
            <v>18.836011966268856</v>
          </cell>
          <cell r="AU15">
            <v>18.823418005574979</v>
          </cell>
          <cell r="AV15">
            <v>18.810587816555287</v>
          </cell>
          <cell r="AW15">
            <v>75.314764863762463</v>
          </cell>
          <cell r="AX15">
            <v>76.282039035813156</v>
          </cell>
        </row>
        <row r="17">
          <cell r="AD17" t="str">
            <v>Proj. Cash Flow (Net of Cap. Items)</v>
          </cell>
          <cell r="AE17">
            <v>0.54865523895019763</v>
          </cell>
          <cell r="AF17">
            <v>4.3874249491937505</v>
          </cell>
          <cell r="AG17">
            <v>8.1469230040874994</v>
          </cell>
          <cell r="AH17">
            <v>5.5926939989073716</v>
          </cell>
          <cell r="AI17">
            <v>2.2994887970051288</v>
          </cell>
          <cell r="AJ17">
            <v>2.7773400000000001</v>
          </cell>
          <cell r="AK17">
            <v>14.802650000000002</v>
          </cell>
          <cell r="AL17">
            <v>22.805</v>
          </cell>
          <cell r="AM17">
            <v>9.8169362825185384</v>
          </cell>
          <cell r="AN17">
            <v>11.39038</v>
          </cell>
          <cell r="AO17">
            <v>28.558342767295599</v>
          </cell>
          <cell r="AP17">
            <v>28.046148097405268</v>
          </cell>
          <cell r="AQ17">
            <v>39.223962539861063</v>
          </cell>
          <cell r="AR17">
            <v>45.727326767348146</v>
          </cell>
          <cell r="AS17">
            <v>41.312949623373349</v>
          </cell>
          <cell r="AT17">
            <v>35.544562087274791</v>
          </cell>
          <cell r="AU17">
            <v>35.747449598737923</v>
          </cell>
          <cell r="AV17">
            <v>36.037876015122542</v>
          </cell>
          <cell r="AW17">
            <v>148.64283732450858</v>
          </cell>
          <cell r="AX17">
            <v>140.63782515102787</v>
          </cell>
        </row>
        <row r="18">
          <cell r="AD18" t="str">
            <v>Excess/Free Cash Flow</v>
          </cell>
          <cell r="AE18">
            <v>-12.851344761049802</v>
          </cell>
          <cell r="AF18">
            <v>-4.2932699999999979</v>
          </cell>
          <cell r="AG18">
            <v>0.33384579999999975</v>
          </cell>
          <cell r="AH18">
            <v>-8.0877427959125008</v>
          </cell>
          <cell r="AI18">
            <v>-11.700511202994871</v>
          </cell>
          <cell r="AJ18">
            <v>-9.2226599999999994</v>
          </cell>
          <cell r="AK18">
            <v>1.6776500000000016</v>
          </cell>
          <cell r="AL18">
            <v>9.68</v>
          </cell>
          <cell r="AM18">
            <v>-3.3080637174814616</v>
          </cell>
          <cell r="AN18">
            <v>-1.7346199999999996</v>
          </cell>
          <cell r="AO18">
            <v>15.433342767295599</v>
          </cell>
          <cell r="AP18">
            <v>14.921148097405268</v>
          </cell>
          <cell r="AQ18">
            <v>26.098962539861063</v>
          </cell>
          <cell r="AR18">
            <v>32.602326767348146</v>
          </cell>
          <cell r="AS18">
            <v>25.512949623373348</v>
          </cell>
          <cell r="AT18">
            <v>19.74456208727479</v>
          </cell>
          <cell r="AU18">
            <v>19.947449598737922</v>
          </cell>
          <cell r="AV18">
            <v>20.237876015122541</v>
          </cell>
          <cell r="AW18">
            <v>85.442837324508574</v>
          </cell>
          <cell r="AX18">
            <v>77.437825151027866</v>
          </cell>
        </row>
        <row r="19">
          <cell r="AD19" t="str">
            <v>Cash Flow per Share</v>
          </cell>
          <cell r="AE19">
            <v>3.8597983528639059E-2</v>
          </cell>
          <cell r="AF19">
            <v>0.32456169175867366</v>
          </cell>
          <cell r="AG19">
            <v>0.58866072463976182</v>
          </cell>
          <cell r="AH19">
            <v>0.41002155417209468</v>
          </cell>
          <cell r="AI19">
            <v>0.16810357460378161</v>
          </cell>
          <cell r="AJ19">
            <v>0.20229732682642582</v>
          </cell>
          <cell r="AK19">
            <v>1.0248532022395194</v>
          </cell>
          <cell r="AL19">
            <v>1.3635332108787106</v>
          </cell>
          <cell r="AM19">
            <v>0.53271253162468968</v>
          </cell>
          <cell r="AN19">
            <v>0.56914993865030672</v>
          </cell>
          <cell r="AO19">
            <v>1.391094050067492</v>
          </cell>
          <cell r="AP19">
            <v>1.3663868893222395</v>
          </cell>
          <cell r="AQ19">
            <v>1.9069524393007575</v>
          </cell>
          <cell r="AR19">
            <v>2.2214588822588328</v>
          </cell>
          <cell r="AS19">
            <v>2.0079770588728771</v>
          </cell>
          <cell r="AT19">
            <v>1.7290145123935965</v>
          </cell>
          <cell r="AU19">
            <v>1.738826269404097</v>
          </cell>
          <cell r="AV19">
            <v>1.7528714583191094</v>
          </cell>
          <cell r="AW19">
            <v>7.2286892989896803</v>
          </cell>
          <cell r="AX19">
            <v>6.8415622957262734</v>
          </cell>
        </row>
        <row r="22">
          <cell r="AD22" t="str">
            <v>Debt Outstanding ($ MM)</v>
          </cell>
        </row>
        <row r="23">
          <cell r="AD23" t="str">
            <v>Beginning of Period</v>
          </cell>
          <cell r="AE23">
            <v>239.62609580500745</v>
          </cell>
          <cell r="AF23">
            <v>248.84902295278528</v>
          </cell>
          <cell r="AG23">
            <v>249.9</v>
          </cell>
          <cell r="AH23">
            <v>254.19326999999998</v>
          </cell>
          <cell r="AI23">
            <v>253.85942420000001</v>
          </cell>
          <cell r="AJ23">
            <v>260.89999999999998</v>
          </cell>
          <cell r="AK23">
            <v>151.10040600109264</v>
          </cell>
          <cell r="AL23">
            <v>258.00068906249999</v>
          </cell>
          <cell r="AM23">
            <v>52.866999999999997</v>
          </cell>
          <cell r="AN23">
            <v>8.25</v>
          </cell>
          <cell r="AO23">
            <v>2.08</v>
          </cell>
          <cell r="AP23">
            <v>7.9269999999999996</v>
          </cell>
          <cell r="AQ23">
            <v>-7.5063427672955987</v>
          </cell>
          <cell r="AR23">
            <v>-22.427490864700868</v>
          </cell>
          <cell r="AS23">
            <v>-48.526453404561934</v>
          </cell>
          <cell r="AT23">
            <v>-81.12878017191008</v>
          </cell>
          <cell r="AU23">
            <v>-106.64172979528344</v>
          </cell>
          <cell r="AV23">
            <v>-126.38629188255823</v>
          </cell>
          <cell r="AW23">
            <v>-48.526453404561934</v>
          </cell>
          <cell r="AX23">
            <v>0</v>
          </cell>
        </row>
        <row r="24">
          <cell r="AD24" t="str">
            <v>End of Period</v>
          </cell>
          <cell r="AE24">
            <v>248.84902295278528</v>
          </cell>
          <cell r="AF24">
            <v>249.9</v>
          </cell>
          <cell r="AG24">
            <v>254.19326999999998</v>
          </cell>
          <cell r="AH24">
            <v>253.85942420000001</v>
          </cell>
          <cell r="AI24">
            <v>260.89999999999998</v>
          </cell>
          <cell r="AJ24">
            <v>151.10040600109264</v>
          </cell>
          <cell r="AK24">
            <v>258.00068906249999</v>
          </cell>
          <cell r="AL24">
            <v>52.866999999999997</v>
          </cell>
          <cell r="AM24">
            <v>8.25</v>
          </cell>
          <cell r="AN24">
            <v>2.08</v>
          </cell>
          <cell r="AO24">
            <v>7.9269999999999996</v>
          </cell>
          <cell r="AP24">
            <v>-7.5063427672955987</v>
          </cell>
          <cell r="AQ24">
            <v>-22.427490864700868</v>
          </cell>
          <cell r="AR24">
            <v>-48.526453404561934</v>
          </cell>
          <cell r="AS24">
            <v>-81.12878017191008</v>
          </cell>
          <cell r="AT24">
            <v>-106.64172979528344</v>
          </cell>
          <cell r="AU24">
            <v>-126.38629188255823</v>
          </cell>
          <cell r="AV24">
            <v>-146.33374148129613</v>
          </cell>
          <cell r="AW24">
            <v>0</v>
          </cell>
          <cell r="AX24">
            <v>-125.46096418684104</v>
          </cell>
        </row>
        <row r="25">
          <cell r="AD25" t="str">
            <v>Bank Borrowing Base ($MM)</v>
          </cell>
          <cell r="AE25">
            <v>75</v>
          </cell>
          <cell r="AF25">
            <v>75</v>
          </cell>
          <cell r="AG25">
            <v>75</v>
          </cell>
          <cell r="AH25">
            <v>75</v>
          </cell>
          <cell r="AI25">
            <v>75</v>
          </cell>
          <cell r="AJ25">
            <v>75</v>
          </cell>
          <cell r="AK25">
            <v>75</v>
          </cell>
          <cell r="AL25">
            <v>75</v>
          </cell>
          <cell r="AM25">
            <v>60</v>
          </cell>
          <cell r="AN25">
            <v>60</v>
          </cell>
          <cell r="AO25">
            <v>60</v>
          </cell>
          <cell r="AP25">
            <v>60</v>
          </cell>
          <cell r="AQ25">
            <v>60</v>
          </cell>
          <cell r="AR25">
            <v>60</v>
          </cell>
          <cell r="AS25">
            <v>60</v>
          </cell>
          <cell r="AT25">
            <v>60</v>
          </cell>
          <cell r="AU25">
            <v>60</v>
          </cell>
          <cell r="AV25">
            <v>60</v>
          </cell>
          <cell r="AW25">
            <v>0</v>
          </cell>
          <cell r="AX25">
            <v>60</v>
          </cell>
        </row>
        <row r="26">
          <cell r="AD26" t="str">
            <v>Credit Used -- End of Period</v>
          </cell>
          <cell r="AE26">
            <v>59</v>
          </cell>
          <cell r="AF26">
            <v>63.29327</v>
          </cell>
          <cell r="AG26">
            <v>62.959424199999994</v>
          </cell>
          <cell r="AH26">
            <v>70</v>
          </cell>
          <cell r="AI26">
            <v>45.200406001092631</v>
          </cell>
          <cell r="AJ26">
            <v>30</v>
          </cell>
          <cell r="AK26">
            <v>19.867000000000001</v>
          </cell>
          <cell r="AL26">
            <v>0</v>
          </cell>
          <cell r="AM26">
            <v>2.08</v>
          </cell>
          <cell r="AN26">
            <v>7.9269999999999996</v>
          </cell>
          <cell r="AO26">
            <v>-7.5063427672955987</v>
          </cell>
          <cell r="AP26">
            <v>-22.427490864700868</v>
          </cell>
          <cell r="AQ26">
            <v>-48.526453404561934</v>
          </cell>
          <cell r="AR26">
            <v>-81.12878017191008</v>
          </cell>
          <cell r="AS26">
            <v>-106.64172979528344</v>
          </cell>
          <cell r="AT26">
            <v>-126.38629188255823</v>
          </cell>
          <cell r="AU26">
            <v>-146.33374148129613</v>
          </cell>
          <cell r="AV26">
            <v>-166.57161749641867</v>
          </cell>
          <cell r="AW26">
            <v>0</v>
          </cell>
          <cell r="AX26">
            <v>-125.46096418684104</v>
          </cell>
        </row>
        <row r="27">
          <cell r="AD27" t="str">
            <v xml:space="preserve">End of Period Credit Available </v>
          </cell>
          <cell r="AE27">
            <v>16</v>
          </cell>
          <cell r="AF27">
            <v>11.70673</v>
          </cell>
          <cell r="AG27">
            <v>12.040575800000006</v>
          </cell>
          <cell r="AH27">
            <v>5</v>
          </cell>
          <cell r="AI27">
            <v>29.799593998907369</v>
          </cell>
          <cell r="AJ27">
            <v>45</v>
          </cell>
          <cell r="AK27">
            <v>55.132999999999996</v>
          </cell>
          <cell r="AL27">
            <v>75</v>
          </cell>
          <cell r="AM27">
            <v>57.92</v>
          </cell>
          <cell r="AN27">
            <v>52.073</v>
          </cell>
          <cell r="AO27">
            <v>67.506342767295592</v>
          </cell>
          <cell r="AP27">
            <v>82.427490864700871</v>
          </cell>
          <cell r="AQ27">
            <v>108.52645340456193</v>
          </cell>
          <cell r="AR27">
            <v>141.12878017191008</v>
          </cell>
          <cell r="AS27">
            <v>166.64172979528342</v>
          </cell>
          <cell r="AT27">
            <v>186.38629188255823</v>
          </cell>
          <cell r="AU27">
            <v>206.33374148129613</v>
          </cell>
          <cell r="AV27">
            <v>226.57161749641867</v>
          </cell>
          <cell r="AW27">
            <v>0</v>
          </cell>
          <cell r="AX27">
            <v>185.46096418684104</v>
          </cell>
        </row>
        <row r="28">
          <cell r="AD28" t="str">
            <v>Debt-to-Book Cap.</v>
          </cell>
          <cell r="AE28">
            <v>0.63062264511760846</v>
          </cell>
          <cell r="AF28">
            <v>0.63784815622679703</v>
          </cell>
          <cell r="AG28">
            <v>0.63692301397118811</v>
          </cell>
          <cell r="AH28">
            <v>0.56668270807598109</v>
          </cell>
          <cell r="AI28">
            <v>0.47083755922556425</v>
          </cell>
          <cell r="AJ28">
            <v>0.61722668076037068</v>
          </cell>
          <cell r="AK28">
            <v>0.62454379691815798</v>
          </cell>
          <cell r="AL28">
            <v>0.50221247264652591</v>
          </cell>
          <cell r="AM28">
            <v>0.5075034994628731</v>
          </cell>
          <cell r="AN28">
            <v>0.49237066218198294</v>
          </cell>
          <cell r="AO28">
            <v>0.46025962114912838</v>
          </cell>
          <cell r="AP28">
            <v>0.42775675517628753</v>
          </cell>
          <cell r="AQ28">
            <v>0.36821487513764078</v>
          </cell>
          <cell r="AR28">
            <v>0.28922989490887885</v>
          </cell>
          <cell r="AS28">
            <v>0.22149110897145569</v>
          </cell>
          <cell r="AT28">
            <v>0.16733856205075903</v>
          </cell>
          <cell r="AU28">
            <v>0.11127880662983748</v>
          </cell>
          <cell r="AV28">
            <v>5.2869793061392195E-2</v>
          </cell>
          <cell r="AW28" t="e">
            <v>#REF!</v>
          </cell>
          <cell r="AX28" t="e">
            <v>#REF!</v>
          </cell>
        </row>
        <row r="30">
          <cell r="AD30" t="str">
            <v>EBITDA/Fixed Charges</v>
          </cell>
          <cell r="AE30">
            <v>1.3625675586078068</v>
          </cell>
          <cell r="AF30">
            <v>1.7236752236616473</v>
          </cell>
          <cell r="AG30">
            <v>1.8728468990025726</v>
          </cell>
          <cell r="AH30">
            <v>1.6698113819230402</v>
          </cell>
          <cell r="AI30">
            <v>1.2771282993309032</v>
          </cell>
          <cell r="AJ30">
            <v>1.5019519580137264</v>
          </cell>
          <cell r="AK30">
            <v>3.1841400832177533</v>
          </cell>
          <cell r="AL30">
            <v>4.3838383838383841</v>
          </cell>
          <cell r="AM30">
            <v>3.0339460898056854</v>
          </cell>
          <cell r="AN30">
            <v>3.1445731280615816</v>
          </cell>
          <cell r="AO30">
            <v>5.8529372699780131</v>
          </cell>
          <cell r="AP30">
            <v>6.6457741099834982</v>
          </cell>
          <cell r="AQ30">
            <v>8.9326803763808211</v>
          </cell>
          <cell r="AR30">
            <v>10.382646135476046</v>
          </cell>
          <cell r="AS30">
            <v>10.81746301410023</v>
          </cell>
          <cell r="AT30">
            <v>9.5286419793792074</v>
          </cell>
          <cell r="AU30">
            <v>9.6694425867772686</v>
          </cell>
          <cell r="AV30">
            <v>9.8391997928478414</v>
          </cell>
          <cell r="AW30">
            <v>9.9668517798181444</v>
          </cell>
          <cell r="AX30">
            <v>9.106105828678535</v>
          </cell>
        </row>
        <row r="32">
          <cell r="AD32" t="str">
            <v>Production (MMCFE/D)</v>
          </cell>
          <cell r="AE32">
            <v>44.608695652173914</v>
          </cell>
          <cell r="AF32">
            <v>45.532608695652179</v>
          </cell>
          <cell r="AG32">
            <v>41.078000000000003</v>
          </cell>
          <cell r="AH32">
            <v>37.824175824175825</v>
          </cell>
          <cell r="AI32">
            <v>33.326086956521735</v>
          </cell>
          <cell r="AJ32">
            <v>33.326086956521735</v>
          </cell>
          <cell r="AK32">
            <v>63.8</v>
          </cell>
          <cell r="AL32">
            <v>73.032967032967036</v>
          </cell>
          <cell r="AM32">
            <v>50.663043478260875</v>
          </cell>
          <cell r="AN32">
            <v>51.608695652173914</v>
          </cell>
          <cell r="AO32">
            <v>73.266666666666666</v>
          </cell>
          <cell r="AP32">
            <v>71.3</v>
          </cell>
          <cell r="AQ32">
            <v>70.8</v>
          </cell>
          <cell r="AR32">
            <v>70.8</v>
          </cell>
          <cell r="AS32">
            <v>67.5</v>
          </cell>
          <cell r="AT32">
            <v>67.5</v>
          </cell>
          <cell r="AU32">
            <v>67.5</v>
          </cell>
          <cell r="AV32">
            <v>67.5</v>
          </cell>
          <cell r="AW32">
            <v>67.5</v>
          </cell>
          <cell r="AX32">
            <v>74</v>
          </cell>
        </row>
        <row r="34">
          <cell r="AD34" t="str">
            <v xml:space="preserve">End of Period Credit Available </v>
          </cell>
        </row>
        <row r="35">
          <cell r="AD35" t="str">
            <v xml:space="preserve">        $18 WTI/$2.50 Gas</v>
          </cell>
          <cell r="AG35">
            <v>5.5249640791479209</v>
          </cell>
          <cell r="AH35">
            <v>-2.475495181242394</v>
          </cell>
          <cell r="AI35">
            <v>-10.938017428196943</v>
          </cell>
          <cell r="AJ35">
            <v>-7.6342817407608123</v>
          </cell>
          <cell r="AK35">
            <v>1.841808109294135</v>
          </cell>
          <cell r="AL35">
            <v>18.416306461101193</v>
          </cell>
          <cell r="AM35">
            <v>12.820038873594314</v>
          </cell>
          <cell r="AN35">
            <v>29.901888156270481</v>
          </cell>
          <cell r="AO35">
            <v>40.125148998871268</v>
          </cell>
          <cell r="AP35">
            <v>49.065473727621054</v>
          </cell>
          <cell r="AQ35">
            <v>56.673791565849925</v>
          </cell>
          <cell r="AR35">
            <v>62.865214688142046</v>
          </cell>
          <cell r="AS35" t="e">
            <v>#REF!</v>
          </cell>
          <cell r="AT35" t="e">
            <v>#REF!</v>
          </cell>
          <cell r="AU35" t="e">
            <v>#REF!</v>
          </cell>
          <cell r="AV35" t="e">
            <v>#REF!</v>
          </cell>
          <cell r="AW35">
            <v>63.879119369299886</v>
          </cell>
          <cell r="AX35">
            <v>135.30282638718933</v>
          </cell>
        </row>
        <row r="36">
          <cell r="AD36" t="str">
            <v xml:space="preserve">        $20 WTI/$3.00 Gas</v>
          </cell>
          <cell r="AG36">
            <v>6.9489894357247834</v>
          </cell>
          <cell r="AH36">
            <v>1.6654730927539987</v>
          </cell>
          <cell r="AI36">
            <v>-3.8041099668693761</v>
          </cell>
          <cell r="AJ36">
            <v>3.1774656007705175</v>
          </cell>
          <cell r="AK36">
            <v>12.756852399948372</v>
          </cell>
          <cell r="AL36">
            <v>29.435634614404997</v>
          </cell>
          <cell r="AM36">
            <v>23.944647232184458</v>
          </cell>
          <cell r="AN36">
            <v>41.132782581980912</v>
          </cell>
          <cell r="AO36">
            <v>51.470644388109335</v>
          </cell>
          <cell r="AP36">
            <v>60.52673947797377</v>
          </cell>
          <cell r="AQ36">
            <v>68.252009007530688</v>
          </cell>
          <cell r="AR36">
            <v>74.561577205756564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  <cell r="AW36">
            <v>76.052884438644583</v>
          </cell>
          <cell r="AX36">
            <v>147.97347982389539</v>
          </cell>
        </row>
        <row r="38">
          <cell r="AD38" t="str">
            <v xml:space="preserve">End of Period Credit Available </v>
          </cell>
        </row>
        <row r="39">
          <cell r="AD39" t="str">
            <v xml:space="preserve">        If Medusa delayed by a qtr.</v>
          </cell>
          <cell r="AE39">
            <v>15.986533126269599</v>
          </cell>
          <cell r="AF39">
            <v>12.024097586968168</v>
          </cell>
          <cell r="AG39">
            <v>7.0996075022857923</v>
          </cell>
          <cell r="AH39">
            <v>-4.0880800056541489</v>
          </cell>
          <cell r="AI39">
            <v>-7.9953084770457536</v>
          </cell>
          <cell r="AJ39">
            <v>1.548007232216662</v>
          </cell>
          <cell r="AK39">
            <v>11.111825957809614</v>
          </cell>
          <cell r="AL39">
            <v>27.774891359124787</v>
          </cell>
          <cell r="AM39">
            <v>22.268037003127681</v>
          </cell>
          <cell r="AN39">
            <v>39.440153783856715</v>
          </cell>
          <cell r="AO39">
            <v>49.760743867555306</v>
          </cell>
          <cell r="AP39">
            <v>58.799390992924288</v>
          </cell>
          <cell r="AQ39">
            <v>66.507034517531721</v>
          </cell>
          <cell r="AR39">
            <v>72.798796853614746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  <cell r="AW39">
            <v>74.218153868047992</v>
          </cell>
          <cell r="AX39">
            <v>146.06386229123365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</sheetNames>
    <sheetDataSet>
      <sheetData sheetId="0" refreshError="1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72</v>
          </cell>
          <cell r="BW2">
            <v>73</v>
          </cell>
          <cell r="BX2">
            <v>74</v>
          </cell>
        </row>
        <row r="3">
          <cell r="E3" t="str">
            <v>Factset Inputs</v>
          </cell>
          <cell r="AF3" t="str">
            <v>Calculations</v>
          </cell>
        </row>
        <row r="4">
          <cell r="B4" t="str">
            <v>3/11/99</v>
          </cell>
          <cell r="H4" t="str">
            <v>FC</v>
          </cell>
          <cell r="I4" t="str">
            <v>FC</v>
          </cell>
          <cell r="J4" t="str">
            <v>FC</v>
          </cell>
          <cell r="K4" t="str">
            <v>FC</v>
          </cell>
          <cell r="L4" t="str">
            <v>FC</v>
          </cell>
          <cell r="M4" t="str">
            <v>FC</v>
          </cell>
          <cell r="N4" t="str">
            <v>FC</v>
          </cell>
          <cell r="O4" t="str">
            <v>IBES</v>
          </cell>
          <cell r="P4" t="str">
            <v>IBES</v>
          </cell>
          <cell r="Q4" t="str">
            <v>IBES</v>
          </cell>
          <cell r="R4" t="str">
            <v>IBES</v>
          </cell>
          <cell r="S4" t="str">
            <v>Ibes</v>
          </cell>
          <cell r="T4" t="str">
            <v xml:space="preserve"> </v>
          </cell>
          <cell r="U4" t="str">
            <v xml:space="preserve"> </v>
          </cell>
          <cell r="V4" t="str">
            <v xml:space="preserve"> </v>
          </cell>
        </row>
        <row r="5">
          <cell r="F5" t="str">
            <v>Change</v>
          </cell>
          <cell r="H5" t="str">
            <v>Median</v>
          </cell>
          <cell r="I5" t="str">
            <v>Median</v>
          </cell>
          <cell r="J5" t="str">
            <v>Median</v>
          </cell>
          <cell r="K5" t="str">
            <v>Median</v>
          </cell>
          <cell r="L5" t="str">
            <v>Median</v>
          </cell>
          <cell r="M5" t="str">
            <v>Median</v>
          </cell>
          <cell r="N5" t="str">
            <v>Fiscal</v>
          </cell>
          <cell r="O5" t="str">
            <v>Median</v>
          </cell>
          <cell r="P5" t="str">
            <v>Median</v>
          </cell>
          <cell r="Q5" t="str">
            <v>Median</v>
          </cell>
          <cell r="R5" t="str">
            <v>Median</v>
          </cell>
          <cell r="S5" t="str">
            <v>Fiscal</v>
          </cell>
          <cell r="T5" t="str">
            <v xml:space="preserve"> </v>
          </cell>
          <cell r="U5" t="str">
            <v xml:space="preserve"> </v>
          </cell>
          <cell r="V5" t="str">
            <v xml:space="preserve"> </v>
          </cell>
          <cell r="AG5" t="str">
            <v>Cash</v>
          </cell>
          <cell r="AO5" t="str">
            <v>S&amp;P/</v>
          </cell>
          <cell r="BB5" t="str">
            <v>Street</v>
          </cell>
          <cell r="BD5" t="str">
            <v>MSDW</v>
          </cell>
        </row>
        <row r="6">
          <cell r="B6" t="str">
            <v>Company Name</v>
          </cell>
          <cell r="F6" t="str">
            <v>Since:</v>
          </cell>
          <cell r="H6" t="str">
            <v>Est</v>
          </cell>
          <cell r="I6" t="str">
            <v>Est</v>
          </cell>
          <cell r="J6" t="str">
            <v>Est</v>
          </cell>
          <cell r="K6" t="str">
            <v>CF Est</v>
          </cell>
          <cell r="L6" t="str">
            <v>CF Est</v>
          </cell>
          <cell r="M6" t="str">
            <v>L T</v>
          </cell>
          <cell r="N6" t="str">
            <v>Year</v>
          </cell>
          <cell r="O6" t="str">
            <v>Est</v>
          </cell>
          <cell r="P6" t="str">
            <v>Est</v>
          </cell>
          <cell r="Q6" t="str">
            <v>Est</v>
          </cell>
          <cell r="R6" t="str">
            <v>L T</v>
          </cell>
          <cell r="S6" t="str">
            <v>Year</v>
          </cell>
          <cell r="T6" t="str">
            <v>Div.</v>
          </cell>
          <cell r="U6" t="str">
            <v>EPS</v>
          </cell>
          <cell r="V6" t="str">
            <v>EPS</v>
          </cell>
          <cell r="Y6" t="str">
            <v>ST</v>
          </cell>
          <cell r="Z6" t="str">
            <v>LT</v>
          </cell>
          <cell r="AA6" t="str">
            <v>Preferred</v>
          </cell>
          <cell r="AB6" t="str">
            <v>Minority</v>
          </cell>
          <cell r="AC6" t="str">
            <v>Stockholders'</v>
          </cell>
          <cell r="AD6" t="str">
            <v>Fiscal YE</v>
          </cell>
          <cell r="AF6" t="str">
            <v xml:space="preserve">Market </v>
          </cell>
          <cell r="AG6" t="str">
            <v>Adjusted</v>
          </cell>
          <cell r="AH6" t="str">
            <v>Price / Earnings (1)</v>
          </cell>
          <cell r="AJ6" t="str">
            <v>Price / Cash Flow (2)</v>
          </cell>
          <cell r="AL6" t="str">
            <v xml:space="preserve">Total </v>
          </cell>
          <cell r="AM6" t="str">
            <v>Book</v>
          </cell>
          <cell r="AN6" t="str">
            <v>Total Debt/</v>
          </cell>
          <cell r="AO6" t="str">
            <v>Moody's</v>
          </cell>
          <cell r="AX6" t="str">
            <v>'99 YTD</v>
          </cell>
          <cell r="BB6" t="str">
            <v>Revenue</v>
          </cell>
          <cell r="BD6" t="str">
            <v>Industry</v>
          </cell>
          <cell r="BN6" t="str">
            <v>Primary</v>
          </cell>
          <cell r="BP6" t="str">
            <v>Est. Fees Paid</v>
          </cell>
        </row>
        <row r="7">
          <cell r="E7" t="str">
            <v>Price</v>
          </cell>
          <cell r="F7">
            <v>36161</v>
          </cell>
          <cell r="G7" t="str">
            <v>TSO Factset</v>
          </cell>
          <cell r="H7" t="str">
            <v>FY1</v>
          </cell>
          <cell r="I7" t="str">
            <v>FY2</v>
          </cell>
          <cell r="J7" t="str">
            <v>FY3</v>
          </cell>
          <cell r="K7" t="str">
            <v>FY1</v>
          </cell>
          <cell r="L7" t="str">
            <v>FY2</v>
          </cell>
          <cell r="M7" t="str">
            <v>Growth</v>
          </cell>
          <cell r="N7" t="str">
            <v>FY1</v>
          </cell>
          <cell r="O7" t="str">
            <v>FY1</v>
          </cell>
          <cell r="P7" t="str">
            <v>FY2</v>
          </cell>
          <cell r="Q7" t="str">
            <v>FY3</v>
          </cell>
          <cell r="R7" t="str">
            <v>Growth</v>
          </cell>
          <cell r="S7" t="str">
            <v>FY1</v>
          </cell>
          <cell r="T7" t="str">
            <v>Yield</v>
          </cell>
          <cell r="U7" t="str">
            <v>1999E</v>
          </cell>
          <cell r="V7" t="str">
            <v>2000E</v>
          </cell>
          <cell r="X7" t="str">
            <v>Cash</v>
          </cell>
          <cell r="Y7" t="str">
            <v>Debt</v>
          </cell>
          <cell r="Z7" t="str">
            <v>Debt</v>
          </cell>
          <cell r="AA7" t="str">
            <v>Stock</v>
          </cell>
          <cell r="AB7" t="str">
            <v>Interest</v>
          </cell>
          <cell r="AC7" t="str">
            <v>Equity</v>
          </cell>
          <cell r="AD7" t="str">
            <v>Revenues</v>
          </cell>
          <cell r="AF7" t="str">
            <v>Value</v>
          </cell>
          <cell r="AG7" t="str">
            <v>Mkt. Cap.</v>
          </cell>
          <cell r="AH7" t="str">
            <v>99E</v>
          </cell>
          <cell r="AI7" t="str">
            <v>00E</v>
          </cell>
          <cell r="AJ7" t="str">
            <v>99E</v>
          </cell>
          <cell r="AK7" t="str">
            <v>00E</v>
          </cell>
          <cell r="AL7" t="str">
            <v>Debt</v>
          </cell>
          <cell r="AM7" t="str">
            <v>Capitalization</v>
          </cell>
          <cell r="AN7" t="str">
            <v>Book Cap.</v>
          </cell>
          <cell r="AO7" t="str">
            <v>Ratings</v>
          </cell>
          <cell r="AP7" t="str">
            <v>Company</v>
          </cell>
          <cell r="AR7" t="str">
            <v>Business</v>
          </cell>
          <cell r="AT7" t="str">
            <v>City</v>
          </cell>
          <cell r="AV7" t="str">
            <v>State</v>
          </cell>
          <cell r="AX7" t="str">
            <v>Meetings</v>
          </cell>
          <cell r="AZ7" t="str">
            <v>Relationship</v>
          </cell>
          <cell r="BB7" t="str">
            <v>Potential</v>
          </cell>
          <cell r="BD7" t="str">
            <v>Person</v>
          </cell>
          <cell r="BF7" t="str">
            <v>Analyst</v>
          </cell>
          <cell r="BH7" t="str">
            <v>II Rank</v>
          </cell>
          <cell r="BJ7" t="str">
            <v>Rating</v>
          </cell>
          <cell r="BL7" t="str">
            <v>Target</v>
          </cell>
          <cell r="BN7" t="str">
            <v>Compet.</v>
          </cell>
          <cell r="BP7" t="str">
            <v>L12M</v>
          </cell>
          <cell r="BR7" t="str">
            <v>L3Y</v>
          </cell>
          <cell r="BT7" t="str">
            <v>Emphasis</v>
          </cell>
          <cell r="BV7" t="str">
            <v>Recent Transactions</v>
          </cell>
        </row>
        <row r="8">
          <cell r="A8">
            <v>1</v>
          </cell>
          <cell r="B8" t="str">
            <v>UW</v>
          </cell>
          <cell r="C8" t="str">
            <v>UW.cf</v>
          </cell>
          <cell r="D8" t="str">
            <v>WASTE MANAGEMENT INC</v>
          </cell>
          <cell r="E8">
            <v>49.9375</v>
          </cell>
          <cell r="F8">
            <v>7.1045576407506639E-2</v>
          </cell>
          <cell r="G8">
            <v>581.68899999999996</v>
          </cell>
          <cell r="H8">
            <v>3.02</v>
          </cell>
          <cell r="I8">
            <v>3.5649999999999999</v>
          </cell>
          <cell r="J8" t="e">
            <v>#N/A</v>
          </cell>
          <cell r="K8" t="e">
            <v>#N/A</v>
          </cell>
          <cell r="L8" t="e">
            <v>#N/A</v>
          </cell>
          <cell r="M8">
            <v>17.5</v>
          </cell>
          <cell r="N8" t="str">
            <v>12/99</v>
          </cell>
          <cell r="O8">
            <v>3.0300000000000002</v>
          </cell>
          <cell r="P8">
            <v>3.6</v>
          </cell>
          <cell r="Q8" t="e">
            <v>#N/A</v>
          </cell>
          <cell r="R8">
            <v>17.5</v>
          </cell>
          <cell r="S8" t="str">
            <v>12/99</v>
          </cell>
          <cell r="T8">
            <v>8.0100130000000005E-2</v>
          </cell>
          <cell r="U8">
            <v>3.02</v>
          </cell>
          <cell r="V8">
            <v>3.5649999999999999</v>
          </cell>
          <cell r="X8">
            <v>167.167</v>
          </cell>
          <cell r="Y8">
            <v>738.53780000000006</v>
          </cell>
          <cell r="Z8">
            <v>9695.3090000000011</v>
          </cell>
          <cell r="AA8">
            <v>0</v>
          </cell>
          <cell r="AB8">
            <v>754.20799999999997</v>
          </cell>
          <cell r="AC8">
            <v>3972.8679999999999</v>
          </cell>
          <cell r="AD8">
            <v>2613.768</v>
          </cell>
          <cell r="AF8">
            <v>29048.0944375</v>
          </cell>
          <cell r="AG8">
            <v>39314.774237500002</v>
          </cell>
          <cell r="AH8">
            <v>16.535596026490065</v>
          </cell>
          <cell r="AI8">
            <v>14.007713884992988</v>
          </cell>
          <cell r="AL8">
            <v>10433.846800000001</v>
          </cell>
          <cell r="AM8">
            <v>15160.922800000002</v>
          </cell>
          <cell r="AN8">
            <v>0.68820657803230811</v>
          </cell>
          <cell r="AO8" t="str">
            <v>N.R. / BBB+</v>
          </cell>
          <cell r="AP8" t="str">
            <v>WASTE MANAGEMENT INC</v>
          </cell>
          <cell r="AR8" t="str">
            <v>Waste management</v>
          </cell>
          <cell r="AT8" t="str">
            <v>Hou</v>
          </cell>
          <cell r="AV8" t="str">
            <v>TX</v>
          </cell>
          <cell r="AX8">
            <v>0</v>
          </cell>
          <cell r="BD8" t="str">
            <v>Hitchcock</v>
          </cell>
          <cell r="BF8" t="str">
            <v>Galko</v>
          </cell>
          <cell r="BJ8" t="str">
            <v>SB</v>
          </cell>
          <cell r="BL8">
            <v>75</v>
          </cell>
          <cell r="BP8">
            <v>104</v>
          </cell>
          <cell r="BR8">
            <v>138.68</v>
          </cell>
          <cell r="BV8" t="str">
            <v>SO$626-6/98/ML; HY$200-2/98/DLJ;  RT$19,971-3/98/DLJ; A$1885-4/97/DLJ</v>
          </cell>
        </row>
        <row r="9">
          <cell r="A9">
            <v>2</v>
          </cell>
          <cell r="B9" t="str">
            <v>SYY</v>
          </cell>
          <cell r="C9" t="str">
            <v>SYY.cf</v>
          </cell>
          <cell r="D9" t="str">
            <v>SYSCO CORP</v>
          </cell>
          <cell r="E9">
            <v>27.6875</v>
          </cell>
          <cell r="F9">
            <v>9.1116173120728838E-3</v>
          </cell>
          <cell r="G9">
            <v>333.31490000000002</v>
          </cell>
          <cell r="H9">
            <v>1.0549999999999999</v>
          </cell>
          <cell r="I9">
            <v>1.18</v>
          </cell>
          <cell r="J9" t="e">
            <v>#N/A</v>
          </cell>
          <cell r="K9" t="e">
            <v>#N/A</v>
          </cell>
          <cell r="L9" t="e">
            <v>#N/A</v>
          </cell>
          <cell r="M9">
            <v>10</v>
          </cell>
          <cell r="N9" t="str">
            <v>06/99</v>
          </cell>
          <cell r="O9">
            <v>1.06</v>
          </cell>
          <cell r="P9">
            <v>1.19</v>
          </cell>
          <cell r="Q9" t="e">
            <v>#N/A</v>
          </cell>
          <cell r="R9">
            <v>13</v>
          </cell>
          <cell r="S9" t="str">
            <v>6/99</v>
          </cell>
          <cell r="T9">
            <v>1.4446949999999998</v>
          </cell>
          <cell r="U9">
            <v>1.1174999999999999</v>
          </cell>
          <cell r="V9" t="e">
            <v>#N/A</v>
          </cell>
          <cell r="X9">
            <v>109.24600000000001</v>
          </cell>
          <cell r="Y9">
            <v>126.199</v>
          </cell>
          <cell r="Z9">
            <v>975.49580000000003</v>
          </cell>
          <cell r="AA9">
            <v>0</v>
          </cell>
          <cell r="AB9">
            <v>0</v>
          </cell>
          <cell r="AC9">
            <v>1418.297</v>
          </cell>
          <cell r="AD9">
            <v>15327.535</v>
          </cell>
          <cell r="AF9">
            <v>9228.6562937500003</v>
          </cell>
          <cell r="AG9">
            <v>10221.105093750002</v>
          </cell>
          <cell r="AH9">
            <v>24.776286353467562</v>
          </cell>
          <cell r="AI9" t="str">
            <v>---</v>
          </cell>
          <cell r="AL9">
            <v>1101.6948</v>
          </cell>
          <cell r="AM9">
            <v>2519.9917999999998</v>
          </cell>
          <cell r="AN9">
            <v>0.43718189876649599</v>
          </cell>
          <cell r="AO9" t="str">
            <v>A1 / AA-</v>
          </cell>
          <cell r="AP9" t="str">
            <v>SYSCO CORP</v>
          </cell>
          <cell r="AR9" t="str">
            <v>Foods services</v>
          </cell>
          <cell r="AT9" t="str">
            <v>Hou</v>
          </cell>
          <cell r="AV9" t="str">
            <v>TX</v>
          </cell>
          <cell r="AX9">
            <v>0</v>
          </cell>
          <cell r="BD9" t="str">
            <v>---</v>
          </cell>
          <cell r="BF9" t="str">
            <v>Renwick</v>
          </cell>
          <cell r="BJ9" t="str">
            <v>N</v>
          </cell>
          <cell r="BL9" t="str">
            <v>---</v>
          </cell>
          <cell r="BP9">
            <v>0.39400000000000002</v>
          </cell>
          <cell r="BR9">
            <v>0.84899999999999998</v>
          </cell>
          <cell r="BV9" t="str">
            <v>IG$225-8/98/ML; IG$150-4/97/ML,CH; IG$200-4/96/GS</v>
          </cell>
        </row>
        <row r="10">
          <cell r="A10">
            <v>3</v>
          </cell>
          <cell r="B10" t="str">
            <v>BFI</v>
          </cell>
          <cell r="C10" t="str">
            <v>BFI.cf</v>
          </cell>
          <cell r="D10" t="str">
            <v>BROWNING-FERRIS INDS</v>
          </cell>
          <cell r="E10">
            <v>39.25</v>
          </cell>
          <cell r="F10">
            <v>0.3802197802197802</v>
          </cell>
          <cell r="G10">
            <v>159.761</v>
          </cell>
          <cell r="H10">
            <v>2.13</v>
          </cell>
          <cell r="I10">
            <v>2.41</v>
          </cell>
          <cell r="J10" t="e">
            <v>#N/A</v>
          </cell>
          <cell r="K10" t="e">
            <v>#N/A</v>
          </cell>
          <cell r="L10" t="e">
            <v>#N/A</v>
          </cell>
          <cell r="M10">
            <v>10</v>
          </cell>
          <cell r="N10" t="str">
            <v>09/99</v>
          </cell>
          <cell r="O10">
            <v>2.15</v>
          </cell>
          <cell r="P10">
            <v>2.44</v>
          </cell>
          <cell r="Q10" t="e">
            <v>#N/A</v>
          </cell>
          <cell r="R10">
            <v>11</v>
          </cell>
          <cell r="S10" t="str">
            <v>9/99</v>
          </cell>
          <cell r="T10">
            <v>1.9363059999999999</v>
          </cell>
          <cell r="U10">
            <v>2.2000000000000002</v>
          </cell>
          <cell r="V10" t="e">
            <v>#N/A</v>
          </cell>
          <cell r="X10">
            <v>62.157000000000004</v>
          </cell>
          <cell r="Y10">
            <v>9.07</v>
          </cell>
          <cell r="Z10">
            <v>1838.5440000000001</v>
          </cell>
          <cell r="AA10">
            <v>0</v>
          </cell>
          <cell r="AB10">
            <v>0</v>
          </cell>
          <cell r="AC10">
            <v>1383.068</v>
          </cell>
          <cell r="AD10">
            <v>4745.7460000000001</v>
          </cell>
          <cell r="AF10">
            <v>6270.6192499999997</v>
          </cell>
          <cell r="AG10">
            <v>8056.0762499999992</v>
          </cell>
          <cell r="AH10">
            <v>17.84090909090909</v>
          </cell>
          <cell r="AI10" t="str">
            <v>---</v>
          </cell>
          <cell r="AL10">
            <v>1847.614</v>
          </cell>
          <cell r="AM10">
            <v>3230.6819999999998</v>
          </cell>
          <cell r="AN10">
            <v>0.57189596500057882</v>
          </cell>
          <cell r="AO10" t="str">
            <v>Baa1 / A-</v>
          </cell>
          <cell r="AP10" t="str">
            <v>BROWNING-FERRIS INDS</v>
          </cell>
          <cell r="AR10" t="str">
            <v>Waste management</v>
          </cell>
          <cell r="AT10" t="str">
            <v>Hou</v>
          </cell>
          <cell r="AV10" t="str">
            <v>TX</v>
          </cell>
          <cell r="AX10">
            <v>0</v>
          </cell>
          <cell r="BD10" t="str">
            <v>Hitchcock</v>
          </cell>
          <cell r="BF10" t="str">
            <v>Galko</v>
          </cell>
          <cell r="BR10">
            <v>11.599999999999998</v>
          </cell>
          <cell r="BV10" t="str">
            <v>MVPS$250-1/99/FC; SN$400-1/96/JPM; IG$300-5/96/JPM; D$1450-11/97/MS</v>
          </cell>
        </row>
        <row r="11">
          <cell r="A11">
            <v>4</v>
          </cell>
          <cell r="B11" t="str">
            <v>SRV</v>
          </cell>
          <cell r="C11" t="str">
            <v>SRV.cf</v>
          </cell>
          <cell r="D11" t="str">
            <v>SERVICE CORP INTERNATIONAL</v>
          </cell>
          <cell r="E11">
            <v>15</v>
          </cell>
          <cell r="F11">
            <v>-0.60591133004926112</v>
          </cell>
          <cell r="G11">
            <v>257.82080000000002</v>
          </cell>
          <cell r="H11">
            <v>1.29</v>
          </cell>
          <cell r="I11">
            <v>1.43</v>
          </cell>
          <cell r="J11" t="e">
            <v>#N/A</v>
          </cell>
          <cell r="K11" t="e">
            <v>#N/A</v>
          </cell>
          <cell r="L11" t="e">
            <v>#N/A</v>
          </cell>
          <cell r="M11">
            <v>12</v>
          </cell>
          <cell r="N11" t="str">
            <v>12/99</v>
          </cell>
          <cell r="O11">
            <v>1.29</v>
          </cell>
          <cell r="P11">
            <v>1.43</v>
          </cell>
          <cell r="Q11" t="e">
            <v>#N/A</v>
          </cell>
          <cell r="R11">
            <v>18</v>
          </cell>
          <cell r="S11" t="str">
            <v>12/99</v>
          </cell>
          <cell r="T11">
            <v>2.4000000000000004</v>
          </cell>
          <cell r="U11">
            <v>1.29</v>
          </cell>
          <cell r="V11">
            <v>1.43</v>
          </cell>
          <cell r="X11">
            <v>116.98</v>
          </cell>
          <cell r="Y11">
            <v>83.269000000000005</v>
          </cell>
          <cell r="Z11">
            <v>3365.982</v>
          </cell>
          <cell r="AA11">
            <v>0</v>
          </cell>
          <cell r="AB11">
            <v>0</v>
          </cell>
          <cell r="AC11">
            <v>3003.665</v>
          </cell>
          <cell r="AD11">
            <v>2468.4</v>
          </cell>
          <cell r="AF11">
            <v>3867.3120000000004</v>
          </cell>
          <cell r="AG11">
            <v>7199.5830000000005</v>
          </cell>
          <cell r="AH11">
            <v>11.627906976744185</v>
          </cell>
          <cell r="AI11">
            <v>10.48951048951049</v>
          </cell>
          <cell r="AL11">
            <v>3449.2510000000002</v>
          </cell>
          <cell r="AM11">
            <v>6452.9160000000002</v>
          </cell>
          <cell r="AN11">
            <v>0.53452594145034593</v>
          </cell>
          <cell r="AO11" t="str">
            <v>Baa1 / BBB+</v>
          </cell>
          <cell r="AP11" t="str">
            <v>SERVICE CORP INTERNATIONAL</v>
          </cell>
          <cell r="AR11" t="str">
            <v>Funeral homes/cemeteries</v>
          </cell>
          <cell r="AT11" t="str">
            <v>Hou</v>
          </cell>
          <cell r="AV11" t="str">
            <v>TX</v>
          </cell>
          <cell r="AX11">
            <v>0</v>
          </cell>
          <cell r="BD11" t="str">
            <v>Rimland</v>
          </cell>
          <cell r="BF11" t="str">
            <v>Richter</v>
          </cell>
          <cell r="BJ11" t="str">
            <v>N</v>
          </cell>
          <cell r="BL11" t="str">
            <v>---</v>
          </cell>
          <cell r="BP11">
            <v>8.8699999999999992</v>
          </cell>
          <cell r="BR11">
            <v>9.6470000000000002</v>
          </cell>
          <cell r="BV11" t="str">
            <v>IG$600-12/98/JPM-CS; IG$500-3/98/JPM; IB$750-4/97/JPM; A$982-8/98/JPM</v>
          </cell>
        </row>
        <row r="12">
          <cell r="A12">
            <v>5</v>
          </cell>
          <cell r="B12" t="str">
            <v>CBE</v>
          </cell>
          <cell r="C12" t="str">
            <v>CBE.cf</v>
          </cell>
          <cell r="D12" t="str">
            <v>COOPER INDUSTRIES INC</v>
          </cell>
          <cell r="E12">
            <v>45.75</v>
          </cell>
          <cell r="F12">
            <v>-4.0629095674967197E-2</v>
          </cell>
          <cell r="G12">
            <v>103.456</v>
          </cell>
          <cell r="H12">
            <v>3.5</v>
          </cell>
          <cell r="I12">
            <v>3.75</v>
          </cell>
          <cell r="J12" t="e">
            <v>#N/A</v>
          </cell>
          <cell r="K12" t="e">
            <v>#N/A</v>
          </cell>
          <cell r="L12" t="e">
            <v>#N/A</v>
          </cell>
          <cell r="M12">
            <v>10</v>
          </cell>
          <cell r="N12" t="str">
            <v>12/99</v>
          </cell>
          <cell r="O12">
            <v>3.5</v>
          </cell>
          <cell r="P12">
            <v>3.8000000000000003</v>
          </cell>
          <cell r="Q12" t="e">
            <v>#N/A</v>
          </cell>
          <cell r="R12">
            <v>12</v>
          </cell>
          <cell r="S12" t="str">
            <v>12/99</v>
          </cell>
          <cell r="T12">
            <v>2.885246</v>
          </cell>
          <cell r="U12">
            <v>3.5</v>
          </cell>
          <cell r="V12">
            <v>3.75</v>
          </cell>
          <cell r="X12">
            <v>19.200000000000003</v>
          </cell>
          <cell r="Y12">
            <v>344.3</v>
          </cell>
          <cell r="Z12">
            <v>2025.7</v>
          </cell>
          <cell r="AA12">
            <v>0</v>
          </cell>
          <cell r="AB12">
            <v>0</v>
          </cell>
          <cell r="AC12">
            <v>2166</v>
          </cell>
          <cell r="AD12">
            <v>5288.7970000000005</v>
          </cell>
          <cell r="AF12">
            <v>4733.1120000000001</v>
          </cell>
          <cell r="AG12">
            <v>7083.9120000000003</v>
          </cell>
          <cell r="AH12">
            <v>13.071428571428571</v>
          </cell>
          <cell r="AI12">
            <v>12.2</v>
          </cell>
          <cell r="AL12">
            <v>2370</v>
          </cell>
          <cell r="AM12">
            <v>4536</v>
          </cell>
          <cell r="AN12">
            <v>0.52248677248677244</v>
          </cell>
          <cell r="AO12" t="str">
            <v>A2 / A-</v>
          </cell>
          <cell r="AP12" t="str">
            <v>COOPER INDUSTRIES INC</v>
          </cell>
          <cell r="AR12" t="str">
            <v>Electrical products manufacturer</v>
          </cell>
          <cell r="AT12" t="str">
            <v>Hou</v>
          </cell>
          <cell r="AV12" t="str">
            <v>TX</v>
          </cell>
          <cell r="AX12">
            <v>0</v>
          </cell>
          <cell r="BD12" t="str">
            <v>Bromboch</v>
          </cell>
          <cell r="BF12" t="str">
            <v>Murphy</v>
          </cell>
          <cell r="BJ12" t="str">
            <v>SB</v>
          </cell>
          <cell r="BL12">
            <v>55</v>
          </cell>
          <cell r="BP12">
            <v>11.4</v>
          </cell>
          <cell r="BR12">
            <v>18.12</v>
          </cell>
          <cell r="BV12" t="str">
            <v>MTN$120-5/98/GS,LEH; MTN$200-2/98/GS,CS,CSFB; D$1,900-2/98/ML; A$274-11/97/WDR</v>
          </cell>
        </row>
        <row r="13">
          <cell r="A13">
            <v>6</v>
          </cell>
          <cell r="B13" t="str">
            <v>TAN</v>
          </cell>
          <cell r="C13" t="str">
            <v>TAN.cf</v>
          </cell>
          <cell r="D13" t="str">
            <v>TANDY CORP</v>
          </cell>
          <cell r="E13">
            <v>59.6875</v>
          </cell>
          <cell r="F13">
            <v>0.4491654021244309</v>
          </cell>
          <cell r="G13">
            <v>100.10900000000001</v>
          </cell>
          <cell r="H13">
            <v>2.65</v>
          </cell>
          <cell r="I13">
            <v>3.15</v>
          </cell>
          <cell r="J13" t="e">
            <v>#N/A</v>
          </cell>
          <cell r="K13" t="e">
            <v>#N/A</v>
          </cell>
          <cell r="L13" t="e">
            <v>#N/A</v>
          </cell>
          <cell r="M13">
            <v>18</v>
          </cell>
          <cell r="N13" t="str">
            <v>12/99</v>
          </cell>
          <cell r="O13">
            <v>2.65</v>
          </cell>
          <cell r="P13">
            <v>3.13</v>
          </cell>
          <cell r="Q13" t="e">
            <v>#N/A</v>
          </cell>
          <cell r="R13">
            <v>15.5</v>
          </cell>
          <cell r="S13" t="str">
            <v>12/99</v>
          </cell>
          <cell r="T13">
            <v>0.67015709999999995</v>
          </cell>
          <cell r="U13">
            <v>2.65</v>
          </cell>
          <cell r="V13">
            <v>3.15</v>
          </cell>
          <cell r="X13">
            <v>47.400000000000006</v>
          </cell>
          <cell r="Y13">
            <v>289</v>
          </cell>
          <cell r="Z13">
            <v>241.20000000000002</v>
          </cell>
          <cell r="AA13">
            <v>70.2</v>
          </cell>
          <cell r="AB13">
            <v>0</v>
          </cell>
          <cell r="AC13">
            <v>848</v>
          </cell>
          <cell r="AD13">
            <v>5372.2000000000007</v>
          </cell>
          <cell r="AF13">
            <v>5975.255937500001</v>
          </cell>
          <cell r="AG13">
            <v>6458.0559375000012</v>
          </cell>
          <cell r="AH13">
            <v>22.523584905660378</v>
          </cell>
          <cell r="AI13">
            <v>18.948412698412699</v>
          </cell>
          <cell r="AL13">
            <v>530.20000000000005</v>
          </cell>
          <cell r="AM13">
            <v>1448.4</v>
          </cell>
          <cell r="AN13">
            <v>0.36605909969621653</v>
          </cell>
          <cell r="AO13" t="str">
            <v>Baa2 / A-</v>
          </cell>
          <cell r="AP13" t="str">
            <v>TANDY CORP</v>
          </cell>
          <cell r="AR13" t="str">
            <v>Consumer electronics</v>
          </cell>
          <cell r="AT13" t="str">
            <v>FW</v>
          </cell>
          <cell r="AV13" t="str">
            <v>TX</v>
          </cell>
          <cell r="AX13">
            <v>0</v>
          </cell>
          <cell r="BD13" t="str">
            <v>Wise</v>
          </cell>
          <cell r="BF13" t="str">
            <v>Quilty</v>
          </cell>
          <cell r="BJ13" t="str">
            <v>N</v>
          </cell>
          <cell r="BL13" t="str">
            <v>---</v>
          </cell>
          <cell r="BP13">
            <v>2</v>
          </cell>
          <cell r="BR13">
            <v>2</v>
          </cell>
          <cell r="BV13" t="str">
            <v>MTN$30-1/99/ML, BS; MTN$45-1/98/ML, BS; D$211-6/98/BS</v>
          </cell>
        </row>
        <row r="14">
          <cell r="A14">
            <v>7</v>
          </cell>
          <cell r="B14" t="str">
            <v>CTX</v>
          </cell>
          <cell r="C14" t="str">
            <v>CTX.cf</v>
          </cell>
          <cell r="D14" t="str">
            <v>CENTEX CORP</v>
          </cell>
          <cell r="E14">
            <v>34.375</v>
          </cell>
          <cell r="F14">
            <v>-0.23717059639389737</v>
          </cell>
          <cell r="G14">
            <v>59.466999999999999</v>
          </cell>
          <cell r="H14">
            <v>3.6</v>
          </cell>
          <cell r="I14">
            <v>4.03</v>
          </cell>
          <cell r="J14">
            <v>4.5250000000000004</v>
          </cell>
          <cell r="K14" t="e">
            <v>#N/A</v>
          </cell>
          <cell r="L14" t="e">
            <v>#N/A</v>
          </cell>
          <cell r="M14">
            <v>12.5</v>
          </cell>
          <cell r="N14" t="str">
            <v>03/99</v>
          </cell>
          <cell r="O14">
            <v>3.6</v>
          </cell>
          <cell r="P14">
            <v>4.07</v>
          </cell>
          <cell r="Q14">
            <v>4.53</v>
          </cell>
          <cell r="R14">
            <v>13.5</v>
          </cell>
          <cell r="S14" t="str">
            <v>3/99</v>
          </cell>
          <cell r="T14">
            <v>0.46545439999999999</v>
          </cell>
          <cell r="U14">
            <v>3.9224999999999999</v>
          </cell>
          <cell r="V14">
            <v>4.4012500000000001</v>
          </cell>
          <cell r="X14">
            <v>111.839</v>
          </cell>
          <cell r="Y14">
            <v>1822.6469999999999</v>
          </cell>
          <cell r="Z14">
            <v>284.15090000000004</v>
          </cell>
          <cell r="AA14">
            <v>0</v>
          </cell>
          <cell r="AB14">
            <v>147.67099999999999</v>
          </cell>
          <cell r="AC14">
            <v>1136.4660000000001</v>
          </cell>
          <cell r="AD14">
            <v>3975.4500000000003</v>
          </cell>
          <cell r="AF14">
            <v>2044.1781249999999</v>
          </cell>
          <cell r="AG14">
            <v>4039.137025</v>
          </cell>
          <cell r="AH14">
            <v>8.7635436583811348</v>
          </cell>
          <cell r="AI14">
            <v>7.8102811701221242</v>
          </cell>
          <cell r="AL14">
            <v>2106.7979</v>
          </cell>
          <cell r="AM14">
            <v>3390.9349000000002</v>
          </cell>
          <cell r="AN14">
            <v>0.62130296279058617</v>
          </cell>
          <cell r="AO14" t="str">
            <v>Baa2 / BBB</v>
          </cell>
          <cell r="AP14" t="str">
            <v>CENTEX CORP</v>
          </cell>
          <cell r="AR14" t="str">
            <v>Homebuilding</v>
          </cell>
          <cell r="AT14" t="str">
            <v>Dal</v>
          </cell>
          <cell r="AV14" t="str">
            <v>TX</v>
          </cell>
          <cell r="AX14">
            <v>0</v>
          </cell>
          <cell r="BD14" t="str">
            <v>Palmer</v>
          </cell>
          <cell r="BF14" t="str">
            <v>In transition</v>
          </cell>
          <cell r="BJ14" t="str">
            <v>N</v>
          </cell>
          <cell r="BL14" t="str">
            <v>---</v>
          </cell>
          <cell r="BV14" t="str">
            <v>MTN$10-11/98/FC; MTN$50-10/98/CSFB; ABS$174-2/98/DLJ</v>
          </cell>
        </row>
        <row r="15">
          <cell r="A15">
            <v>8</v>
          </cell>
          <cell r="B15" t="str">
            <v>SZA</v>
          </cell>
          <cell r="C15" t="str">
            <v>SZA.cf</v>
          </cell>
          <cell r="D15" t="str">
            <v>SUIZA FOODS CORP</v>
          </cell>
          <cell r="E15">
            <v>40.1875</v>
          </cell>
          <cell r="F15">
            <v>-0.21104294478527608</v>
          </cell>
          <cell r="G15">
            <v>35.015999999999998</v>
          </cell>
          <cell r="H15">
            <v>3.37</v>
          </cell>
          <cell r="I15">
            <v>3.8000000000000003</v>
          </cell>
          <cell r="J15" t="e">
            <v>#N/A</v>
          </cell>
          <cell r="K15" t="e">
            <v>#N/A</v>
          </cell>
          <cell r="L15" t="e">
            <v>#N/A</v>
          </cell>
          <cell r="M15">
            <v>13.8</v>
          </cell>
          <cell r="N15" t="str">
            <v>12/99</v>
          </cell>
          <cell r="O15">
            <v>3.37</v>
          </cell>
          <cell r="P15">
            <v>3.8000000000000003</v>
          </cell>
          <cell r="Q15" t="e">
            <v>#N/A</v>
          </cell>
          <cell r="R15">
            <v>14.5</v>
          </cell>
          <cell r="S15" t="str">
            <v>12/99</v>
          </cell>
          <cell r="T15">
            <v>0</v>
          </cell>
          <cell r="U15">
            <v>3.37</v>
          </cell>
          <cell r="V15">
            <v>3.8000000000000003</v>
          </cell>
          <cell r="X15">
            <v>59.468000000000004</v>
          </cell>
          <cell r="Y15">
            <v>47.413000000000004</v>
          </cell>
          <cell r="Z15">
            <v>1513.7550000000001</v>
          </cell>
          <cell r="AA15">
            <v>0</v>
          </cell>
          <cell r="AB15">
            <v>24.792999999999999</v>
          </cell>
          <cell r="AC15">
            <v>645.81790000000001</v>
          </cell>
          <cell r="AD15">
            <v>1794.876</v>
          </cell>
          <cell r="AF15">
            <v>1407.2055</v>
          </cell>
          <cell r="AG15">
            <v>2908.9055000000003</v>
          </cell>
          <cell r="AH15">
            <v>11.92507418397626</v>
          </cell>
          <cell r="AI15">
            <v>10.575657894736841</v>
          </cell>
          <cell r="AL15">
            <v>1561.1680000000001</v>
          </cell>
          <cell r="AM15">
            <v>2231.7789000000002</v>
          </cell>
          <cell r="AN15">
            <v>0.69951732225804264</v>
          </cell>
          <cell r="AO15" t="str">
            <v>N.R. / BB+</v>
          </cell>
          <cell r="AP15" t="str">
            <v>SUIZA FOODS CORP</v>
          </cell>
          <cell r="AR15" t="str">
            <v>Fresh food distributor</v>
          </cell>
          <cell r="AT15" t="str">
            <v>FW</v>
          </cell>
          <cell r="AV15" t="str">
            <v>TX</v>
          </cell>
          <cell r="AX15">
            <v>0</v>
          </cell>
          <cell r="BD15" t="str">
            <v>Jacobs</v>
          </cell>
          <cell r="BF15" t="str">
            <v>---</v>
          </cell>
          <cell r="BJ15" t="str">
            <v>---</v>
          </cell>
          <cell r="BL15" t="str">
            <v>---</v>
          </cell>
          <cell r="BP15">
            <v>3.4299999999999997</v>
          </cell>
          <cell r="BR15">
            <v>17.611000000000001</v>
          </cell>
          <cell r="BV15" t="str">
            <v>CVT$500-3/98/DLJ; SO$103-1/97/BS; SO$10-8/96/BS; IPO$45-4/96/BS; A$971-9/97/DLJ</v>
          </cell>
        </row>
        <row r="16">
          <cell r="A16">
            <v>9</v>
          </cell>
          <cell r="B16" t="str">
            <v>STEI</v>
          </cell>
          <cell r="C16" t="str">
            <v>STEI.cf</v>
          </cell>
          <cell r="D16" t="str">
            <v>STEWART ENTERPRISES  -CL A</v>
          </cell>
          <cell r="E16">
            <v>16</v>
          </cell>
          <cell r="F16">
            <v>-0.2808988764044944</v>
          </cell>
          <cell r="G16">
            <v>98.028000000000006</v>
          </cell>
          <cell r="H16">
            <v>1.1000000000000001</v>
          </cell>
          <cell r="I16">
            <v>1.3</v>
          </cell>
          <cell r="J16" t="e">
            <v>#N/A</v>
          </cell>
          <cell r="K16" t="e">
            <v>#N/A</v>
          </cell>
          <cell r="L16" t="e">
            <v>#N/A</v>
          </cell>
          <cell r="M16">
            <v>20</v>
          </cell>
          <cell r="N16" t="str">
            <v>10/99</v>
          </cell>
          <cell r="O16">
            <v>1.1000000000000001</v>
          </cell>
          <cell r="P16">
            <v>1.3</v>
          </cell>
          <cell r="Q16" t="e">
            <v>#N/A</v>
          </cell>
          <cell r="R16">
            <v>20</v>
          </cell>
          <cell r="S16" t="str">
            <v>10/99</v>
          </cell>
          <cell r="T16">
            <v>0.5</v>
          </cell>
          <cell r="U16">
            <v>1.1333333333333333</v>
          </cell>
          <cell r="V16" t="e">
            <v>#N/A</v>
          </cell>
          <cell r="X16">
            <v>36.853000000000002</v>
          </cell>
          <cell r="Y16">
            <v>11.218999999999999</v>
          </cell>
          <cell r="Z16">
            <v>913.21480000000008</v>
          </cell>
          <cell r="AA16">
            <v>0</v>
          </cell>
          <cell r="AB16">
            <v>0</v>
          </cell>
          <cell r="AC16">
            <v>839.29</v>
          </cell>
          <cell r="AD16">
            <v>648.36500000000001</v>
          </cell>
          <cell r="AF16">
            <v>1568.4480000000001</v>
          </cell>
          <cell r="AG16">
            <v>2456.0288</v>
          </cell>
          <cell r="AH16">
            <v>14.117647058823529</v>
          </cell>
          <cell r="AI16" t="str">
            <v>---</v>
          </cell>
          <cell r="AL16">
            <v>924.43380000000013</v>
          </cell>
          <cell r="AM16">
            <v>1763.7238000000002</v>
          </cell>
          <cell r="AN16">
            <v>0.5241375095125439</v>
          </cell>
          <cell r="AO16" t="str">
            <v>Baa3 / BBB</v>
          </cell>
          <cell r="AP16" t="str">
            <v>STEWART ENTERPRISES  -CL A</v>
          </cell>
          <cell r="AR16" t="str">
            <v>Funeral homes/cemeteries</v>
          </cell>
          <cell r="AT16" t="str">
            <v>NO</v>
          </cell>
          <cell r="AV16" t="str">
            <v>LA</v>
          </cell>
          <cell r="AX16">
            <v>0</v>
          </cell>
          <cell r="BD16" t="str">
            <v>Rimland</v>
          </cell>
          <cell r="BF16" t="str">
            <v>---</v>
          </cell>
          <cell r="BJ16" t="str">
            <v>---</v>
          </cell>
          <cell r="BL16" t="str">
            <v>---</v>
          </cell>
          <cell r="BP16">
            <v>1.75</v>
          </cell>
          <cell r="BR16">
            <v>3.6419999999999999</v>
          </cell>
          <cell r="BV16" t="str">
            <v>SO$209-1/99/BS; IG$200-4/98/NBM</v>
          </cell>
        </row>
        <row r="17">
          <cell r="A17">
            <v>10</v>
          </cell>
          <cell r="B17" t="str">
            <v>EAT</v>
          </cell>
          <cell r="C17" t="str">
            <v>EAT.cf</v>
          </cell>
          <cell r="D17" t="str">
            <v>BRINKER INTL INC</v>
          </cell>
          <cell r="E17">
            <v>28</v>
          </cell>
          <cell r="F17">
            <v>-3.0303030303030276E-2</v>
          </cell>
          <cell r="G17">
            <v>65.932000000000002</v>
          </cell>
          <cell r="H17">
            <v>1.27</v>
          </cell>
          <cell r="I17">
            <v>1.46</v>
          </cell>
          <cell r="J17">
            <v>1.7000000000000002</v>
          </cell>
          <cell r="K17" t="e">
            <v>#N/A</v>
          </cell>
          <cell r="L17" t="e">
            <v>#N/A</v>
          </cell>
          <cell r="M17">
            <v>15</v>
          </cell>
          <cell r="N17" t="str">
            <v>06/99</v>
          </cell>
          <cell r="O17">
            <v>1.27</v>
          </cell>
          <cell r="P17">
            <v>1.46</v>
          </cell>
          <cell r="Q17">
            <v>1.7000000000000002</v>
          </cell>
          <cell r="R17">
            <v>15</v>
          </cell>
          <cell r="S17" t="str">
            <v>6/99</v>
          </cell>
          <cell r="T17">
            <v>0</v>
          </cell>
          <cell r="U17">
            <v>1.365</v>
          </cell>
          <cell r="V17">
            <v>1.58</v>
          </cell>
          <cell r="X17">
            <v>22.629000000000001</v>
          </cell>
          <cell r="Y17">
            <v>14.635</v>
          </cell>
          <cell r="Z17">
            <v>187.61600000000001</v>
          </cell>
          <cell r="AA17">
            <v>0</v>
          </cell>
          <cell r="AB17">
            <v>0</v>
          </cell>
          <cell r="AC17">
            <v>626.64</v>
          </cell>
          <cell r="AD17">
            <v>1574.414</v>
          </cell>
          <cell r="AF17">
            <v>1846.096</v>
          </cell>
          <cell r="AG17">
            <v>2025.7180000000003</v>
          </cell>
          <cell r="AH17">
            <v>20.512820512820515</v>
          </cell>
          <cell r="AI17">
            <v>17.721518987341771</v>
          </cell>
          <cell r="AL17">
            <v>202.251</v>
          </cell>
          <cell r="AM17">
            <v>828.89099999999996</v>
          </cell>
          <cell r="AN17">
            <v>0.24400192546426491</v>
          </cell>
          <cell r="AO17" t="str">
            <v>N.R. / N.R.</v>
          </cell>
          <cell r="AP17" t="str">
            <v>BRINKER INTL INC</v>
          </cell>
          <cell r="AR17" t="str">
            <v>Restaurants</v>
          </cell>
          <cell r="AT17" t="str">
            <v>Dal</v>
          </cell>
          <cell r="AV17" t="str">
            <v>TX</v>
          </cell>
          <cell r="AX17">
            <v>0</v>
          </cell>
          <cell r="BD17" t="str">
            <v>Haimes</v>
          </cell>
          <cell r="BF17" t="str">
            <v>Penney</v>
          </cell>
          <cell r="BH17">
            <v>1</v>
          </cell>
          <cell r="BJ17" t="str">
            <v>O</v>
          </cell>
          <cell r="BL17">
            <v>34</v>
          </cell>
        </row>
        <row r="18">
          <cell r="A18">
            <v>11</v>
          </cell>
          <cell r="B18" t="str">
            <v>SDW</v>
          </cell>
          <cell r="C18" t="str">
            <v>SDW.cf</v>
          </cell>
          <cell r="D18" t="str">
            <v>SOUTHDOWN INC</v>
          </cell>
          <cell r="E18">
            <v>48.1875</v>
          </cell>
          <cell r="F18">
            <v>-0.18585005279831046</v>
          </cell>
          <cell r="G18">
            <v>38.300000000000004</v>
          </cell>
          <cell r="H18">
            <v>5.4</v>
          </cell>
          <cell r="I18">
            <v>6.2</v>
          </cell>
          <cell r="J18" t="e">
            <v>#N/A</v>
          </cell>
          <cell r="K18" t="e">
            <v>#N/A</v>
          </cell>
          <cell r="L18" t="e">
            <v>#N/A</v>
          </cell>
          <cell r="M18">
            <v>21.6</v>
          </cell>
          <cell r="N18" t="str">
            <v>12/99</v>
          </cell>
          <cell r="O18">
            <v>5.4</v>
          </cell>
          <cell r="P18">
            <v>6.03</v>
          </cell>
          <cell r="Q18" t="e">
            <v>#N/A</v>
          </cell>
          <cell r="R18">
            <v>21.6</v>
          </cell>
          <cell r="S18" t="str">
            <v>12/99</v>
          </cell>
          <cell r="T18">
            <v>1.245136</v>
          </cell>
          <cell r="U18">
            <v>5.4</v>
          </cell>
          <cell r="V18">
            <v>6.2</v>
          </cell>
          <cell r="X18">
            <v>105.80000000000001</v>
          </cell>
          <cell r="Y18">
            <v>0.70000000000000007</v>
          </cell>
          <cell r="Z18">
            <v>167.4</v>
          </cell>
          <cell r="AA18">
            <v>0</v>
          </cell>
          <cell r="AB18">
            <v>28.8</v>
          </cell>
          <cell r="AC18">
            <v>735.7</v>
          </cell>
          <cell r="AD18">
            <v>719.2</v>
          </cell>
          <cell r="AF18">
            <v>1845.5812500000002</v>
          </cell>
          <cell r="AG18">
            <v>1907.8812500000004</v>
          </cell>
          <cell r="AH18">
            <v>8.9236111111111107</v>
          </cell>
          <cell r="AI18">
            <v>7.7721774193548381</v>
          </cell>
          <cell r="AL18">
            <v>168.1</v>
          </cell>
          <cell r="AM18">
            <v>932.6</v>
          </cell>
          <cell r="AN18">
            <v>0.18024876688826935</v>
          </cell>
          <cell r="AO18" t="str">
            <v>N.R. / BBB</v>
          </cell>
          <cell r="AP18" t="str">
            <v>SOUTHDOWN INC</v>
          </cell>
          <cell r="AR18" t="str">
            <v>Cement, aggregates</v>
          </cell>
          <cell r="AT18" t="str">
            <v>Hou</v>
          </cell>
          <cell r="AV18" t="str">
            <v>TX</v>
          </cell>
          <cell r="AX18">
            <v>0</v>
          </cell>
          <cell r="BD18" t="str">
            <v>Scott</v>
          </cell>
          <cell r="BF18" t="str">
            <v>In transition</v>
          </cell>
          <cell r="BJ18" t="str">
            <v>SB</v>
          </cell>
          <cell r="BL18">
            <v>68</v>
          </cell>
          <cell r="BP18">
            <v>6.5</v>
          </cell>
          <cell r="BR18">
            <v>6.5</v>
          </cell>
          <cell r="BV18" t="str">
            <v>HY$125-3/96/LEH; A$1,084-3/98/LEH</v>
          </cell>
        </row>
        <row r="19">
          <cell r="A19">
            <v>12</v>
          </cell>
          <cell r="B19" t="str">
            <v>FLM</v>
          </cell>
          <cell r="C19" t="str">
            <v>FLM.cf</v>
          </cell>
          <cell r="D19" t="str">
            <v>FLEMING COMPANIES INC</v>
          </cell>
          <cell r="E19">
            <v>8</v>
          </cell>
          <cell r="F19">
            <v>-0.22891566265060237</v>
          </cell>
          <cell r="G19">
            <v>38.53</v>
          </cell>
          <cell r="H19">
            <v>0.8</v>
          </cell>
          <cell r="I19" t="e">
            <v>#N/A</v>
          </cell>
          <cell r="J19" t="e">
            <v>#N/A</v>
          </cell>
          <cell r="K19" t="e">
            <v>#N/A</v>
          </cell>
          <cell r="L19" t="e">
            <v>#N/A</v>
          </cell>
          <cell r="M19">
            <v>7.5</v>
          </cell>
          <cell r="N19" t="str">
            <v>12/99</v>
          </cell>
          <cell r="O19">
            <v>1.1000000000000001</v>
          </cell>
          <cell r="P19" t="e">
            <v>#N/A</v>
          </cell>
          <cell r="Q19" t="e">
            <v>#N/A</v>
          </cell>
          <cell r="R19">
            <v>7</v>
          </cell>
          <cell r="S19" t="str">
            <v>12/99</v>
          </cell>
          <cell r="T19">
            <v>1</v>
          </cell>
          <cell r="U19" t="e">
            <v>#N/A</v>
          </cell>
          <cell r="V19" t="e">
            <v>#N/A</v>
          </cell>
          <cell r="X19">
            <v>23.539000000000001</v>
          </cell>
          <cell r="Y19">
            <v>64.039000000000001</v>
          </cell>
          <cell r="Z19">
            <v>1494.0160000000001</v>
          </cell>
          <cell r="AA19">
            <v>0</v>
          </cell>
          <cell r="AB19">
            <v>0</v>
          </cell>
          <cell r="AC19">
            <v>1126.327</v>
          </cell>
          <cell r="AD19">
            <v>15372.664000000001</v>
          </cell>
          <cell r="AF19">
            <v>308.24</v>
          </cell>
          <cell r="AG19">
            <v>1842.7560000000001</v>
          </cell>
          <cell r="AH19" t="str">
            <v>---</v>
          </cell>
          <cell r="AI19" t="str">
            <v>---</v>
          </cell>
          <cell r="AL19">
            <v>1558.0550000000001</v>
          </cell>
          <cell r="AM19">
            <v>2684.3820000000001</v>
          </cell>
          <cell r="AN19">
            <v>0.58041478448298345</v>
          </cell>
          <cell r="AO19" t="str">
            <v>N.R. / BB</v>
          </cell>
          <cell r="AP19" t="str">
            <v>FLEMING COMPANIES INC</v>
          </cell>
          <cell r="AR19" t="str">
            <v>Foods services</v>
          </cell>
          <cell r="AT19" t="str">
            <v>Hou</v>
          </cell>
          <cell r="AV19" t="str">
            <v>TX</v>
          </cell>
          <cell r="AX19">
            <v>0</v>
          </cell>
          <cell r="BD19" t="str">
            <v>Aaron</v>
          </cell>
          <cell r="BF19" t="str">
            <v>---</v>
          </cell>
          <cell r="BJ19" t="str">
            <v>---</v>
          </cell>
          <cell r="BL19" t="str">
            <v>---</v>
          </cell>
          <cell r="BV19" t="str">
            <v>IG$250-7/97/BS;</v>
          </cell>
        </row>
        <row r="20">
          <cell r="A20">
            <v>13</v>
          </cell>
          <cell r="B20" t="str">
            <v>VHI</v>
          </cell>
          <cell r="C20" t="str">
            <v>VHI.cf</v>
          </cell>
          <cell r="D20" t="str">
            <v>VALHI INC</v>
          </cell>
          <cell r="E20">
            <v>11.4375</v>
          </cell>
          <cell r="F20">
            <v>5.494505494505475E-3</v>
          </cell>
          <cell r="G20">
            <v>114.48</v>
          </cell>
          <cell r="H20" t="e">
            <v>#N/A</v>
          </cell>
          <cell r="I20" t="e">
            <v>#N/A</v>
          </cell>
          <cell r="J20" t="e">
            <v>#N/A</v>
          </cell>
          <cell r="K20" t="e">
            <v>#N/A</v>
          </cell>
          <cell r="L20" t="e">
            <v>#N/A</v>
          </cell>
          <cell r="M20" t="str">
            <v>---</v>
          </cell>
          <cell r="N20" t="str">
            <v>12/99</v>
          </cell>
          <cell r="O20">
            <v>-0.22</v>
          </cell>
          <cell r="P20">
            <v>7.0000000000000007E-2</v>
          </cell>
          <cell r="Q20" t="e">
            <v>#N/A</v>
          </cell>
          <cell r="R20" t="e">
            <v>#N/A</v>
          </cell>
          <cell r="S20" t="str">
            <v>@NA</v>
          </cell>
          <cell r="T20">
            <v>1.748634</v>
          </cell>
          <cell r="U20">
            <v>-0.22</v>
          </cell>
          <cell r="V20">
            <v>7.0000000000000007E-2</v>
          </cell>
          <cell r="X20">
            <v>376.86790000000002</v>
          </cell>
          <cell r="Y20">
            <v>221.02500000000001</v>
          </cell>
          <cell r="Z20">
            <v>639.78690000000006</v>
          </cell>
          <cell r="AA20">
            <v>0</v>
          </cell>
          <cell r="AB20">
            <v>106.468</v>
          </cell>
          <cell r="AC20">
            <v>578.44000000000005</v>
          </cell>
          <cell r="AD20">
            <v>1093.0910000000001</v>
          </cell>
          <cell r="AF20">
            <v>1309.365</v>
          </cell>
          <cell r="AG20">
            <v>1793.309</v>
          </cell>
          <cell r="AH20" t="str">
            <v>NM</v>
          </cell>
          <cell r="AI20">
            <v>163.39285714285714</v>
          </cell>
          <cell r="AL20">
            <v>860.81190000000004</v>
          </cell>
          <cell r="AM20">
            <v>1545.7199000000001</v>
          </cell>
          <cell r="AN20">
            <v>0.55690031550994457</v>
          </cell>
          <cell r="AO20" t="str">
            <v>N.R. / B+</v>
          </cell>
          <cell r="AP20" t="str">
            <v>VALHI INC</v>
          </cell>
          <cell r="AR20" t="str">
            <v>Chemicals/other</v>
          </cell>
          <cell r="AT20" t="str">
            <v>Hou</v>
          </cell>
          <cell r="AV20" t="str">
            <v>TX</v>
          </cell>
          <cell r="AX20">
            <v>0</v>
          </cell>
          <cell r="BD20" t="str">
            <v>---</v>
          </cell>
          <cell r="BF20" t="str">
            <v>---</v>
          </cell>
          <cell r="BJ20" t="str">
            <v>---</v>
          </cell>
          <cell r="BL20" t="str">
            <v>---</v>
          </cell>
          <cell r="BP20">
            <v>1.82</v>
          </cell>
          <cell r="BR20">
            <v>1.82</v>
          </cell>
        </row>
        <row r="21">
          <cell r="A21">
            <v>14</v>
          </cell>
          <cell r="B21" t="str">
            <v>ZLC</v>
          </cell>
          <cell r="C21" t="str">
            <v>ZLC.cf</v>
          </cell>
          <cell r="D21" t="str">
            <v>ZALE CORP</v>
          </cell>
          <cell r="E21">
            <v>36.4375</v>
          </cell>
          <cell r="F21">
            <v>0.12984496124031009</v>
          </cell>
          <cell r="G21">
            <v>35.856999999999999</v>
          </cell>
          <cell r="H21">
            <v>2.0950000000000002</v>
          </cell>
          <cell r="I21">
            <v>2.4500000000000002</v>
          </cell>
          <cell r="J21" t="e">
            <v>#N/A</v>
          </cell>
          <cell r="K21" t="e">
            <v>#N/A</v>
          </cell>
          <cell r="L21" t="e">
            <v>#N/A</v>
          </cell>
          <cell r="M21">
            <v>20</v>
          </cell>
          <cell r="N21" t="str">
            <v>07/99</v>
          </cell>
          <cell r="O21">
            <v>2.09</v>
          </cell>
          <cell r="P21">
            <v>2.4500000000000002</v>
          </cell>
          <cell r="Q21" t="e">
            <v>#N/A</v>
          </cell>
          <cell r="R21">
            <v>17</v>
          </cell>
          <cell r="S21" t="str">
            <v>7/99</v>
          </cell>
          <cell r="T21">
            <v>0</v>
          </cell>
          <cell r="U21">
            <v>2.2429166666666669</v>
          </cell>
          <cell r="V21" t="e">
            <v>#N/A</v>
          </cell>
          <cell r="X21">
            <v>150.91900000000001</v>
          </cell>
          <cell r="Y21">
            <v>0</v>
          </cell>
          <cell r="Z21">
            <v>480.29390000000001</v>
          </cell>
          <cell r="AA21">
            <v>0</v>
          </cell>
          <cell r="AB21">
            <v>0</v>
          </cell>
          <cell r="AC21">
            <v>630.31200000000001</v>
          </cell>
          <cell r="AD21">
            <v>1427.01</v>
          </cell>
          <cell r="AF21">
            <v>1306.5394375000001</v>
          </cell>
          <cell r="AG21">
            <v>1635.9143375000001</v>
          </cell>
          <cell r="AH21">
            <v>16.245587962102913</v>
          </cell>
          <cell r="AI21" t="str">
            <v>---</v>
          </cell>
          <cell r="AL21">
            <v>480.29390000000001</v>
          </cell>
          <cell r="AM21">
            <v>1110.6059</v>
          </cell>
          <cell r="AN21">
            <v>0.43246114575836486</v>
          </cell>
          <cell r="AO21" t="str">
            <v>Ba3 / BB</v>
          </cell>
          <cell r="AP21" t="str">
            <v>ZALE CORP</v>
          </cell>
          <cell r="AR21" t="str">
            <v>Retail jewelry stores</v>
          </cell>
          <cell r="AT21" t="str">
            <v>Irv</v>
          </cell>
          <cell r="AV21" t="str">
            <v>TX</v>
          </cell>
          <cell r="AX21">
            <v>0</v>
          </cell>
          <cell r="BD21" t="str">
            <v>Aaron</v>
          </cell>
          <cell r="BF21" t="str">
            <v>---</v>
          </cell>
          <cell r="BJ21" t="str">
            <v>---</v>
          </cell>
          <cell r="BL21" t="str">
            <v>---</v>
          </cell>
          <cell r="BR21">
            <v>0.375</v>
          </cell>
          <cell r="BV21" t="str">
            <v>HY$100-9/97/ML; SO$40-9/96/SAL; SO$41-7/96/SAL</v>
          </cell>
        </row>
        <row r="22">
          <cell r="A22">
            <v>15</v>
          </cell>
          <cell r="B22" t="str">
            <v>PZL</v>
          </cell>
          <cell r="C22" t="str">
            <v>PZL.cf</v>
          </cell>
          <cell r="D22" t="str">
            <v>PENNZOIL-QUAKER STATE CO</v>
          </cell>
          <cell r="E22">
            <v>12.9375</v>
          </cell>
          <cell r="F22">
            <v>-0.1228813559322034</v>
          </cell>
          <cell r="G22">
            <v>47.846502000000001</v>
          </cell>
          <cell r="H22">
            <v>0.77</v>
          </cell>
          <cell r="I22">
            <v>1.05</v>
          </cell>
          <cell r="J22" t="e">
            <v>#N/A</v>
          </cell>
          <cell r="K22">
            <v>7.9</v>
          </cell>
          <cell r="L22">
            <v>8.35</v>
          </cell>
          <cell r="M22" t="str">
            <v>---</v>
          </cell>
          <cell r="N22" t="str">
            <v>12/99</v>
          </cell>
          <cell r="O22">
            <v>0.74</v>
          </cell>
          <cell r="P22">
            <v>1.1000000000000001</v>
          </cell>
          <cell r="Q22" t="e">
            <v>#N/A</v>
          </cell>
          <cell r="R22" t="e">
            <v>#N/A</v>
          </cell>
          <cell r="S22" t="str">
            <v>12/99</v>
          </cell>
          <cell r="T22">
            <v>5.7971000000000004</v>
          </cell>
          <cell r="U22">
            <v>0.77</v>
          </cell>
          <cell r="V22">
            <v>1.05</v>
          </cell>
          <cell r="X22">
            <v>6.6429999999999998</v>
          </cell>
          <cell r="Y22">
            <v>248.37700000000001</v>
          </cell>
          <cell r="Z22">
            <v>442.52780000000001</v>
          </cell>
          <cell r="AA22">
            <v>0</v>
          </cell>
          <cell r="AB22">
            <v>0</v>
          </cell>
          <cell r="AC22">
            <v>290.8938</v>
          </cell>
          <cell r="AD22">
            <v>1982.1480000000001</v>
          </cell>
          <cell r="AF22">
            <v>619.01411962500003</v>
          </cell>
          <cell r="AG22">
            <v>1303.2759196249999</v>
          </cell>
          <cell r="AH22">
            <v>16.801948051948052</v>
          </cell>
          <cell r="AI22">
            <v>12.321428571428571</v>
          </cell>
          <cell r="AL22">
            <v>690.90480000000002</v>
          </cell>
          <cell r="AM22">
            <v>981.79860000000008</v>
          </cell>
          <cell r="AN22">
            <v>0.70371336850551625</v>
          </cell>
          <cell r="AO22" t="str">
            <v>Ba1 / BBB-</v>
          </cell>
          <cell r="AP22" t="str">
            <v>PENNZOIL-QUAKER STATE CO</v>
          </cell>
          <cell r="AR22" t="str">
            <v>Automotive products</v>
          </cell>
          <cell r="AT22" t="str">
            <v>Hou</v>
          </cell>
          <cell r="AV22" t="str">
            <v>TX</v>
          </cell>
          <cell r="AX22">
            <v>0</v>
          </cell>
          <cell r="BD22" t="str">
            <v>Adams</v>
          </cell>
          <cell r="BF22" t="str">
            <v>---</v>
          </cell>
          <cell r="BJ22" t="str">
            <v>---</v>
          </cell>
          <cell r="BL22" t="str">
            <v>---</v>
          </cell>
          <cell r="BV22" t="str">
            <v>PREF$300-5/98/PW</v>
          </cell>
        </row>
        <row r="23">
          <cell r="A23">
            <v>16</v>
          </cell>
          <cell r="B23" t="str">
            <v>CUI</v>
          </cell>
          <cell r="C23" t="str">
            <v>CUI.cf</v>
          </cell>
          <cell r="D23" t="str">
            <v>COACH USA INC</v>
          </cell>
          <cell r="E23">
            <v>26.3125</v>
          </cell>
          <cell r="F23">
            <v>-0.24144144144144142</v>
          </cell>
          <cell r="G23">
            <v>25.398</v>
          </cell>
          <cell r="H23">
            <v>2.5500000000000003</v>
          </cell>
          <cell r="I23">
            <v>3.12</v>
          </cell>
          <cell r="J23" t="e">
            <v>#N/A</v>
          </cell>
          <cell r="K23" t="e">
            <v>#N/A</v>
          </cell>
          <cell r="L23" t="e">
            <v>#N/A</v>
          </cell>
          <cell r="M23">
            <v>25</v>
          </cell>
          <cell r="N23" t="str">
            <v>12/99</v>
          </cell>
          <cell r="O23">
            <v>2.5500000000000003</v>
          </cell>
          <cell r="P23">
            <v>3.12</v>
          </cell>
          <cell r="Q23" t="e">
            <v>#N/A</v>
          </cell>
          <cell r="R23">
            <v>25</v>
          </cell>
          <cell r="S23" t="str">
            <v>12/99</v>
          </cell>
          <cell r="T23">
            <v>0</v>
          </cell>
          <cell r="U23">
            <v>2.5500000000000003</v>
          </cell>
          <cell r="V23">
            <v>3.12</v>
          </cell>
          <cell r="X23">
            <v>11.506</v>
          </cell>
          <cell r="Y23">
            <v>24.347999999999999</v>
          </cell>
          <cell r="Z23">
            <v>609.79390000000001</v>
          </cell>
          <cell r="AA23">
            <v>0</v>
          </cell>
          <cell r="AB23">
            <v>0</v>
          </cell>
          <cell r="AC23">
            <v>336.2319</v>
          </cell>
          <cell r="AD23">
            <v>542.79</v>
          </cell>
          <cell r="AF23">
            <v>668.28487499999994</v>
          </cell>
          <cell r="AG23">
            <v>1290.9207749999998</v>
          </cell>
          <cell r="AH23">
            <v>10.318627450980392</v>
          </cell>
          <cell r="AI23">
            <v>8.4334935897435894</v>
          </cell>
          <cell r="AL23">
            <v>634.14189999999996</v>
          </cell>
          <cell r="AM23">
            <v>970.37379999999996</v>
          </cell>
          <cell r="AN23">
            <v>0.65350270174235947</v>
          </cell>
          <cell r="AO23" t="str">
            <v>B1 / BB</v>
          </cell>
          <cell r="AP23" t="str">
            <v>COACH USA INC</v>
          </cell>
          <cell r="AR23" t="str">
            <v>Motorcoach services</v>
          </cell>
          <cell r="AT23" t="str">
            <v>Hou</v>
          </cell>
          <cell r="AV23" t="str">
            <v>TX</v>
          </cell>
          <cell r="AX23">
            <v>0</v>
          </cell>
          <cell r="BD23" t="str">
            <v>---</v>
          </cell>
          <cell r="BF23" t="str">
            <v>---</v>
          </cell>
          <cell r="BJ23" t="str">
            <v>---</v>
          </cell>
          <cell r="BL23" t="str">
            <v>---</v>
          </cell>
          <cell r="BP23">
            <v>1.6</v>
          </cell>
          <cell r="BR23">
            <v>3.0950000000000002</v>
          </cell>
          <cell r="BV23" t="str">
            <v>SO$180-5/98/BTA; SN$150-6/97/BTA; SO$78-11/96/BTA; IPO$50-5/96/BTA</v>
          </cell>
        </row>
        <row r="24">
          <cell r="A24">
            <v>17</v>
          </cell>
          <cell r="B24" t="str">
            <v>PTX</v>
          </cell>
          <cell r="C24" t="str">
            <v>PTX.cf</v>
          </cell>
          <cell r="D24" t="str">
            <v>PILLOWTEX CORP</v>
          </cell>
          <cell r="E24">
            <v>22</v>
          </cell>
          <cell r="F24">
            <v>-0.17757009345794394</v>
          </cell>
          <cell r="G24">
            <v>14.123000000000001</v>
          </cell>
          <cell r="H24">
            <v>3.2</v>
          </cell>
          <cell r="I24">
            <v>3.68</v>
          </cell>
          <cell r="J24" t="e">
            <v>#N/A</v>
          </cell>
          <cell r="K24" t="e">
            <v>#N/A</v>
          </cell>
          <cell r="L24" t="e">
            <v>#N/A</v>
          </cell>
          <cell r="M24">
            <v>15</v>
          </cell>
          <cell r="N24" t="str">
            <v>12/99</v>
          </cell>
          <cell r="O24">
            <v>3.2</v>
          </cell>
          <cell r="P24">
            <v>3.7</v>
          </cell>
          <cell r="Q24" t="e">
            <v>#N/A</v>
          </cell>
          <cell r="R24">
            <v>15</v>
          </cell>
          <cell r="S24" t="str">
            <v>12/99</v>
          </cell>
          <cell r="T24">
            <v>1.0909089999999999</v>
          </cell>
          <cell r="U24">
            <v>3.2</v>
          </cell>
          <cell r="V24">
            <v>3.68</v>
          </cell>
          <cell r="X24">
            <v>5.0949999999999998</v>
          </cell>
          <cell r="Y24">
            <v>10.982000000000001</v>
          </cell>
          <cell r="Z24">
            <v>956.55790000000002</v>
          </cell>
          <cell r="AA24">
            <v>63.003</v>
          </cell>
          <cell r="AB24">
            <v>0</v>
          </cell>
          <cell r="AC24">
            <v>223.827</v>
          </cell>
          <cell r="AD24">
            <v>579.99900000000002</v>
          </cell>
          <cell r="AF24">
            <v>310.70600000000002</v>
          </cell>
          <cell r="AG24">
            <v>1273.1508999999999</v>
          </cell>
          <cell r="AH24">
            <v>6.875</v>
          </cell>
          <cell r="AI24">
            <v>5.9782608695652169</v>
          </cell>
          <cell r="AL24">
            <v>967.53989999999999</v>
          </cell>
          <cell r="AM24">
            <v>1254.3698999999999</v>
          </cell>
          <cell r="AN24">
            <v>0.77133539317230115</v>
          </cell>
          <cell r="AO24" t="str">
            <v>N.R. / BB</v>
          </cell>
          <cell r="AP24" t="str">
            <v>PILLOWTEX CORP</v>
          </cell>
          <cell r="AR24" t="str">
            <v>Home textile merchandise</v>
          </cell>
          <cell r="AT24" t="str">
            <v>Dal</v>
          </cell>
          <cell r="AV24" t="str">
            <v>TX</v>
          </cell>
          <cell r="AX24">
            <v>0</v>
          </cell>
          <cell r="BD24" t="str">
            <v>Aaron</v>
          </cell>
          <cell r="BF24" t="str">
            <v>---</v>
          </cell>
          <cell r="BJ24" t="str">
            <v>---</v>
          </cell>
          <cell r="BL24" t="str">
            <v>---</v>
          </cell>
          <cell r="BR24">
            <v>5.51</v>
          </cell>
          <cell r="BV24" t="str">
            <v>HY$185-12/97/NBM; HY$125-11/96/NBM; A$787-9/97/BS</v>
          </cell>
        </row>
        <row r="25">
          <cell r="A25">
            <v>18</v>
          </cell>
          <cell r="B25" t="str">
            <v>UH</v>
          </cell>
          <cell r="C25" t="str">
            <v>UH.cf</v>
          </cell>
          <cell r="D25" t="str">
            <v>U S HOME CORP</v>
          </cell>
          <cell r="E25">
            <v>33.3125</v>
          </cell>
          <cell r="F25">
            <v>1.879699248120259E-3</v>
          </cell>
          <cell r="G25">
            <v>13.327</v>
          </cell>
          <cell r="H25">
            <v>4.75</v>
          </cell>
          <cell r="I25">
            <v>5.25</v>
          </cell>
          <cell r="J25" t="e">
            <v>#N/A</v>
          </cell>
          <cell r="K25" t="e">
            <v>#N/A</v>
          </cell>
          <cell r="L25" t="e">
            <v>#N/A</v>
          </cell>
          <cell r="M25">
            <v>10</v>
          </cell>
          <cell r="N25" t="str">
            <v>12/99</v>
          </cell>
          <cell r="O25">
            <v>4.75</v>
          </cell>
          <cell r="P25">
            <v>5.25</v>
          </cell>
          <cell r="Q25" t="e">
            <v>#N/A</v>
          </cell>
          <cell r="R25">
            <v>11.8</v>
          </cell>
          <cell r="S25" t="str">
            <v>12/99</v>
          </cell>
          <cell r="T25">
            <v>0</v>
          </cell>
          <cell r="U25">
            <v>4.75</v>
          </cell>
          <cell r="V25">
            <v>5.25</v>
          </cell>
          <cell r="X25" t="str">
            <v>0</v>
          </cell>
          <cell r="Y25">
            <v>38.481000000000002</v>
          </cell>
          <cell r="Z25">
            <v>549.61080000000004</v>
          </cell>
          <cell r="AA25">
            <v>0</v>
          </cell>
          <cell r="AB25">
            <v>0</v>
          </cell>
          <cell r="AC25">
            <v>514.24099999999999</v>
          </cell>
          <cell r="AD25">
            <v>1497.6490000000001</v>
          </cell>
          <cell r="AF25">
            <v>443.95568750000001</v>
          </cell>
          <cell r="AG25">
            <v>1032.0474875</v>
          </cell>
          <cell r="AH25">
            <v>7.0131578947368425</v>
          </cell>
          <cell r="AI25">
            <v>6.3452380952380949</v>
          </cell>
          <cell r="AL25">
            <v>588.09180000000003</v>
          </cell>
          <cell r="AM25">
            <v>1102.3328000000001</v>
          </cell>
          <cell r="AN25">
            <v>0.53349750637919868</v>
          </cell>
          <cell r="AO25" t="str">
            <v>Ba2 / BB+</v>
          </cell>
          <cell r="AP25" t="str">
            <v>U S HOME CORP</v>
          </cell>
          <cell r="AR25" t="str">
            <v>Homebuilder</v>
          </cell>
          <cell r="AT25" t="str">
            <v>Hou</v>
          </cell>
          <cell r="AV25" t="str">
            <v>TX</v>
          </cell>
          <cell r="AX25">
            <v>0</v>
          </cell>
          <cell r="BD25" t="str">
            <v>Palmer</v>
          </cell>
          <cell r="BF25" t="str">
            <v>---</v>
          </cell>
          <cell r="BJ25" t="str">
            <v>---</v>
          </cell>
          <cell r="BL25" t="str">
            <v>---</v>
          </cell>
          <cell r="BV25" t="str">
            <v>HY$100-1/98/WDR; HY$225-8/97/WDR</v>
          </cell>
        </row>
        <row r="26">
          <cell r="A26">
            <v>19</v>
          </cell>
          <cell r="B26" t="str">
            <v>DTL</v>
          </cell>
          <cell r="C26" t="str">
            <v>DTL.cf</v>
          </cell>
          <cell r="D26" t="str">
            <v>DAL-TILE INTERNATIONAL INC</v>
          </cell>
          <cell r="E26">
            <v>9.125</v>
          </cell>
          <cell r="F26">
            <v>-0.12048192771084343</v>
          </cell>
          <cell r="G26">
            <v>53.545000000000002</v>
          </cell>
          <cell r="H26">
            <v>0.85</v>
          </cell>
          <cell r="I26">
            <v>1.075</v>
          </cell>
          <cell r="J26" t="e">
            <v>#N/A</v>
          </cell>
          <cell r="K26" t="e">
            <v>#N/A</v>
          </cell>
          <cell r="L26" t="e">
            <v>#N/A</v>
          </cell>
          <cell r="M26">
            <v>15.5</v>
          </cell>
          <cell r="N26" t="str">
            <v>12/99</v>
          </cell>
          <cell r="O26">
            <v>0.85</v>
          </cell>
          <cell r="P26">
            <v>1.08</v>
          </cell>
          <cell r="Q26" t="e">
            <v>#N/A</v>
          </cell>
          <cell r="R26">
            <v>15</v>
          </cell>
          <cell r="S26" t="str">
            <v>12/99</v>
          </cell>
          <cell r="T26">
            <v>0</v>
          </cell>
          <cell r="U26">
            <v>0.85</v>
          </cell>
          <cell r="V26">
            <v>1.075</v>
          </cell>
          <cell r="X26">
            <v>2.25</v>
          </cell>
          <cell r="Y26">
            <v>46.941000000000003</v>
          </cell>
          <cell r="Z26">
            <v>470.6379</v>
          </cell>
          <cell r="AA26">
            <v>0</v>
          </cell>
          <cell r="AB26">
            <v>0</v>
          </cell>
          <cell r="AC26">
            <v>7.7370000000000001</v>
          </cell>
          <cell r="AD26">
            <v>676.63700000000006</v>
          </cell>
          <cell r="AF26">
            <v>488.59812500000004</v>
          </cell>
          <cell r="AG26">
            <v>1003.9270250000001</v>
          </cell>
          <cell r="AH26">
            <v>10.73529411764706</v>
          </cell>
          <cell r="AI26">
            <v>8.4883720930232567</v>
          </cell>
          <cell r="AL26">
            <v>517.57889999999998</v>
          </cell>
          <cell r="AM26">
            <v>525.31589999999994</v>
          </cell>
          <cell r="AN26">
            <v>0.98527171935972246</v>
          </cell>
          <cell r="AO26" t="str">
            <v>N.R. / N.R.</v>
          </cell>
          <cell r="AP26" t="str">
            <v>DAL-TILE INTERNATIONAL INC</v>
          </cell>
          <cell r="AR26" t="str">
            <v>Ceramic tile products</v>
          </cell>
          <cell r="AT26" t="str">
            <v>Dal</v>
          </cell>
          <cell r="AV26" t="str">
            <v>TX</v>
          </cell>
          <cell r="AX26">
            <v>0</v>
          </cell>
          <cell r="BD26" t="str">
            <v>Scott</v>
          </cell>
          <cell r="BF26" t="str">
            <v>In transition</v>
          </cell>
          <cell r="BJ26" t="str">
            <v>SB</v>
          </cell>
          <cell r="BL26">
            <v>14</v>
          </cell>
          <cell r="BP26">
            <v>1.403</v>
          </cell>
          <cell r="BR26">
            <v>2.7330000000000001</v>
          </cell>
          <cell r="BV26" t="str">
            <v>SO$67-11/98/MSDW; SO$77-6/98/MSDW; IPO$98-8/96/SSB</v>
          </cell>
        </row>
        <row r="27">
          <cell r="A27">
            <v>20</v>
          </cell>
          <cell r="B27" t="str">
            <v>PIR</v>
          </cell>
          <cell r="C27" t="str">
            <v>PIR.cf</v>
          </cell>
          <cell r="D27" t="str">
            <v>PIER 1 IMPORTS INC/DE</v>
          </cell>
          <cell r="E27">
            <v>8.9375</v>
          </cell>
          <cell r="F27">
            <v>-7.7419354838709653E-2</v>
          </cell>
          <cell r="G27">
            <v>97.337000000000003</v>
          </cell>
          <cell r="H27">
            <v>0.88</v>
          </cell>
          <cell r="I27">
            <v>0.97499999999999998</v>
          </cell>
          <cell r="J27" t="e">
            <v>#N/A</v>
          </cell>
          <cell r="K27" t="e">
            <v>#N/A</v>
          </cell>
          <cell r="L27" t="e">
            <v>#N/A</v>
          </cell>
          <cell r="M27">
            <v>16</v>
          </cell>
          <cell r="N27" t="str">
            <v>02/00</v>
          </cell>
          <cell r="O27">
            <v>0.75</v>
          </cell>
          <cell r="P27">
            <v>0.88</v>
          </cell>
          <cell r="Q27">
            <v>1.03</v>
          </cell>
          <cell r="R27">
            <v>16</v>
          </cell>
          <cell r="S27" t="str">
            <v>2/99</v>
          </cell>
          <cell r="T27">
            <v>1.342657</v>
          </cell>
          <cell r="U27">
            <v>0.95916666666666672</v>
          </cell>
          <cell r="V27">
            <v>1.0208333333333335</v>
          </cell>
          <cell r="X27">
            <v>28.458000000000002</v>
          </cell>
          <cell r="Y27">
            <v>2.004</v>
          </cell>
          <cell r="Z27">
            <v>125.111</v>
          </cell>
          <cell r="AA27">
            <v>0</v>
          </cell>
          <cell r="AB27">
            <v>0</v>
          </cell>
          <cell r="AC27">
            <v>375.63499999999999</v>
          </cell>
          <cell r="AD27">
            <v>1087.7429999999999</v>
          </cell>
          <cell r="AF27">
            <v>869.94943750000004</v>
          </cell>
          <cell r="AG27">
            <v>968.60643750000008</v>
          </cell>
          <cell r="AH27">
            <v>9.3179843614248465</v>
          </cell>
          <cell r="AI27">
            <v>8.7551020408163254</v>
          </cell>
          <cell r="AL27">
            <v>127.11500000000001</v>
          </cell>
          <cell r="AM27">
            <v>502.75</v>
          </cell>
          <cell r="AN27">
            <v>0.25283938339134759</v>
          </cell>
          <cell r="AO27" t="str">
            <v>N.R. / BBB-</v>
          </cell>
          <cell r="AP27" t="str">
            <v>PIER 1 IMPORTS INC/DE</v>
          </cell>
          <cell r="AR27" t="str">
            <v>Home furnishings</v>
          </cell>
          <cell r="AT27" t="str">
            <v>FW</v>
          </cell>
          <cell r="AV27" t="str">
            <v>TX</v>
          </cell>
          <cell r="AX27">
            <v>0</v>
          </cell>
          <cell r="BD27" t="str">
            <v>Aaron</v>
          </cell>
          <cell r="BF27" t="str">
            <v>---</v>
          </cell>
          <cell r="BJ27" t="str">
            <v>---</v>
          </cell>
          <cell r="BL27" t="str">
            <v>---</v>
          </cell>
          <cell r="BV27" t="str">
            <v>CVT$75-9/96/JEF</v>
          </cell>
        </row>
        <row r="28">
          <cell r="A28">
            <v>21</v>
          </cell>
          <cell r="B28" t="str">
            <v>WFMI</v>
          </cell>
          <cell r="C28" t="str">
            <v>WFMI.cf</v>
          </cell>
          <cell r="D28" t="str">
            <v>WHOLE FOODS MARKET INC</v>
          </cell>
          <cell r="E28">
            <v>30.40625</v>
          </cell>
          <cell r="F28">
            <v>-0.37144702842377264</v>
          </cell>
          <cell r="G28">
            <v>26.5</v>
          </cell>
          <cell r="H28">
            <v>1.76</v>
          </cell>
          <cell r="I28">
            <v>2.16</v>
          </cell>
          <cell r="J28" t="e">
            <v>#N/A</v>
          </cell>
          <cell r="K28" t="e">
            <v>#N/A</v>
          </cell>
          <cell r="L28" t="e">
            <v>#N/A</v>
          </cell>
          <cell r="M28">
            <v>20.5</v>
          </cell>
          <cell r="N28" t="str">
            <v>09/99</v>
          </cell>
          <cell r="O28">
            <v>1.76</v>
          </cell>
          <cell r="P28">
            <v>2.16</v>
          </cell>
          <cell r="Q28">
            <v>2.9000000000000004</v>
          </cell>
          <cell r="R28">
            <v>22</v>
          </cell>
          <cell r="S28" t="str">
            <v>9/99</v>
          </cell>
          <cell r="T28">
            <v>0</v>
          </cell>
          <cell r="U28">
            <v>1.86</v>
          </cell>
          <cell r="V28">
            <v>2.3450000000000002</v>
          </cell>
          <cell r="X28">
            <v>63.692999999999998</v>
          </cell>
          <cell r="Y28">
            <v>0.34300000000000003</v>
          </cell>
          <cell r="Z28">
            <v>158.673</v>
          </cell>
          <cell r="AA28">
            <v>0</v>
          </cell>
          <cell r="AB28">
            <v>0</v>
          </cell>
          <cell r="AC28">
            <v>277.27289999999999</v>
          </cell>
          <cell r="AD28">
            <v>1389.768</v>
          </cell>
          <cell r="AF28">
            <v>805.765625</v>
          </cell>
          <cell r="AG28">
            <v>901.08862499999998</v>
          </cell>
          <cell r="AH28">
            <v>16.34744623655914</v>
          </cell>
          <cell r="AI28">
            <v>12.96641791044776</v>
          </cell>
          <cell r="AL28">
            <v>159.01599999999999</v>
          </cell>
          <cell r="AM28">
            <v>436.28890000000001</v>
          </cell>
          <cell r="AN28">
            <v>0.36447409044786605</v>
          </cell>
          <cell r="AO28" t="str">
            <v>N.R. / BB+</v>
          </cell>
          <cell r="AP28" t="str">
            <v>WHOLE FOODS MARKET INC</v>
          </cell>
          <cell r="AR28" t="str">
            <v>Natural foods supermarkets</v>
          </cell>
          <cell r="AT28" t="str">
            <v>Aus</v>
          </cell>
          <cell r="AV28" t="str">
            <v>TX</v>
          </cell>
          <cell r="AX28">
            <v>0</v>
          </cell>
          <cell r="BD28" t="str">
            <v>Aaron</v>
          </cell>
          <cell r="BF28" t="str">
            <v>---</v>
          </cell>
          <cell r="BJ28" t="str">
            <v>---</v>
          </cell>
          <cell r="BL28" t="str">
            <v>---</v>
          </cell>
          <cell r="BR28">
            <v>3.48</v>
          </cell>
          <cell r="BV28" t="str">
            <v>CVT$268-2/98/BTA HY$40-3/96/CH</v>
          </cell>
        </row>
        <row r="29">
          <cell r="A29">
            <v>22</v>
          </cell>
          <cell r="B29" t="str">
            <v>CGX</v>
          </cell>
          <cell r="C29" t="str">
            <v>CGX.cf</v>
          </cell>
          <cell r="D29" t="str">
            <v>CONSOLIDATED GRAPHICS INC</v>
          </cell>
          <cell r="E29">
            <v>54</v>
          </cell>
          <cell r="F29">
            <v>-0.20074005550416285</v>
          </cell>
          <cell r="G29">
            <v>13.994</v>
          </cell>
          <cell r="H29">
            <v>2.25</v>
          </cell>
          <cell r="I29">
            <v>3</v>
          </cell>
          <cell r="J29">
            <v>3.74</v>
          </cell>
          <cell r="K29" t="e">
            <v>#N/A</v>
          </cell>
          <cell r="L29" t="e">
            <v>#N/A</v>
          </cell>
          <cell r="M29">
            <v>28</v>
          </cell>
          <cell r="N29" t="str">
            <v>03/99</v>
          </cell>
          <cell r="O29">
            <v>2.25</v>
          </cell>
          <cell r="P29">
            <v>3</v>
          </cell>
          <cell r="Q29">
            <v>3.63</v>
          </cell>
          <cell r="R29">
            <v>25</v>
          </cell>
          <cell r="S29" t="str">
            <v>3/99</v>
          </cell>
          <cell r="T29">
            <v>0</v>
          </cell>
          <cell r="U29">
            <v>2.8125</v>
          </cell>
          <cell r="V29">
            <v>3.5550000000000002</v>
          </cell>
          <cell r="X29">
            <v>5.8689999999999998</v>
          </cell>
          <cell r="Y29">
            <v>2.875</v>
          </cell>
          <cell r="Z29">
            <v>136.10400000000001</v>
          </cell>
          <cell r="AA29">
            <v>0</v>
          </cell>
          <cell r="AB29">
            <v>0</v>
          </cell>
          <cell r="AC29">
            <v>165.01599999999999</v>
          </cell>
          <cell r="AD29">
            <v>231.28200000000001</v>
          </cell>
          <cell r="AF29">
            <v>755.67599999999993</v>
          </cell>
          <cell r="AG29">
            <v>888.78599999999994</v>
          </cell>
          <cell r="AH29">
            <v>19.2</v>
          </cell>
          <cell r="AI29">
            <v>15.189873417721518</v>
          </cell>
          <cell r="AL29">
            <v>138.97900000000001</v>
          </cell>
          <cell r="AM29">
            <v>303.995</v>
          </cell>
          <cell r="AN29">
            <v>0.45717528248819883</v>
          </cell>
          <cell r="AO29" t="str">
            <v>N.R. / N.R.</v>
          </cell>
          <cell r="AP29" t="str">
            <v>CONSOLIDATED GRAPHICS INC</v>
          </cell>
          <cell r="AR29" t="str">
            <v>Commercial printing consolidator</v>
          </cell>
          <cell r="AT29" t="str">
            <v>Hou</v>
          </cell>
          <cell r="AV29" t="str">
            <v>TX</v>
          </cell>
          <cell r="AX29">
            <v>0</v>
          </cell>
          <cell r="BD29" t="str">
            <v>Knee</v>
          </cell>
          <cell r="BF29" t="str">
            <v>Arthur</v>
          </cell>
          <cell r="BJ29" t="str">
            <v>N</v>
          </cell>
          <cell r="BL29" t="str">
            <v>---</v>
          </cell>
        </row>
        <row r="30">
          <cell r="A30">
            <v>23</v>
          </cell>
          <cell r="B30" t="str">
            <v>BMG</v>
          </cell>
          <cell r="C30" t="str">
            <v>BMG.cf</v>
          </cell>
          <cell r="D30" t="str">
            <v>BATTLE MTN GOLD CO</v>
          </cell>
          <cell r="E30">
            <v>3.625</v>
          </cell>
          <cell r="F30">
            <v>-0.10769230769230764</v>
          </cell>
          <cell r="G30">
            <v>229.82400000000001</v>
          </cell>
          <cell r="H30">
            <v>-7.0000000000000007E-2</v>
          </cell>
          <cell r="I30">
            <v>-7.0000000000000007E-2</v>
          </cell>
          <cell r="J30">
            <v>-0.06</v>
          </cell>
          <cell r="K30">
            <v>0.28000000000000003</v>
          </cell>
          <cell r="L30">
            <v>0.30000000000000004</v>
          </cell>
          <cell r="M30">
            <v>7</v>
          </cell>
          <cell r="N30" t="str">
            <v>12/99</v>
          </cell>
          <cell r="O30">
            <v>-0.09</v>
          </cell>
          <cell r="P30">
            <v>-0.04</v>
          </cell>
          <cell r="Q30">
            <v>-0.03</v>
          </cell>
          <cell r="R30">
            <v>4</v>
          </cell>
          <cell r="S30" t="str">
            <v>12/99</v>
          </cell>
          <cell r="T30">
            <v>1.37931</v>
          </cell>
          <cell r="U30">
            <v>-7.0000000000000007E-2</v>
          </cell>
          <cell r="V30">
            <v>-7.0000000000000007E-2</v>
          </cell>
          <cell r="X30">
            <v>202.4</v>
          </cell>
          <cell r="Y30">
            <v>37.6</v>
          </cell>
          <cell r="Z30">
            <v>217.10000000000002</v>
          </cell>
          <cell r="AA30">
            <v>0</v>
          </cell>
          <cell r="AB30">
            <v>108.10000000000001</v>
          </cell>
          <cell r="AC30">
            <v>474</v>
          </cell>
          <cell r="AD30">
            <v>344.90000000000003</v>
          </cell>
          <cell r="AF30">
            <v>833.11200000000008</v>
          </cell>
          <cell r="AG30">
            <v>885.41199999999992</v>
          </cell>
          <cell r="AH30" t="str">
            <v>NM</v>
          </cell>
          <cell r="AI30" t="str">
            <v>NM</v>
          </cell>
          <cell r="AL30">
            <v>254.70000000000002</v>
          </cell>
          <cell r="AM30">
            <v>836.8</v>
          </cell>
          <cell r="AN30">
            <v>0.30437380497131933</v>
          </cell>
          <cell r="AO30" t="str">
            <v>N.R. / BB-</v>
          </cell>
          <cell r="AP30" t="str">
            <v>BATTLE MTN GOLD CO</v>
          </cell>
          <cell r="AR30" t="str">
            <v>Gold mining</v>
          </cell>
          <cell r="AT30" t="str">
            <v>Hou</v>
          </cell>
          <cell r="AV30" t="str">
            <v>TX</v>
          </cell>
          <cell r="AX30">
            <v>0</v>
          </cell>
          <cell r="BD30" t="str">
            <v>Hennessey</v>
          </cell>
          <cell r="BF30" t="str">
            <v>Cohen</v>
          </cell>
          <cell r="BJ30" t="str">
            <v>N</v>
          </cell>
          <cell r="BL30" t="str">
            <v>---</v>
          </cell>
          <cell r="BR30">
            <v>9.2100000000000009</v>
          </cell>
          <cell r="BV30" t="str">
            <v>RT$1,535-3/96/SAL</v>
          </cell>
        </row>
        <row r="31">
          <cell r="A31">
            <v>24</v>
          </cell>
          <cell r="B31" t="str">
            <v>MIKE</v>
          </cell>
          <cell r="C31" t="str">
            <v>MIKE.cf</v>
          </cell>
          <cell r="D31" t="str">
            <v>MICHAELS STORES INC</v>
          </cell>
          <cell r="E31">
            <v>22.625</v>
          </cell>
          <cell r="F31">
            <v>0.25043177892918833</v>
          </cell>
          <cell r="G31">
            <v>28.536999999999999</v>
          </cell>
          <cell r="H31">
            <v>1.74</v>
          </cell>
          <cell r="I31">
            <v>2.15</v>
          </cell>
          <cell r="J31" t="e">
            <v>#N/A</v>
          </cell>
          <cell r="K31" t="e">
            <v>#N/A</v>
          </cell>
          <cell r="L31" t="e">
            <v>#N/A</v>
          </cell>
          <cell r="M31">
            <v>25</v>
          </cell>
          <cell r="N31" t="str">
            <v>01/00</v>
          </cell>
          <cell r="O31">
            <v>1.75</v>
          </cell>
          <cell r="P31">
            <v>2.15</v>
          </cell>
          <cell r="Q31" t="e">
            <v>#N/A</v>
          </cell>
          <cell r="R31">
            <v>25</v>
          </cell>
          <cell r="S31" t="str">
            <v>1/00</v>
          </cell>
          <cell r="T31">
            <v>0</v>
          </cell>
          <cell r="U31">
            <v>2.1158333333333332</v>
          </cell>
          <cell r="V31" t="e">
            <v>#N/A</v>
          </cell>
          <cell r="X31">
            <v>38.133000000000003</v>
          </cell>
          <cell r="Y31" t="str">
            <v>0</v>
          </cell>
          <cell r="Z31">
            <v>252.04</v>
          </cell>
          <cell r="AA31">
            <v>0</v>
          </cell>
          <cell r="AB31">
            <v>0</v>
          </cell>
          <cell r="AC31">
            <v>450.32890000000003</v>
          </cell>
          <cell r="AD31">
            <v>1456.5240000000001</v>
          </cell>
          <cell r="AF31">
            <v>645.64962500000001</v>
          </cell>
          <cell r="AG31">
            <v>859.55662499999994</v>
          </cell>
          <cell r="AH31">
            <v>10.693186293816463</v>
          </cell>
          <cell r="AI31" t="str">
            <v>---</v>
          </cell>
          <cell r="AL31">
            <v>252.04</v>
          </cell>
          <cell r="AM31">
            <v>702.36890000000005</v>
          </cell>
          <cell r="AN31">
            <v>0.35884276766810141</v>
          </cell>
          <cell r="AO31" t="str">
            <v>Ba1 / BB-</v>
          </cell>
          <cell r="AP31" t="str">
            <v>MICHAELS STORES INC</v>
          </cell>
          <cell r="AR31" t="str">
            <v>Specialty retailer; arts/crafts</v>
          </cell>
          <cell r="AT31" t="str">
            <v>Irv</v>
          </cell>
          <cell r="AV31" t="str">
            <v>TX</v>
          </cell>
          <cell r="AX31">
            <v>0</v>
          </cell>
          <cell r="BD31" t="str">
            <v>Aaron</v>
          </cell>
          <cell r="BF31" t="str">
            <v>---</v>
          </cell>
          <cell r="BJ31" t="str">
            <v>---</v>
          </cell>
          <cell r="BL31" t="str">
            <v>---</v>
          </cell>
          <cell r="BR31">
            <v>0.78100000000000003</v>
          </cell>
          <cell r="BV31" t="str">
            <v>HY$125-6/96/CSFB</v>
          </cell>
        </row>
        <row r="32">
          <cell r="A32">
            <v>25</v>
          </cell>
          <cell r="B32" t="str">
            <v>MUI</v>
          </cell>
          <cell r="C32" t="str">
            <v>MUI.cf</v>
          </cell>
          <cell r="D32" t="str">
            <v>METALS USA INC</v>
          </cell>
          <cell r="E32">
            <v>9.0625</v>
          </cell>
          <cell r="F32">
            <v>-7.0512820512820484E-2</v>
          </cell>
          <cell r="G32">
            <v>38.155999999999999</v>
          </cell>
          <cell r="H32">
            <v>1.27</v>
          </cell>
          <cell r="I32">
            <v>1.5250000000000001</v>
          </cell>
          <cell r="J32" t="e">
            <v>#N/A</v>
          </cell>
          <cell r="K32" t="e">
            <v>#N/A</v>
          </cell>
          <cell r="L32" t="e">
            <v>#N/A</v>
          </cell>
          <cell r="M32">
            <v>25</v>
          </cell>
          <cell r="N32" t="str">
            <v>12/99</v>
          </cell>
          <cell r="O32">
            <v>1.27</v>
          </cell>
          <cell r="P32">
            <v>1.53</v>
          </cell>
          <cell r="Q32" t="e">
            <v>#N/A</v>
          </cell>
          <cell r="R32">
            <v>25</v>
          </cell>
          <cell r="S32" t="str">
            <v>12/99</v>
          </cell>
          <cell r="T32">
            <v>0</v>
          </cell>
          <cell r="U32">
            <v>1.27</v>
          </cell>
          <cell r="V32">
            <v>1.5250000000000001</v>
          </cell>
          <cell r="X32">
            <v>11</v>
          </cell>
          <cell r="Y32">
            <v>5.8000000000000007</v>
          </cell>
          <cell r="Z32">
            <v>513.5</v>
          </cell>
          <cell r="AA32">
            <v>0</v>
          </cell>
          <cell r="AB32">
            <v>0</v>
          </cell>
          <cell r="AC32">
            <v>331.20000000000005</v>
          </cell>
          <cell r="AD32">
            <v>507.8</v>
          </cell>
          <cell r="AF32">
            <v>345.78874999999999</v>
          </cell>
          <cell r="AG32">
            <v>854.08874999999989</v>
          </cell>
          <cell r="AH32">
            <v>7.1358267716535435</v>
          </cell>
          <cell r="AI32">
            <v>5.942622950819672</v>
          </cell>
          <cell r="AL32">
            <v>519.29999999999995</v>
          </cell>
          <cell r="AM32">
            <v>850.5</v>
          </cell>
          <cell r="AN32">
            <v>0.61058201058201056</v>
          </cell>
          <cell r="AO32" t="str">
            <v>B2 / BB-</v>
          </cell>
          <cell r="AP32" t="str">
            <v>METALS USA INC</v>
          </cell>
          <cell r="AR32" t="str">
            <v>Metals processing</v>
          </cell>
          <cell r="AT32" t="str">
            <v>Hou</v>
          </cell>
          <cell r="AV32" t="str">
            <v>TX</v>
          </cell>
          <cell r="AX32">
            <v>0</v>
          </cell>
          <cell r="BD32" t="str">
            <v>Hennessey</v>
          </cell>
          <cell r="BF32" t="str">
            <v>---</v>
          </cell>
          <cell r="BJ32" t="str">
            <v>---</v>
          </cell>
          <cell r="BL32" t="str">
            <v>---</v>
          </cell>
          <cell r="BR32">
            <v>2.6259999999999999</v>
          </cell>
          <cell r="BV32" t="str">
            <v>HY$200-2/98/BTA; IPO$60-7/97/BTA</v>
          </cell>
        </row>
        <row r="33">
          <cell r="A33">
            <v>26</v>
          </cell>
          <cell r="B33" t="str">
            <v>FLS</v>
          </cell>
          <cell r="C33" t="str">
            <v>FLS.cf</v>
          </cell>
          <cell r="D33" t="str">
            <v>FLOWSERVE CORP</v>
          </cell>
          <cell r="E33">
            <v>16.1875</v>
          </cell>
          <cell r="F33">
            <v>-2.2641509433962259E-2</v>
          </cell>
          <cell r="G33">
            <v>38.417000000000002</v>
          </cell>
          <cell r="H33">
            <v>1.625</v>
          </cell>
          <cell r="I33">
            <v>1.85</v>
          </cell>
          <cell r="J33" t="e">
            <v>#N/A</v>
          </cell>
          <cell r="K33" t="e">
            <v>#N/A</v>
          </cell>
          <cell r="L33" t="e">
            <v>#N/A</v>
          </cell>
          <cell r="M33">
            <v>10.5</v>
          </cell>
          <cell r="N33" t="str">
            <v>12/99</v>
          </cell>
          <cell r="O33">
            <v>1.6400000000000001</v>
          </cell>
          <cell r="P33">
            <v>1.82</v>
          </cell>
          <cell r="Q33" t="e">
            <v>#N/A</v>
          </cell>
          <cell r="R33">
            <v>11</v>
          </cell>
          <cell r="S33" t="str">
            <v>12/99</v>
          </cell>
          <cell r="T33">
            <v>3.4594600000000004</v>
          </cell>
          <cell r="U33">
            <v>1.625</v>
          </cell>
          <cell r="V33">
            <v>1.85</v>
          </cell>
          <cell r="X33">
            <v>20.809000000000001</v>
          </cell>
          <cell r="Y33">
            <v>18.166</v>
          </cell>
          <cell r="Z33">
            <v>189.38200000000001</v>
          </cell>
          <cell r="AA33">
            <v>0</v>
          </cell>
          <cell r="AB33">
            <v>0</v>
          </cell>
          <cell r="AC33">
            <v>349.97680000000003</v>
          </cell>
          <cell r="AD33">
            <v>1152.1959999999999</v>
          </cell>
          <cell r="AF33">
            <v>621.87518750000004</v>
          </cell>
          <cell r="AG33">
            <v>808.61418750000018</v>
          </cell>
          <cell r="AH33">
            <v>9.9615384615384617</v>
          </cell>
          <cell r="AI33">
            <v>8.75</v>
          </cell>
          <cell r="AL33">
            <v>207.548</v>
          </cell>
          <cell r="AM33">
            <v>557.52480000000003</v>
          </cell>
          <cell r="AN33">
            <v>0.37226684803976434</v>
          </cell>
          <cell r="AO33" t="str">
            <v>N.R. / N.R.</v>
          </cell>
          <cell r="AP33" t="str">
            <v>FLOWSERVE CORP</v>
          </cell>
          <cell r="AR33" t="str">
            <v>Pump/valve manufacturer</v>
          </cell>
          <cell r="AT33" t="str">
            <v>Irv</v>
          </cell>
          <cell r="AV33" t="str">
            <v>TX</v>
          </cell>
          <cell r="AX33">
            <v>0</v>
          </cell>
          <cell r="BD33" t="str">
            <v>McCreary</v>
          </cell>
          <cell r="BF33" t="str">
            <v>---</v>
          </cell>
          <cell r="BJ33" t="str">
            <v>---</v>
          </cell>
          <cell r="BL33" t="str">
            <v>---</v>
          </cell>
          <cell r="BR33">
            <v>4.03</v>
          </cell>
          <cell r="BV33" t="str">
            <v>A$538-5/97/SAL</v>
          </cell>
        </row>
        <row r="34">
          <cell r="A34">
            <v>27</v>
          </cell>
          <cell r="B34" t="str">
            <v>CXP</v>
          </cell>
          <cell r="C34" t="str">
            <v>CXP.cf</v>
          </cell>
          <cell r="D34" t="str">
            <v>CENTEX CONSTRN PRODS INC</v>
          </cell>
          <cell r="E34">
            <v>34.75</v>
          </cell>
          <cell r="F34">
            <v>-0.14461538461538459</v>
          </cell>
          <cell r="G34">
            <v>20.664999999999999</v>
          </cell>
          <cell r="H34">
            <v>3.5150000000000001</v>
          </cell>
          <cell r="I34">
            <v>3.9250000000000003</v>
          </cell>
          <cell r="J34">
            <v>2.83</v>
          </cell>
          <cell r="K34" t="e">
            <v>#N/A</v>
          </cell>
          <cell r="L34" t="e">
            <v>#N/A</v>
          </cell>
          <cell r="M34">
            <v>12</v>
          </cell>
          <cell r="N34" t="str">
            <v>03/99</v>
          </cell>
          <cell r="O34">
            <v>3.5300000000000002</v>
          </cell>
          <cell r="P34">
            <v>3.95</v>
          </cell>
          <cell r="Q34">
            <v>3.65</v>
          </cell>
          <cell r="R34">
            <v>12</v>
          </cell>
          <cell r="S34" t="str">
            <v>3/99</v>
          </cell>
          <cell r="T34">
            <v>0.57553949999999998</v>
          </cell>
          <cell r="U34">
            <v>3.8225000000000002</v>
          </cell>
          <cell r="V34">
            <v>3.1037500000000002</v>
          </cell>
          <cell r="X34">
            <v>56.742000000000004</v>
          </cell>
          <cell r="Y34">
            <v>0.08</v>
          </cell>
          <cell r="Z34">
            <v>0.48</v>
          </cell>
          <cell r="AA34">
            <v>0</v>
          </cell>
          <cell r="AB34">
            <v>0</v>
          </cell>
          <cell r="AC34">
            <v>277.42700000000002</v>
          </cell>
          <cell r="AD34">
            <v>295.38299999999998</v>
          </cell>
          <cell r="AF34">
            <v>718.10874999999999</v>
          </cell>
          <cell r="AG34">
            <v>661.92675000000008</v>
          </cell>
          <cell r="AH34">
            <v>9.0909090909090899</v>
          </cell>
          <cell r="AI34">
            <v>11.196133709222714</v>
          </cell>
          <cell r="AL34">
            <v>0.55999999999999994</v>
          </cell>
          <cell r="AM34">
            <v>277.98700000000002</v>
          </cell>
          <cell r="AN34">
            <v>2.0144826916366587E-3</v>
          </cell>
          <cell r="AO34" t="str">
            <v>N.R. / N.R.</v>
          </cell>
          <cell r="AP34" t="str">
            <v>CENTEX CONSTRN PRODS INC</v>
          </cell>
          <cell r="AR34" t="str">
            <v>Building products</v>
          </cell>
          <cell r="AT34" t="str">
            <v>Dal</v>
          </cell>
          <cell r="AV34" t="str">
            <v>TX</v>
          </cell>
          <cell r="AX34">
            <v>0</v>
          </cell>
          <cell r="BD34" t="str">
            <v>Scott</v>
          </cell>
          <cell r="BF34" t="str">
            <v>---</v>
          </cell>
          <cell r="BJ34" t="str">
            <v>---</v>
          </cell>
          <cell r="BL34" t="str">
            <v>---</v>
          </cell>
        </row>
        <row r="35">
          <cell r="A35">
            <v>28</v>
          </cell>
          <cell r="B35" t="str">
            <v>SGE</v>
          </cell>
          <cell r="C35" t="str">
            <v>SGE.cf</v>
          </cell>
          <cell r="D35" t="str">
            <v>STAGE STORES INC</v>
          </cell>
          <cell r="E35">
            <v>8.25</v>
          </cell>
          <cell r="F35">
            <v>-0.12</v>
          </cell>
          <cell r="G35">
            <v>27.937000000000001</v>
          </cell>
          <cell r="H35">
            <v>0.57000000000000006</v>
          </cell>
          <cell r="I35">
            <v>0.8</v>
          </cell>
          <cell r="J35" t="e">
            <v>#N/A</v>
          </cell>
          <cell r="K35" t="e">
            <v>#N/A</v>
          </cell>
          <cell r="L35" t="e">
            <v>#N/A</v>
          </cell>
          <cell r="M35">
            <v>17.5</v>
          </cell>
          <cell r="N35" t="str">
            <v>01/00</v>
          </cell>
          <cell r="O35">
            <v>0.57999999999999996</v>
          </cell>
          <cell r="P35">
            <v>0.88</v>
          </cell>
          <cell r="Q35" t="e">
            <v>#N/A</v>
          </cell>
          <cell r="R35">
            <v>20</v>
          </cell>
          <cell r="S35" t="str">
            <v>1/00</v>
          </cell>
          <cell r="T35">
            <v>0</v>
          </cell>
          <cell r="U35">
            <v>0.78083333333333338</v>
          </cell>
          <cell r="V35" t="e">
            <v>#N/A</v>
          </cell>
          <cell r="X35">
            <v>70.197000000000003</v>
          </cell>
          <cell r="Y35" t="str">
            <v>0</v>
          </cell>
          <cell r="Z35">
            <v>450.31080000000003</v>
          </cell>
          <cell r="AA35">
            <v>0</v>
          </cell>
          <cell r="AB35">
            <v>0</v>
          </cell>
          <cell r="AC35">
            <v>213.12</v>
          </cell>
          <cell r="AD35">
            <v>1073.316</v>
          </cell>
          <cell r="AF35">
            <v>230.48025000000001</v>
          </cell>
          <cell r="AG35">
            <v>610.59405000000004</v>
          </cell>
          <cell r="AH35">
            <v>10.565635005336178</v>
          </cell>
          <cell r="AI35" t="str">
            <v>---</v>
          </cell>
          <cell r="AL35">
            <v>450.31080000000003</v>
          </cell>
          <cell r="AM35">
            <v>663.43080000000009</v>
          </cell>
          <cell r="AN35">
            <v>0.67876076902067251</v>
          </cell>
          <cell r="AO35" t="str">
            <v>N.R. / BB-</v>
          </cell>
          <cell r="AP35" t="str">
            <v>STAGE STORES INC</v>
          </cell>
          <cell r="AR35" t="str">
            <v>Family apparel stores</v>
          </cell>
          <cell r="AT35" t="str">
            <v>Hou</v>
          </cell>
          <cell r="AV35" t="str">
            <v>TX</v>
          </cell>
          <cell r="AX35">
            <v>0</v>
          </cell>
          <cell r="BD35" t="str">
            <v>Aaron</v>
          </cell>
          <cell r="BF35" t="str">
            <v>---</v>
          </cell>
          <cell r="BJ35" t="str">
            <v>---</v>
          </cell>
          <cell r="BL35" t="str">
            <v>---</v>
          </cell>
          <cell r="BR35">
            <v>4.1340000000000003</v>
          </cell>
          <cell r="BV35" t="str">
            <v>SO$225-9/97/CSFB; IPO$182-10/96/CSFB</v>
          </cell>
        </row>
        <row r="36">
          <cell r="A36">
            <v>29</v>
          </cell>
          <cell r="B36" t="str">
            <v>MMWW</v>
          </cell>
          <cell r="C36" t="str">
            <v>MMWW.cf</v>
          </cell>
          <cell r="D36" t="str">
            <v>METAMOR WORLDWIDE INC</v>
          </cell>
          <cell r="E36">
            <v>13.25</v>
          </cell>
          <cell r="F36">
            <v>-0.47</v>
          </cell>
          <cell r="G36">
            <v>32.981000000000002</v>
          </cell>
          <cell r="H36">
            <v>1.5</v>
          </cell>
          <cell r="I36">
            <v>1.9000000000000001</v>
          </cell>
          <cell r="J36" t="e">
            <v>#N/A</v>
          </cell>
          <cell r="K36" t="e">
            <v>#N/A</v>
          </cell>
          <cell r="L36" t="e">
            <v>#N/A</v>
          </cell>
          <cell r="M36">
            <v>30</v>
          </cell>
          <cell r="N36" t="str">
            <v>12/99</v>
          </cell>
          <cell r="O36">
            <v>1.5</v>
          </cell>
          <cell r="P36">
            <v>1.8900000000000001</v>
          </cell>
          <cell r="Q36" t="e">
            <v>#N/A</v>
          </cell>
          <cell r="R36">
            <v>30</v>
          </cell>
          <cell r="S36" t="str">
            <v>12/99</v>
          </cell>
          <cell r="T36">
            <v>0</v>
          </cell>
          <cell r="U36">
            <v>1.5</v>
          </cell>
          <cell r="V36">
            <v>1.9000000000000001</v>
          </cell>
          <cell r="X36">
            <v>60.539000000000001</v>
          </cell>
          <cell r="Y36">
            <v>5.2000000000000005E-2</v>
          </cell>
          <cell r="Z36">
            <v>193.935</v>
          </cell>
          <cell r="AA36">
            <v>0</v>
          </cell>
          <cell r="AB36">
            <v>0</v>
          </cell>
          <cell r="AC36">
            <v>331.97290000000004</v>
          </cell>
          <cell r="AD36">
            <v>1008.0588</v>
          </cell>
          <cell r="AF36">
            <v>436.99825000000004</v>
          </cell>
          <cell r="AG36">
            <v>570.44625000000008</v>
          </cell>
          <cell r="AH36">
            <v>8.8333333333333339</v>
          </cell>
          <cell r="AI36">
            <v>6.973684210526315</v>
          </cell>
          <cell r="AL36">
            <v>193.98699999999999</v>
          </cell>
          <cell r="AM36">
            <v>525.95990000000006</v>
          </cell>
          <cell r="AN36">
            <v>0.36882469557089803</v>
          </cell>
          <cell r="AO36" t="str">
            <v>N.R. / N.R.</v>
          </cell>
          <cell r="AP36" t="str">
            <v>METAMOR WORLDWIDE INC</v>
          </cell>
          <cell r="AR36" t="str">
            <v>IT staffing/consulting</v>
          </cell>
          <cell r="AT36" t="str">
            <v>Hou</v>
          </cell>
          <cell r="AV36" t="str">
            <v>TX</v>
          </cell>
          <cell r="AX36">
            <v>0</v>
          </cell>
          <cell r="BD36" t="str">
            <v>---</v>
          </cell>
          <cell r="BF36" t="str">
            <v>Sherrick</v>
          </cell>
          <cell r="BJ36" t="str">
            <v>SB</v>
          </cell>
          <cell r="BL36">
            <v>38</v>
          </cell>
          <cell r="BP36">
            <v>5.0999999999999996</v>
          </cell>
          <cell r="BR36">
            <v>8.5609999999999999</v>
          </cell>
          <cell r="BV36" t="str">
            <v>SO$340-8/97/MSDW; SO$230-5/96/GS; A$320-1/99/GS; D$250-6/98/GS</v>
          </cell>
        </row>
        <row r="37">
          <cell r="A37">
            <v>30</v>
          </cell>
          <cell r="B37" t="str">
            <v>FIX</v>
          </cell>
          <cell r="C37" t="str">
            <v>FIX.cf</v>
          </cell>
          <cell r="D37" t="str">
            <v>COMFORT SYSTEMS USA INC</v>
          </cell>
          <cell r="E37">
            <v>12.4375</v>
          </cell>
          <cell r="F37">
            <v>-0.30419580419580416</v>
          </cell>
          <cell r="G37">
            <v>34.922000000000004</v>
          </cell>
          <cell r="H37">
            <v>1.35</v>
          </cell>
          <cell r="I37">
            <v>1.6500000000000001</v>
          </cell>
          <cell r="J37" t="e">
            <v>#N/A</v>
          </cell>
          <cell r="K37" t="e">
            <v>#N/A</v>
          </cell>
          <cell r="L37" t="e">
            <v>#N/A</v>
          </cell>
          <cell r="M37">
            <v>25</v>
          </cell>
          <cell r="N37" t="str">
            <v>12/99</v>
          </cell>
          <cell r="O37">
            <v>1.35</v>
          </cell>
          <cell r="P37">
            <v>1.6500000000000001</v>
          </cell>
          <cell r="Q37" t="e">
            <v>#N/A</v>
          </cell>
          <cell r="R37">
            <v>25</v>
          </cell>
          <cell r="S37" t="str">
            <v>12/99</v>
          </cell>
          <cell r="T37">
            <v>0</v>
          </cell>
          <cell r="U37">
            <v>1.35</v>
          </cell>
          <cell r="V37">
            <v>1.6500000000000001</v>
          </cell>
          <cell r="X37">
            <v>9.6869999999999994</v>
          </cell>
          <cell r="Y37">
            <v>6.8209999999999997</v>
          </cell>
          <cell r="Z37">
            <v>127.96900000000001</v>
          </cell>
          <cell r="AA37">
            <v>0</v>
          </cell>
          <cell r="AB37">
            <v>0</v>
          </cell>
          <cell r="AC37">
            <v>334.31790000000001</v>
          </cell>
          <cell r="AD37">
            <v>237.709</v>
          </cell>
          <cell r="AF37">
            <v>434.34237500000006</v>
          </cell>
          <cell r="AG37">
            <v>559.44537500000013</v>
          </cell>
          <cell r="AH37">
            <v>9.2129629629629619</v>
          </cell>
          <cell r="AI37">
            <v>7.5378787878787872</v>
          </cell>
          <cell r="AL37">
            <v>134.79000000000002</v>
          </cell>
          <cell r="AM37">
            <v>469.10790000000003</v>
          </cell>
          <cell r="AN37">
            <v>0.28733261580118352</v>
          </cell>
          <cell r="AO37" t="str">
            <v>N.R. / N.R.</v>
          </cell>
          <cell r="AP37" t="str">
            <v>COMFORT SYSTEMS USA INC</v>
          </cell>
          <cell r="AR37" t="str">
            <v>HVAC services</v>
          </cell>
          <cell r="AT37" t="str">
            <v>Hou</v>
          </cell>
          <cell r="AV37" t="str">
            <v>TX</v>
          </cell>
          <cell r="AX37">
            <v>0</v>
          </cell>
          <cell r="BD37" t="str">
            <v>---</v>
          </cell>
          <cell r="BF37" t="str">
            <v>---</v>
          </cell>
          <cell r="BJ37" t="str">
            <v>---</v>
          </cell>
          <cell r="BL37" t="str">
            <v>---</v>
          </cell>
          <cell r="BR37">
            <v>2.13</v>
          </cell>
        </row>
        <row r="38">
          <cell r="A38">
            <v>31</v>
          </cell>
          <cell r="B38" t="str">
            <v>KEX</v>
          </cell>
          <cell r="C38" t="str">
            <v>KEX.cf</v>
          </cell>
          <cell r="D38" t="str">
            <v>KIRBY CORP</v>
          </cell>
          <cell r="E38">
            <v>19.5</v>
          </cell>
          <cell r="F38">
            <v>-2.1943573667711602E-2</v>
          </cell>
          <cell r="G38">
            <v>20.77</v>
          </cell>
          <cell r="H38">
            <v>1.19</v>
          </cell>
          <cell r="I38">
            <v>1.36</v>
          </cell>
          <cell r="J38" t="e">
            <v>#N/A</v>
          </cell>
          <cell r="K38" t="e">
            <v>#N/A</v>
          </cell>
          <cell r="L38" t="e">
            <v>#N/A</v>
          </cell>
          <cell r="M38">
            <v>15</v>
          </cell>
          <cell r="N38" t="str">
            <v>12/99</v>
          </cell>
          <cell r="O38">
            <v>1.2000000000000002</v>
          </cell>
          <cell r="P38">
            <v>1.4000000000000001</v>
          </cell>
          <cell r="Q38" t="e">
            <v>#N/A</v>
          </cell>
          <cell r="R38">
            <v>15</v>
          </cell>
          <cell r="S38" t="str">
            <v>12/99</v>
          </cell>
          <cell r="T38">
            <v>0</v>
          </cell>
          <cell r="U38">
            <v>1.19</v>
          </cell>
          <cell r="V38">
            <v>1.36</v>
          </cell>
          <cell r="X38">
            <v>21.655999999999999</v>
          </cell>
          <cell r="Y38">
            <v>5.3330000000000002</v>
          </cell>
          <cell r="Z38">
            <v>137.55199999999999</v>
          </cell>
          <cell r="AA38">
            <v>0</v>
          </cell>
          <cell r="AB38">
            <v>0</v>
          </cell>
          <cell r="AC38">
            <v>141.04</v>
          </cell>
          <cell r="AD38">
            <v>327.08</v>
          </cell>
          <cell r="AF38">
            <v>405.01499999999999</v>
          </cell>
          <cell r="AG38">
            <v>526.24400000000003</v>
          </cell>
          <cell r="AH38">
            <v>16.386554621848742</v>
          </cell>
          <cell r="AI38">
            <v>14.338235294117647</v>
          </cell>
          <cell r="AL38">
            <v>142.88499999999999</v>
          </cell>
          <cell r="AM38">
            <v>283.92499999999995</v>
          </cell>
          <cell r="AN38">
            <v>0.50324909747292423</v>
          </cell>
          <cell r="AO38" t="str">
            <v>Baa3 / BBB</v>
          </cell>
          <cell r="AP38" t="str">
            <v>KIRBY CORP</v>
          </cell>
          <cell r="AR38" t="str">
            <v>Inland tank barge operator</v>
          </cell>
          <cell r="AT38" t="str">
            <v>Hou</v>
          </cell>
          <cell r="AV38" t="str">
            <v>TX</v>
          </cell>
          <cell r="AX38">
            <v>0</v>
          </cell>
          <cell r="BD38" t="str">
            <v>---</v>
          </cell>
          <cell r="BF38" t="str">
            <v>---</v>
          </cell>
          <cell r="BJ38" t="str">
            <v>---</v>
          </cell>
          <cell r="BL38" t="str">
            <v>---</v>
          </cell>
          <cell r="BR38">
            <v>0.9</v>
          </cell>
          <cell r="BV38" t="str">
            <v>MTN$25-1/97/SAL,ML</v>
          </cell>
        </row>
        <row r="39">
          <cell r="A39">
            <v>32</v>
          </cell>
          <cell r="B39" t="str">
            <v>EUSA</v>
          </cell>
          <cell r="C39" t="str">
            <v>EUSA.cf</v>
          </cell>
          <cell r="D39" t="str">
            <v>EAGLE USA AIRFREIGHT INC</v>
          </cell>
          <cell r="E39">
            <v>29.5</v>
          </cell>
          <cell r="F39">
            <v>0.20408163265306123</v>
          </cell>
          <cell r="G39">
            <v>19.125</v>
          </cell>
          <cell r="H39">
            <v>1.37</v>
          </cell>
          <cell r="I39">
            <v>1.6500000000000001</v>
          </cell>
          <cell r="J39" t="e">
            <v>#N/A</v>
          </cell>
          <cell r="K39" t="e">
            <v>#N/A</v>
          </cell>
          <cell r="L39" t="e">
            <v>#N/A</v>
          </cell>
          <cell r="M39">
            <v>20</v>
          </cell>
          <cell r="N39" t="str">
            <v>09/99</v>
          </cell>
          <cell r="O39">
            <v>1.37</v>
          </cell>
          <cell r="P39">
            <v>1.6500000000000001</v>
          </cell>
          <cell r="Q39" t="e">
            <v>#N/A</v>
          </cell>
          <cell r="R39">
            <v>20</v>
          </cell>
          <cell r="S39" t="str">
            <v>9/99</v>
          </cell>
          <cell r="T39">
            <v>0</v>
          </cell>
          <cell r="U39">
            <v>1.4400000000000002</v>
          </cell>
          <cell r="V39" t="e">
            <v>#N/A</v>
          </cell>
          <cell r="X39">
            <v>49.678000000000004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119.04600000000001</v>
          </cell>
          <cell r="AD39">
            <v>417.08300000000003</v>
          </cell>
          <cell r="AF39">
            <v>564.1875</v>
          </cell>
          <cell r="AG39">
            <v>514.5095</v>
          </cell>
          <cell r="AH39">
            <v>20.486111111111107</v>
          </cell>
          <cell r="AI39" t="str">
            <v>---</v>
          </cell>
          <cell r="AL39">
            <v>0</v>
          </cell>
          <cell r="AM39">
            <v>119.04600000000001</v>
          </cell>
          <cell r="AN39">
            <v>0</v>
          </cell>
          <cell r="AO39" t="str">
            <v>N.R. / N.R.</v>
          </cell>
          <cell r="AP39" t="str">
            <v>EAGLE USA AIRFREIGHT INC</v>
          </cell>
          <cell r="AR39" t="str">
            <v>Air freight fowarding services</v>
          </cell>
          <cell r="AT39" t="str">
            <v>Hou</v>
          </cell>
          <cell r="AV39" t="str">
            <v>TX</v>
          </cell>
          <cell r="AX39">
            <v>0</v>
          </cell>
          <cell r="BD39" t="str">
            <v>Walsh</v>
          </cell>
          <cell r="BF39" t="str">
            <v>Sherman</v>
          </cell>
          <cell r="BJ39" t="str">
            <v>O</v>
          </cell>
          <cell r="BL39">
            <v>33</v>
          </cell>
          <cell r="BR39">
            <v>1.016</v>
          </cell>
          <cell r="BV39" t="str">
            <v>SO$49-1/98/DLJ; SO$44-2/97/DLJ</v>
          </cell>
        </row>
        <row r="40">
          <cell r="A40">
            <v>33</v>
          </cell>
          <cell r="B40" t="str">
            <v>ELK</v>
          </cell>
          <cell r="C40" t="str">
            <v>ELK.cf</v>
          </cell>
          <cell r="D40" t="str">
            <v>ELCOR CORP</v>
          </cell>
          <cell r="E40">
            <v>33.3125</v>
          </cell>
          <cell r="F40">
            <v>3.0947775628626717E-2</v>
          </cell>
          <cell r="G40">
            <v>12.982000000000001</v>
          </cell>
          <cell r="H40">
            <v>1.845</v>
          </cell>
          <cell r="I40">
            <v>2.33</v>
          </cell>
          <cell r="J40">
            <v>2.73</v>
          </cell>
          <cell r="K40" t="e">
            <v>#N/A</v>
          </cell>
          <cell r="L40" t="e">
            <v>#N/A</v>
          </cell>
          <cell r="M40">
            <v>20</v>
          </cell>
          <cell r="N40" t="str">
            <v>06/99</v>
          </cell>
          <cell r="O40">
            <v>1.83</v>
          </cell>
          <cell r="P40">
            <v>2.33</v>
          </cell>
          <cell r="Q40">
            <v>2.73</v>
          </cell>
          <cell r="R40">
            <v>20</v>
          </cell>
          <cell r="S40" t="str">
            <v>6/99</v>
          </cell>
          <cell r="T40">
            <v>0.84052529999999992</v>
          </cell>
          <cell r="U40">
            <v>2.0874999999999999</v>
          </cell>
          <cell r="V40">
            <v>2.5300000000000002</v>
          </cell>
          <cell r="X40">
            <v>3.21</v>
          </cell>
          <cell r="Y40">
            <v>0</v>
          </cell>
          <cell r="Z40">
            <v>43.300000000000004</v>
          </cell>
          <cell r="AA40">
            <v>0</v>
          </cell>
          <cell r="AB40">
            <v>0</v>
          </cell>
          <cell r="AC40">
            <v>123.879</v>
          </cell>
          <cell r="AD40">
            <v>268.178</v>
          </cell>
          <cell r="AF40">
            <v>432.46287500000005</v>
          </cell>
          <cell r="AG40">
            <v>472.55287500000009</v>
          </cell>
          <cell r="AH40">
            <v>15.95808383233533</v>
          </cell>
          <cell r="AI40">
            <v>13.166996047430828</v>
          </cell>
          <cell r="AL40">
            <v>43.300000000000004</v>
          </cell>
          <cell r="AM40">
            <v>167.179</v>
          </cell>
          <cell r="AN40">
            <v>0.2590038222504023</v>
          </cell>
          <cell r="AO40" t="str">
            <v>N.R. / N.R.</v>
          </cell>
          <cell r="AP40" t="str">
            <v>ELCOR CORP</v>
          </cell>
          <cell r="AR40" t="str">
            <v>Roofing products</v>
          </cell>
          <cell r="AT40" t="str">
            <v>Dal</v>
          </cell>
          <cell r="AV40" t="str">
            <v>TX</v>
          </cell>
          <cell r="AX40">
            <v>0</v>
          </cell>
          <cell r="BD40" t="str">
            <v>---</v>
          </cell>
          <cell r="BF40" t="str">
            <v>---</v>
          </cell>
          <cell r="BJ40" t="str">
            <v>---</v>
          </cell>
          <cell r="BL40" t="str">
            <v>---</v>
          </cell>
        </row>
        <row r="41">
          <cell r="A41">
            <v>34</v>
          </cell>
          <cell r="B41" t="str">
            <v>MAK</v>
          </cell>
          <cell r="C41" t="str">
            <v>MAK.cf</v>
          </cell>
          <cell r="D41" t="str">
            <v>GROUP MAINTENANCE AMER CORP</v>
          </cell>
          <cell r="E41">
            <v>11.4375</v>
          </cell>
          <cell r="F41">
            <v>-5.6701030927835072E-2</v>
          </cell>
          <cell r="G41">
            <v>28.8</v>
          </cell>
          <cell r="H41">
            <v>1.2050000000000001</v>
          </cell>
          <cell r="I41">
            <v>1.45</v>
          </cell>
          <cell r="J41" t="e">
            <v>#N/A</v>
          </cell>
          <cell r="K41" t="e">
            <v>#N/A</v>
          </cell>
          <cell r="L41" t="e">
            <v>#N/A</v>
          </cell>
          <cell r="M41">
            <v>25</v>
          </cell>
          <cell r="N41" t="str">
            <v>12/99</v>
          </cell>
          <cell r="O41">
            <v>1.21</v>
          </cell>
          <cell r="P41">
            <v>1.45</v>
          </cell>
          <cell r="Q41" t="e">
            <v>#N/A</v>
          </cell>
          <cell r="R41">
            <v>24</v>
          </cell>
          <cell r="S41" t="str">
            <v>12/99</v>
          </cell>
          <cell r="T41">
            <v>0</v>
          </cell>
          <cell r="U41">
            <v>1.2050000000000001</v>
          </cell>
          <cell r="V41">
            <v>1.45</v>
          </cell>
          <cell r="X41">
            <v>2.1890000000000001</v>
          </cell>
          <cell r="Y41">
            <v>7.7450000000000001</v>
          </cell>
          <cell r="Z41">
            <v>108.62</v>
          </cell>
          <cell r="AA41">
            <v>0</v>
          </cell>
          <cell r="AB41">
            <v>0</v>
          </cell>
          <cell r="AC41">
            <v>259.07690000000002</v>
          </cell>
          <cell r="AD41">
            <v>138.47900000000001</v>
          </cell>
          <cell r="AF41">
            <v>329.40000000000003</v>
          </cell>
          <cell r="AG41">
            <v>443.57600000000002</v>
          </cell>
          <cell r="AH41">
            <v>9.491701244813278</v>
          </cell>
          <cell r="AI41">
            <v>7.8879310344827589</v>
          </cell>
          <cell r="AL41">
            <v>116.36500000000001</v>
          </cell>
          <cell r="AM41">
            <v>375.44190000000003</v>
          </cell>
          <cell r="AN41">
            <v>0.30994143168357075</v>
          </cell>
          <cell r="AO41" t="str">
            <v>N.R. / BB-</v>
          </cell>
          <cell r="AP41" t="str">
            <v>GROUP MAINTENANCE AMER CORP</v>
          </cell>
          <cell r="AR41" t="str">
            <v>HVAC services</v>
          </cell>
          <cell r="AT41" t="str">
            <v>Hou</v>
          </cell>
          <cell r="AV41" t="str">
            <v>TX</v>
          </cell>
          <cell r="AX41">
            <v>0</v>
          </cell>
          <cell r="BD41" t="str">
            <v>---</v>
          </cell>
          <cell r="BF41" t="str">
            <v>---</v>
          </cell>
          <cell r="BJ41" t="str">
            <v>---</v>
          </cell>
          <cell r="BL41" t="str">
            <v>---</v>
          </cell>
          <cell r="BR41">
            <v>1.575</v>
          </cell>
        </row>
        <row r="42">
          <cell r="A42">
            <v>35</v>
          </cell>
          <cell r="B42" t="str">
            <v>AGP</v>
          </cell>
          <cell r="C42" t="str">
            <v>AGP.cf</v>
          </cell>
          <cell r="D42" t="str">
            <v>AMERICAN PAD &amp; PAPER CO</v>
          </cell>
          <cell r="E42">
            <v>1.5620000000000001</v>
          </cell>
          <cell r="F42">
            <v>-3.1999999999998696E-4</v>
          </cell>
          <cell r="G42">
            <v>27.724</v>
          </cell>
          <cell r="H42">
            <v>0.75</v>
          </cell>
          <cell r="I42" t="e">
            <v>#N/A</v>
          </cell>
          <cell r="J42" t="e">
            <v>#N/A</v>
          </cell>
          <cell r="K42" t="e">
            <v>#N/A</v>
          </cell>
          <cell r="L42" t="e">
            <v>#N/A</v>
          </cell>
          <cell r="M42">
            <v>17.5</v>
          </cell>
          <cell r="N42" t="str">
            <v>12/99</v>
          </cell>
          <cell r="O42">
            <v>-0.15</v>
          </cell>
          <cell r="P42" t="e">
            <v>#N/A</v>
          </cell>
          <cell r="Q42" t="e">
            <v>#N/A</v>
          </cell>
          <cell r="R42">
            <v>17.5</v>
          </cell>
          <cell r="S42" t="str">
            <v>12/99</v>
          </cell>
          <cell r="T42">
            <v>0</v>
          </cell>
          <cell r="U42" t="e">
            <v>#N/A</v>
          </cell>
          <cell r="V42" t="e">
            <v>#N/A</v>
          </cell>
          <cell r="X42">
            <v>33.228000000000002</v>
          </cell>
          <cell r="Y42">
            <v>1.0210000000000001</v>
          </cell>
          <cell r="Z42">
            <v>412.34790000000004</v>
          </cell>
          <cell r="AA42">
            <v>0</v>
          </cell>
          <cell r="AB42">
            <v>0</v>
          </cell>
          <cell r="AC42">
            <v>29.263000000000002</v>
          </cell>
          <cell r="AD42">
            <v>687.33500000000004</v>
          </cell>
          <cell r="AF42">
            <v>43.304888000000005</v>
          </cell>
          <cell r="AG42">
            <v>423.44578800000005</v>
          </cell>
          <cell r="AH42" t="str">
            <v>---</v>
          </cell>
          <cell r="AI42" t="str">
            <v>---</v>
          </cell>
          <cell r="AL42">
            <v>413.36890000000005</v>
          </cell>
          <cell r="AM42">
            <v>442.63190000000003</v>
          </cell>
          <cell r="AN42">
            <v>0.93388863297019498</v>
          </cell>
          <cell r="AO42" t="str">
            <v>N.R. / B</v>
          </cell>
          <cell r="AP42" t="str">
            <v>AMERICAN PAD &amp; PAPER CO</v>
          </cell>
          <cell r="AR42" t="str">
            <v>Paper-based office products</v>
          </cell>
          <cell r="AT42" t="str">
            <v>Dal</v>
          </cell>
          <cell r="AV42" t="str">
            <v>TX</v>
          </cell>
          <cell r="AX42">
            <v>0</v>
          </cell>
          <cell r="BD42" t="str">
            <v>Bechtel</v>
          </cell>
          <cell r="BF42" t="str">
            <v>---</v>
          </cell>
          <cell r="BJ42" t="str">
            <v>---</v>
          </cell>
          <cell r="BL42" t="str">
            <v>---</v>
          </cell>
          <cell r="BR42">
            <v>2.6560000000000001</v>
          </cell>
          <cell r="BV42" t="str">
            <v>IPO$235-7/96/MSDW</v>
          </cell>
        </row>
        <row r="43">
          <cell r="A43">
            <v>36</v>
          </cell>
          <cell r="B43" t="str">
            <v>CSV</v>
          </cell>
          <cell r="C43" t="str">
            <v>CSV.cf</v>
          </cell>
          <cell r="D43" t="str">
            <v>CARRIAGE SERVICES INC  -CL A</v>
          </cell>
          <cell r="E43">
            <v>15.625</v>
          </cell>
          <cell r="F43">
            <v>-0.4505494505494505</v>
          </cell>
          <cell r="G43">
            <v>14.8</v>
          </cell>
          <cell r="H43">
            <v>0.85</v>
          </cell>
          <cell r="I43">
            <v>1.05</v>
          </cell>
          <cell r="J43" t="e">
            <v>#N/A</v>
          </cell>
          <cell r="K43" t="e">
            <v>#N/A</v>
          </cell>
          <cell r="L43" t="e">
            <v>#N/A</v>
          </cell>
          <cell r="M43">
            <v>30</v>
          </cell>
          <cell r="N43" t="str">
            <v>12/99</v>
          </cell>
          <cell r="O43">
            <v>0.85</v>
          </cell>
          <cell r="P43">
            <v>1.08</v>
          </cell>
          <cell r="Q43" t="e">
            <v>#N/A</v>
          </cell>
          <cell r="R43">
            <v>27.8</v>
          </cell>
          <cell r="S43" t="str">
            <v>12/99</v>
          </cell>
          <cell r="T43">
            <v>0</v>
          </cell>
          <cell r="U43">
            <v>0.85</v>
          </cell>
          <cell r="V43">
            <v>1.05</v>
          </cell>
          <cell r="X43">
            <v>4.1000000000000005</v>
          </cell>
          <cell r="Y43" t="str">
            <v>0</v>
          </cell>
          <cell r="Z43">
            <v>175.41400000000002</v>
          </cell>
          <cell r="AA43">
            <v>13.951000000000001</v>
          </cell>
          <cell r="AB43">
            <v>0</v>
          </cell>
          <cell r="AC43">
            <v>176.51500000000001</v>
          </cell>
          <cell r="AD43">
            <v>77.421000000000006</v>
          </cell>
          <cell r="AF43">
            <v>231.25</v>
          </cell>
          <cell r="AG43">
            <v>402.56399999999996</v>
          </cell>
          <cell r="AH43">
            <v>18.382352941176471</v>
          </cell>
          <cell r="AI43">
            <v>14.88095238095238</v>
          </cell>
          <cell r="AL43">
            <v>175.41400000000002</v>
          </cell>
          <cell r="AM43">
            <v>365.88</v>
          </cell>
          <cell r="AN43">
            <v>0.47943041434350064</v>
          </cell>
          <cell r="AO43" t="str">
            <v>N.R. / N.R.</v>
          </cell>
          <cell r="AP43" t="str">
            <v>CARRIAGE SERVICES INC  -CL A</v>
          </cell>
          <cell r="AR43" t="str">
            <v>Funeral homes/cemeteries</v>
          </cell>
          <cell r="AT43" t="str">
            <v>Hou</v>
          </cell>
          <cell r="AV43" t="str">
            <v>TX</v>
          </cell>
          <cell r="AX43">
            <v>0</v>
          </cell>
          <cell r="BD43" t="str">
            <v>Rimland</v>
          </cell>
          <cell r="BF43" t="str">
            <v>---</v>
          </cell>
          <cell r="BJ43" t="str">
            <v>---</v>
          </cell>
          <cell r="BL43" t="str">
            <v>---</v>
          </cell>
          <cell r="BP43">
            <v>0.63</v>
          </cell>
          <cell r="BR43">
            <v>1.276</v>
          </cell>
          <cell r="BV43" t="str">
            <v>SO$63-5/98/ML; IPO$46-8/96/ML</v>
          </cell>
        </row>
        <row r="44">
          <cell r="A44">
            <v>37</v>
          </cell>
          <cell r="B44" t="str">
            <v>LUB</v>
          </cell>
          <cell r="C44" t="str">
            <v>LUB.cf</v>
          </cell>
          <cell r="D44" t="str">
            <v>LUBYS INC</v>
          </cell>
          <cell r="E44">
            <v>13.875</v>
          </cell>
          <cell r="F44">
            <v>-0.10121457489878538</v>
          </cell>
          <cell r="G44">
            <v>22.743000000000002</v>
          </cell>
          <cell r="H44">
            <v>1.335</v>
          </cell>
          <cell r="I44">
            <v>1.54</v>
          </cell>
          <cell r="J44" t="e">
            <v>#N/A</v>
          </cell>
          <cell r="K44" t="e">
            <v>#N/A</v>
          </cell>
          <cell r="L44" t="e">
            <v>#N/A</v>
          </cell>
          <cell r="M44">
            <v>10</v>
          </cell>
          <cell r="N44" t="str">
            <v>08/99</v>
          </cell>
          <cell r="O44">
            <v>1.33</v>
          </cell>
          <cell r="P44">
            <v>1.55</v>
          </cell>
          <cell r="Q44" t="e">
            <v>#N/A</v>
          </cell>
          <cell r="R44">
            <v>10</v>
          </cell>
          <cell r="S44" t="str">
            <v>8/99</v>
          </cell>
          <cell r="T44">
            <v>5.7657660000000002</v>
          </cell>
          <cell r="U44">
            <v>1.4033333333333333</v>
          </cell>
          <cell r="V44" t="e">
            <v>#N/A</v>
          </cell>
          <cell r="X44">
            <v>3.0060000000000002</v>
          </cell>
          <cell r="Y44">
            <v>0</v>
          </cell>
          <cell r="Z44">
            <v>84</v>
          </cell>
          <cell r="AA44">
            <v>0</v>
          </cell>
          <cell r="AB44">
            <v>0</v>
          </cell>
          <cell r="AC44">
            <v>198.471</v>
          </cell>
          <cell r="AD44">
            <v>508.87080000000003</v>
          </cell>
          <cell r="AF44">
            <v>315.55912500000005</v>
          </cell>
          <cell r="AG44">
            <v>396.55312500000002</v>
          </cell>
          <cell r="AH44">
            <v>9.8871733966745836</v>
          </cell>
          <cell r="AI44" t="str">
            <v>---</v>
          </cell>
          <cell r="AL44">
            <v>84</v>
          </cell>
          <cell r="AM44">
            <v>282.471</v>
          </cell>
          <cell r="AN44">
            <v>0.29737565980224517</v>
          </cell>
          <cell r="AO44" t="str">
            <v>N.R. / N.R.</v>
          </cell>
          <cell r="AP44" t="str">
            <v>LUBYS INC</v>
          </cell>
          <cell r="AR44" t="str">
            <v>Cafeterias</v>
          </cell>
          <cell r="AT44" t="str">
            <v>Hou</v>
          </cell>
          <cell r="AV44" t="str">
            <v>TX</v>
          </cell>
          <cell r="AX44">
            <v>0</v>
          </cell>
          <cell r="BD44" t="str">
            <v>---</v>
          </cell>
          <cell r="BF44" t="str">
            <v>---</v>
          </cell>
          <cell r="BJ44" t="str">
            <v>---</v>
          </cell>
          <cell r="BL44" t="str">
            <v>---</v>
          </cell>
        </row>
        <row r="45">
          <cell r="A45">
            <v>38</v>
          </cell>
          <cell r="B45" t="str">
            <v>SSSS</v>
          </cell>
          <cell r="C45" t="str">
            <v>SSSS.cf</v>
          </cell>
          <cell r="D45" t="str">
            <v>STEWART &amp; STEVENSON SERVICES</v>
          </cell>
          <cell r="E45">
            <v>8.125</v>
          </cell>
          <cell r="F45">
            <v>-0.16666666666666663</v>
          </cell>
          <cell r="G45">
            <v>27.984000000000002</v>
          </cell>
          <cell r="H45">
            <v>0.85</v>
          </cell>
          <cell r="I45">
            <v>1.2000000000000002</v>
          </cell>
          <cell r="J45" t="e">
            <v>#N/A</v>
          </cell>
          <cell r="K45" t="e">
            <v>#N/A</v>
          </cell>
          <cell r="L45" t="e">
            <v>#N/A</v>
          </cell>
          <cell r="M45">
            <v>9.3000000000000007</v>
          </cell>
          <cell r="N45" t="str">
            <v>01/00</v>
          </cell>
          <cell r="O45">
            <v>0.92</v>
          </cell>
          <cell r="P45">
            <v>0.9</v>
          </cell>
          <cell r="Q45">
            <v>1.2000000000000002</v>
          </cell>
          <cell r="R45">
            <v>9.3000000000000007</v>
          </cell>
          <cell r="S45" t="str">
            <v>1/99</v>
          </cell>
          <cell r="T45">
            <v>4.1846160000000001</v>
          </cell>
          <cell r="U45">
            <v>1.1708333333333334</v>
          </cell>
          <cell r="V45">
            <v>1.2000000000000002</v>
          </cell>
          <cell r="X45">
            <v>5.7370000000000001</v>
          </cell>
          <cell r="Y45">
            <v>65.233999999999995</v>
          </cell>
          <cell r="Z45">
            <v>109.339</v>
          </cell>
          <cell r="AA45">
            <v>0</v>
          </cell>
          <cell r="AB45">
            <v>0</v>
          </cell>
          <cell r="AC45">
            <v>385.77100000000002</v>
          </cell>
          <cell r="AD45">
            <v>1115.0340000000001</v>
          </cell>
          <cell r="AF45">
            <v>227.37</v>
          </cell>
          <cell r="AG45">
            <v>396.20599999999996</v>
          </cell>
          <cell r="AH45">
            <v>6.9395017793594302</v>
          </cell>
          <cell r="AI45">
            <v>6.7708333333333321</v>
          </cell>
          <cell r="AL45">
            <v>174.57299999999998</v>
          </cell>
          <cell r="AM45">
            <v>560.34400000000005</v>
          </cell>
          <cell r="AN45">
            <v>0.31154612166811807</v>
          </cell>
          <cell r="AO45" t="str">
            <v>N.R. / N.R.</v>
          </cell>
          <cell r="AP45" t="str">
            <v>STEWART &amp; STEVENSON SERVICES</v>
          </cell>
          <cell r="AR45" t="str">
            <v>Diversified manufacturer</v>
          </cell>
          <cell r="AT45" t="str">
            <v>Hou</v>
          </cell>
          <cell r="AV45" t="str">
            <v>TX</v>
          </cell>
          <cell r="AX45">
            <v>0</v>
          </cell>
          <cell r="BD45" t="str">
            <v>---</v>
          </cell>
          <cell r="BF45" t="str">
            <v>---</v>
          </cell>
          <cell r="BJ45" t="str">
            <v>---</v>
          </cell>
          <cell r="BL45" t="str">
            <v>---</v>
          </cell>
          <cell r="BR45">
            <v>3.6</v>
          </cell>
          <cell r="BV45" t="str">
            <v>HY$135-5/96/BAS; D$600-9/97/CSFB</v>
          </cell>
        </row>
        <row r="46">
          <cell r="A46">
            <v>39</v>
          </cell>
          <cell r="B46" t="str">
            <v>KNT</v>
          </cell>
          <cell r="C46" t="str">
            <v>KNT.cf</v>
          </cell>
          <cell r="D46" t="str">
            <v>KENT ELECTRONICS CORP</v>
          </cell>
          <cell r="E46">
            <v>11.0625</v>
          </cell>
          <cell r="F46">
            <v>-0.13235294117647056</v>
          </cell>
          <cell r="G46">
            <v>27.963000000000001</v>
          </cell>
          <cell r="H46">
            <v>0.01</v>
          </cell>
          <cell r="I46">
            <v>0.41500000000000004</v>
          </cell>
          <cell r="J46">
            <v>0.82000000000000006</v>
          </cell>
          <cell r="K46" t="e">
            <v>#N/A</v>
          </cell>
          <cell r="L46" t="e">
            <v>#N/A</v>
          </cell>
          <cell r="M46">
            <v>17.5</v>
          </cell>
          <cell r="N46" t="str">
            <v>03/99</v>
          </cell>
          <cell r="O46">
            <v>0.01</v>
          </cell>
          <cell r="P46">
            <v>0.52</v>
          </cell>
          <cell r="Q46">
            <v>0.82000000000000006</v>
          </cell>
          <cell r="R46">
            <v>20</v>
          </cell>
          <cell r="S46" t="str">
            <v>3/99</v>
          </cell>
          <cell r="T46">
            <v>0</v>
          </cell>
          <cell r="U46">
            <v>0.31375000000000003</v>
          </cell>
          <cell r="V46">
            <v>0.71875</v>
          </cell>
          <cell r="X46">
            <v>202.21100000000001</v>
          </cell>
          <cell r="Y46">
            <v>0</v>
          </cell>
          <cell r="Z46">
            <v>207</v>
          </cell>
          <cell r="AA46">
            <v>0</v>
          </cell>
          <cell r="AB46">
            <v>0</v>
          </cell>
          <cell r="AC46">
            <v>322.13280000000003</v>
          </cell>
          <cell r="AD46">
            <v>659.40000000000009</v>
          </cell>
          <cell r="AF46">
            <v>309.3406875</v>
          </cell>
          <cell r="AG46">
            <v>314.12968750000005</v>
          </cell>
          <cell r="AH46">
            <v>35.25896414342629</v>
          </cell>
          <cell r="AI46">
            <v>15.391304347826088</v>
          </cell>
          <cell r="AL46">
            <v>207</v>
          </cell>
          <cell r="AM46">
            <v>529.13280000000009</v>
          </cell>
          <cell r="AN46">
            <v>0.39120613955513617</v>
          </cell>
          <cell r="AO46" t="str">
            <v>N.R. / BB-</v>
          </cell>
          <cell r="AP46" t="str">
            <v>KENT ELECTRONICS CORP</v>
          </cell>
          <cell r="AR46" t="str">
            <v>Specialty electronic products</v>
          </cell>
          <cell r="AT46" t="str">
            <v>Hou</v>
          </cell>
          <cell r="AV46" t="str">
            <v>TX</v>
          </cell>
          <cell r="AX46">
            <v>0</v>
          </cell>
          <cell r="BD46" t="str">
            <v>---</v>
          </cell>
          <cell r="BF46" t="str">
            <v>---</v>
          </cell>
          <cell r="BJ46" t="str">
            <v>---</v>
          </cell>
          <cell r="BL46" t="str">
            <v>---</v>
          </cell>
          <cell r="BV46" t="str">
            <v>CVT$180-9/97/SSB</v>
          </cell>
        </row>
        <row r="47">
          <cell r="A47">
            <v>40</v>
          </cell>
          <cell r="B47" t="str">
            <v>RVFD</v>
          </cell>
          <cell r="C47" t="str">
            <v>RVFD.cf</v>
          </cell>
          <cell r="D47" t="str">
            <v>RIVIANA FOODS INC</v>
          </cell>
          <cell r="E47">
            <v>21.1875</v>
          </cell>
          <cell r="F47">
            <v>-0.14177215189873416</v>
          </cell>
          <cell r="G47">
            <v>14.963000000000001</v>
          </cell>
          <cell r="H47">
            <v>1.56</v>
          </cell>
          <cell r="I47">
            <v>1.72</v>
          </cell>
          <cell r="J47" t="e">
            <v>#N/A</v>
          </cell>
          <cell r="K47" t="e">
            <v>#N/A</v>
          </cell>
          <cell r="L47" t="e">
            <v>#N/A</v>
          </cell>
          <cell r="M47">
            <v>9</v>
          </cell>
          <cell r="N47" t="str">
            <v>06/99</v>
          </cell>
          <cell r="O47">
            <v>1.56</v>
          </cell>
          <cell r="P47">
            <v>1.72</v>
          </cell>
          <cell r="Q47" t="e">
            <v>#N/A</v>
          </cell>
          <cell r="R47">
            <v>9.5</v>
          </cell>
          <cell r="S47" t="str">
            <v>6/99</v>
          </cell>
          <cell r="T47">
            <v>2.3598819999999998</v>
          </cell>
          <cell r="U47">
            <v>1.6400000000000001</v>
          </cell>
          <cell r="V47" t="e">
            <v>#N/A</v>
          </cell>
          <cell r="X47">
            <v>16.445</v>
          </cell>
          <cell r="Y47">
            <v>2.633</v>
          </cell>
          <cell r="Z47">
            <v>1.732</v>
          </cell>
          <cell r="AA47">
            <v>0</v>
          </cell>
          <cell r="AB47">
            <v>6.2940000000000005</v>
          </cell>
          <cell r="AC47">
            <v>127.196</v>
          </cell>
          <cell r="AD47">
            <v>454.012</v>
          </cell>
          <cell r="AF47">
            <v>317.02856250000002</v>
          </cell>
          <cell r="AG47">
            <v>304.94856250000004</v>
          </cell>
          <cell r="AH47">
            <v>12.91920731707317</v>
          </cell>
          <cell r="AI47" t="str">
            <v>---</v>
          </cell>
          <cell r="AL47">
            <v>4.3650000000000002</v>
          </cell>
          <cell r="AM47">
            <v>137.85499999999999</v>
          </cell>
          <cell r="AN47">
            <v>3.1663704617170219E-2</v>
          </cell>
          <cell r="AO47" t="str">
            <v>N.R. / N.R.</v>
          </cell>
          <cell r="AP47" t="str">
            <v>RIVIANA FOODS INC</v>
          </cell>
          <cell r="AR47" t="str">
            <v>Rice and other food products</v>
          </cell>
          <cell r="AT47" t="str">
            <v>Hou</v>
          </cell>
          <cell r="AV47" t="str">
            <v>TX</v>
          </cell>
          <cell r="AX47">
            <v>0</v>
          </cell>
          <cell r="BD47" t="str">
            <v>Jacobs</v>
          </cell>
          <cell r="BF47" t="str">
            <v>---</v>
          </cell>
          <cell r="BJ47" t="str">
            <v>---</v>
          </cell>
          <cell r="BL47" t="str">
            <v>---</v>
          </cell>
        </row>
        <row r="48">
          <cell r="A48">
            <v>41</v>
          </cell>
          <cell r="B48" t="str">
            <v>SVE</v>
          </cell>
          <cell r="C48" t="str">
            <v>SVE.cf</v>
          </cell>
          <cell r="D48" t="str">
            <v>SERVICE EXPERTS INC</v>
          </cell>
          <cell r="E48">
            <v>11.9375</v>
          </cell>
          <cell r="F48">
            <v>-0.59188034188034189</v>
          </cell>
          <cell r="G48">
            <v>17.245999999999999</v>
          </cell>
          <cell r="H48">
            <v>1.6500000000000001</v>
          </cell>
          <cell r="I48">
            <v>2</v>
          </cell>
          <cell r="J48">
            <v>2.27</v>
          </cell>
          <cell r="K48" t="e">
            <v>#N/A</v>
          </cell>
          <cell r="L48" t="e">
            <v>#N/A</v>
          </cell>
          <cell r="M48">
            <v>30</v>
          </cell>
          <cell r="N48" t="str">
            <v>12/99</v>
          </cell>
          <cell r="O48">
            <v>1.6400000000000001</v>
          </cell>
          <cell r="P48">
            <v>2</v>
          </cell>
          <cell r="Q48">
            <v>2.27</v>
          </cell>
          <cell r="R48">
            <v>30</v>
          </cell>
          <cell r="S48" t="str">
            <v>12/99</v>
          </cell>
          <cell r="T48">
            <v>0</v>
          </cell>
          <cell r="U48">
            <v>1.6500000000000001</v>
          </cell>
          <cell r="V48">
            <v>2</v>
          </cell>
          <cell r="X48">
            <v>6.024</v>
          </cell>
          <cell r="Y48">
            <v>0.27400000000000002</v>
          </cell>
          <cell r="Z48">
            <v>73.302000000000007</v>
          </cell>
          <cell r="AA48">
            <v>0</v>
          </cell>
          <cell r="AB48">
            <v>0</v>
          </cell>
          <cell r="AC48">
            <v>194.71700000000001</v>
          </cell>
          <cell r="AD48">
            <v>238.69200000000001</v>
          </cell>
          <cell r="AF48">
            <v>205.87412499999999</v>
          </cell>
          <cell r="AG48">
            <v>273.42612500000001</v>
          </cell>
          <cell r="AH48">
            <v>7.2348484848484844</v>
          </cell>
          <cell r="AI48">
            <v>5.96875</v>
          </cell>
          <cell r="AL48">
            <v>73.576000000000008</v>
          </cell>
          <cell r="AM48">
            <v>268.29300000000001</v>
          </cell>
          <cell r="AN48">
            <v>0.27423749408296155</v>
          </cell>
          <cell r="AO48" t="str">
            <v>N.R. / N.R.</v>
          </cell>
          <cell r="AP48" t="str">
            <v>SERVICE EXPERTS INC</v>
          </cell>
          <cell r="AR48" t="str">
            <v>HVAC services</v>
          </cell>
          <cell r="AT48" t="str">
            <v>Brent.</v>
          </cell>
          <cell r="AV48" t="str">
            <v>TN</v>
          </cell>
          <cell r="AW48" t="str">
            <v xml:space="preserve"> </v>
          </cell>
          <cell r="AX48">
            <v>0</v>
          </cell>
          <cell r="AY48" t="str">
            <v xml:space="preserve"> </v>
          </cell>
          <cell r="BD48" t="str">
            <v>---</v>
          </cell>
          <cell r="BF48" t="str">
            <v>---</v>
          </cell>
          <cell r="BJ48" t="str">
            <v>---</v>
          </cell>
          <cell r="BL48" t="str">
            <v>---</v>
          </cell>
          <cell r="BR48">
            <v>0.95499999999999996</v>
          </cell>
          <cell r="BV48" t="str">
            <v>HY$50-6/98/BAR; SO$55-3/97/EQ.; IPO$30-8/96/EQ</v>
          </cell>
        </row>
        <row r="49">
          <cell r="A49">
            <v>42</v>
          </cell>
          <cell r="B49" t="str">
            <v>ARS</v>
          </cell>
          <cell r="C49" t="str">
            <v>ARS.cf</v>
          </cell>
          <cell r="D49" t="str">
            <v>AMER RESIDENTIAL SVCS INC</v>
          </cell>
          <cell r="E49">
            <v>3.625</v>
          </cell>
          <cell r="F49">
            <v>0.11538461538461542</v>
          </cell>
          <cell r="G49">
            <v>15.903</v>
          </cell>
          <cell r="H49">
            <v>0.4</v>
          </cell>
          <cell r="I49" t="e">
            <v>#N/A</v>
          </cell>
          <cell r="J49" t="e">
            <v>#N/A</v>
          </cell>
          <cell r="K49" t="e">
            <v>#N/A</v>
          </cell>
          <cell r="L49" t="e">
            <v>#N/A</v>
          </cell>
          <cell r="M49">
            <v>15</v>
          </cell>
          <cell r="N49" t="str">
            <v>12/99</v>
          </cell>
          <cell r="O49">
            <v>0.22</v>
          </cell>
          <cell r="P49">
            <v>0.4</v>
          </cell>
          <cell r="Q49" t="e">
            <v>#N/A</v>
          </cell>
          <cell r="R49">
            <v>15</v>
          </cell>
          <cell r="S49" t="str">
            <v>12/98</v>
          </cell>
          <cell r="T49">
            <v>0</v>
          </cell>
          <cell r="U49">
            <v>0.4</v>
          </cell>
          <cell r="V49">
            <v>0.4</v>
          </cell>
          <cell r="X49">
            <v>2.9290000000000003</v>
          </cell>
          <cell r="Y49">
            <v>0.95300000000000007</v>
          </cell>
          <cell r="Z49">
            <v>158.52500000000001</v>
          </cell>
          <cell r="AA49">
            <v>0</v>
          </cell>
          <cell r="AB49">
            <v>0</v>
          </cell>
          <cell r="AC49">
            <v>144.02100000000002</v>
          </cell>
          <cell r="AD49">
            <v>382.51780000000002</v>
          </cell>
          <cell r="AF49">
            <v>57.648375000000001</v>
          </cell>
          <cell r="AG49">
            <v>214.19737500000002</v>
          </cell>
          <cell r="AH49">
            <v>9.0625</v>
          </cell>
          <cell r="AI49">
            <v>9.0625</v>
          </cell>
          <cell r="AL49">
            <v>159.47800000000001</v>
          </cell>
          <cell r="AM49">
            <v>303.49900000000002</v>
          </cell>
          <cell r="AN49">
            <v>0.52546466380449353</v>
          </cell>
          <cell r="AO49" t="str">
            <v>N.R. / B</v>
          </cell>
          <cell r="AP49" t="str">
            <v>AMER RESIDENTIAL SVCS INC</v>
          </cell>
          <cell r="AR49" t="str">
            <v>HVAC services</v>
          </cell>
          <cell r="AT49" t="str">
            <v>Hou</v>
          </cell>
          <cell r="AV49" t="str">
            <v>TX</v>
          </cell>
          <cell r="AX49">
            <v>0</v>
          </cell>
          <cell r="BD49" t="str">
            <v>---</v>
          </cell>
          <cell r="BF49" t="str">
            <v>---</v>
          </cell>
          <cell r="BJ49" t="str">
            <v>---</v>
          </cell>
          <cell r="BL49" t="str">
            <v>---</v>
          </cell>
          <cell r="BR49">
            <v>0.88200000000000001</v>
          </cell>
          <cell r="BV49" t="str">
            <v>CVT$55-3/97/SBI; IPO$63-9/96/MG;</v>
          </cell>
        </row>
        <row r="50">
          <cell r="A50">
            <v>43</v>
          </cell>
          <cell r="B50" t="str">
            <v>TSY</v>
          </cell>
          <cell r="C50" t="str">
            <v>TSY.cf</v>
          </cell>
          <cell r="D50" t="str">
            <v>TECH-SYM CORP</v>
          </cell>
          <cell r="E50">
            <v>24</v>
          </cell>
          <cell r="F50">
            <v>7.8651685393258397E-2</v>
          </cell>
          <cell r="G50">
            <v>6.0720000000000001</v>
          </cell>
          <cell r="H50">
            <v>1.2000000000000002</v>
          </cell>
          <cell r="I50">
            <v>2.36</v>
          </cell>
          <cell r="J50">
            <v>3.38</v>
          </cell>
          <cell r="K50" t="e">
            <v>#N/A</v>
          </cell>
          <cell r="L50" t="e">
            <v>#N/A</v>
          </cell>
          <cell r="M50">
            <v>15</v>
          </cell>
          <cell r="N50" t="str">
            <v>12/99</v>
          </cell>
          <cell r="O50">
            <v>1.2000000000000002</v>
          </cell>
          <cell r="P50">
            <v>2.36</v>
          </cell>
          <cell r="Q50">
            <v>3.38</v>
          </cell>
          <cell r="R50">
            <v>15</v>
          </cell>
          <cell r="S50" t="str">
            <v>12/99</v>
          </cell>
          <cell r="T50">
            <v>0</v>
          </cell>
          <cell r="U50">
            <v>1.2000000000000002</v>
          </cell>
          <cell r="V50">
            <v>2.36</v>
          </cell>
          <cell r="X50">
            <v>3.2669999999999999</v>
          </cell>
          <cell r="Y50">
            <v>34.313000000000002</v>
          </cell>
          <cell r="Z50">
            <v>10.748000000000001</v>
          </cell>
          <cell r="AA50">
            <v>0</v>
          </cell>
          <cell r="AB50">
            <v>17.503</v>
          </cell>
          <cell r="AC50">
            <v>174.51400000000001</v>
          </cell>
          <cell r="AD50">
            <v>294.10000000000002</v>
          </cell>
          <cell r="AF50">
            <v>145.72800000000001</v>
          </cell>
          <cell r="AG50">
            <v>187.52199999999999</v>
          </cell>
          <cell r="AH50">
            <v>19.999999999999996</v>
          </cell>
          <cell r="AI50">
            <v>10.16949152542373</v>
          </cell>
          <cell r="AL50">
            <v>45.061000000000007</v>
          </cell>
          <cell r="AM50">
            <v>237.07800000000003</v>
          </cell>
          <cell r="AN50">
            <v>0.19006824758096491</v>
          </cell>
          <cell r="AO50" t="str">
            <v>N.R. / N.R.</v>
          </cell>
          <cell r="AP50" t="str">
            <v>TECH-SYM CORP</v>
          </cell>
          <cell r="AR50" t="str">
            <v>Diversified manufacturer</v>
          </cell>
          <cell r="AT50" t="str">
            <v>Hou</v>
          </cell>
          <cell r="AV50" t="str">
            <v>TX</v>
          </cell>
          <cell r="AX50">
            <v>0</v>
          </cell>
          <cell r="BD50" t="str">
            <v>---</v>
          </cell>
          <cell r="BF50" t="str">
            <v>---</v>
          </cell>
          <cell r="BJ50" t="str">
            <v>---</v>
          </cell>
          <cell r="BL50" t="str">
            <v>---</v>
          </cell>
        </row>
        <row r="51">
          <cell r="A51">
            <v>44</v>
          </cell>
          <cell r="B51" t="str">
            <v>LDRY</v>
          </cell>
          <cell r="C51" t="str">
            <v>LDRY.cf</v>
          </cell>
          <cell r="D51" t="str">
            <v>LANDRYS SEAFOOD RESTAURANTS</v>
          </cell>
          <cell r="E51">
            <v>5.875</v>
          </cell>
          <cell r="F51">
            <v>-0.21666666666666667</v>
          </cell>
          <cell r="G51">
            <v>30.344999999999999</v>
          </cell>
          <cell r="H51">
            <v>0.59499999999999997</v>
          </cell>
          <cell r="I51">
            <v>0.65</v>
          </cell>
          <cell r="J51" t="e">
            <v>#N/A</v>
          </cell>
          <cell r="K51" t="e">
            <v>#N/A</v>
          </cell>
          <cell r="L51" t="e">
            <v>#N/A</v>
          </cell>
          <cell r="M51">
            <v>12.5</v>
          </cell>
          <cell r="N51" t="str">
            <v>12/99</v>
          </cell>
          <cell r="O51">
            <v>0.59</v>
          </cell>
          <cell r="P51">
            <v>0.65</v>
          </cell>
          <cell r="Q51" t="e">
            <v>#N/A</v>
          </cell>
          <cell r="R51">
            <v>12.5</v>
          </cell>
          <cell r="S51" t="str">
            <v>12/99</v>
          </cell>
          <cell r="T51">
            <v>0</v>
          </cell>
          <cell r="U51">
            <v>0.59499999999999997</v>
          </cell>
          <cell r="V51">
            <v>0.65</v>
          </cell>
          <cell r="X51">
            <v>41.552</v>
          </cell>
          <cell r="Y51">
            <v>7.7999949999999998E-2</v>
          </cell>
          <cell r="Z51">
            <v>25.175000000000001</v>
          </cell>
          <cell r="AA51">
            <v>0</v>
          </cell>
          <cell r="AB51">
            <v>0</v>
          </cell>
          <cell r="AC51">
            <v>435.99190000000004</v>
          </cell>
          <cell r="AD51">
            <v>311.673</v>
          </cell>
          <cell r="AF51">
            <v>178.27687499999999</v>
          </cell>
          <cell r="AG51">
            <v>161.97787495</v>
          </cell>
          <cell r="AH51">
            <v>9.8739495798319332</v>
          </cell>
          <cell r="AI51">
            <v>9.0384615384615383</v>
          </cell>
          <cell r="AL51">
            <v>25.25299995</v>
          </cell>
          <cell r="AM51">
            <v>461.24489995000005</v>
          </cell>
          <cell r="AN51">
            <v>5.4749656750107109E-2</v>
          </cell>
          <cell r="AO51" t="str">
            <v>N.R. / N.R.</v>
          </cell>
          <cell r="AP51" t="str">
            <v>LANDRYS SEAFOOD RESTAURANTS</v>
          </cell>
          <cell r="AR51" t="str">
            <v>Seafood restaurants</v>
          </cell>
          <cell r="AT51" t="str">
            <v>Hou</v>
          </cell>
          <cell r="AV51" t="str">
            <v>TX</v>
          </cell>
          <cell r="AX51">
            <v>0</v>
          </cell>
          <cell r="BD51" t="str">
            <v>Haimes</v>
          </cell>
          <cell r="BF51" t="str">
            <v>Penney</v>
          </cell>
          <cell r="BJ51" t="str">
            <v>N</v>
          </cell>
          <cell r="BL51" t="str">
            <v>---</v>
          </cell>
          <cell r="BP51">
            <v>1.7829999999999999</v>
          </cell>
          <cell r="BR51">
            <v>2.8540000000000001</v>
          </cell>
          <cell r="BV51" t="str">
            <v>SO$130-3/98/NBM; IPO$116-5/96/MGS</v>
          </cell>
        </row>
        <row r="52">
          <cell r="A52">
            <v>45</v>
          </cell>
          <cell r="B52" t="str">
            <v>BBA</v>
          </cell>
          <cell r="C52" t="str">
            <v>BBA.cf</v>
          </cell>
          <cell r="D52" t="str">
            <v>BOMBAY CO INC</v>
          </cell>
          <cell r="E52">
            <v>4</v>
          </cell>
          <cell r="F52">
            <v>-0.27272727272727271</v>
          </cell>
          <cell r="G52">
            <v>37.300000000000004</v>
          </cell>
          <cell r="H52">
            <v>0.24</v>
          </cell>
          <cell r="I52">
            <v>0.35499999999999998</v>
          </cell>
          <cell r="J52" t="e">
            <v>#N/A</v>
          </cell>
          <cell r="K52" t="e">
            <v>#N/A</v>
          </cell>
          <cell r="L52" t="e">
            <v>#N/A</v>
          </cell>
          <cell r="M52">
            <v>40</v>
          </cell>
          <cell r="N52" t="str">
            <v>01/00</v>
          </cell>
          <cell r="O52">
            <v>0.24</v>
          </cell>
          <cell r="P52">
            <v>0.30000000000000004</v>
          </cell>
          <cell r="Q52" t="e">
            <v>#N/A</v>
          </cell>
          <cell r="R52">
            <v>17.5</v>
          </cell>
          <cell r="S52" t="str">
            <v>1/00</v>
          </cell>
          <cell r="T52">
            <v>0</v>
          </cell>
          <cell r="U52">
            <v>0.34541666666666665</v>
          </cell>
          <cell r="V52" t="e">
            <v>#N/A</v>
          </cell>
          <cell r="X52">
            <v>9.7650000000000006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146.49</v>
          </cell>
          <cell r="AD52">
            <v>332.577</v>
          </cell>
          <cell r="AF52">
            <v>149.20000000000002</v>
          </cell>
          <cell r="AG52">
            <v>139.435</v>
          </cell>
          <cell r="AH52">
            <v>11.580217129071171</v>
          </cell>
          <cell r="AI52" t="str">
            <v>---</v>
          </cell>
          <cell r="AL52">
            <v>0</v>
          </cell>
          <cell r="AM52">
            <v>146.49</v>
          </cell>
          <cell r="AN52">
            <v>0</v>
          </cell>
          <cell r="AO52" t="str">
            <v>N.R. / N.R.</v>
          </cell>
          <cell r="AP52" t="str">
            <v>BOMBAY CO INC</v>
          </cell>
          <cell r="AR52" t="str">
            <v>Home furnishings</v>
          </cell>
          <cell r="AT52" t="str">
            <v>FW</v>
          </cell>
          <cell r="AV52" t="str">
            <v>TX</v>
          </cell>
          <cell r="AX52">
            <v>0</v>
          </cell>
          <cell r="BD52" t="str">
            <v>Aaron</v>
          </cell>
          <cell r="BF52" t="str">
            <v>---</v>
          </cell>
          <cell r="BJ52" t="str">
            <v>---</v>
          </cell>
          <cell r="BL52" t="str">
            <v>---</v>
          </cell>
        </row>
        <row r="53">
          <cell r="A53">
            <v>46</v>
          </cell>
          <cell r="B53" t="str">
            <v>GADZ</v>
          </cell>
          <cell r="C53" t="str">
            <v>GADZ.cf</v>
          </cell>
          <cell r="D53" t="str">
            <v>GADZOOKS INC</v>
          </cell>
          <cell r="E53">
            <v>7.8125</v>
          </cell>
          <cell r="F53">
            <v>8.0645161290322509E-3</v>
          </cell>
          <cell r="G53">
            <v>8.89</v>
          </cell>
          <cell r="H53">
            <v>0.49</v>
          </cell>
          <cell r="I53">
            <v>0.52</v>
          </cell>
          <cell r="J53" t="e">
            <v>#N/A</v>
          </cell>
          <cell r="K53" t="e">
            <v>#N/A</v>
          </cell>
          <cell r="L53" t="e">
            <v>#N/A</v>
          </cell>
          <cell r="M53">
            <v>25</v>
          </cell>
          <cell r="N53" t="str">
            <v>01/00</v>
          </cell>
          <cell r="O53">
            <v>0.49</v>
          </cell>
          <cell r="P53">
            <v>0.52</v>
          </cell>
          <cell r="Q53" t="e">
            <v>#N/A</v>
          </cell>
          <cell r="R53">
            <v>25</v>
          </cell>
          <cell r="S53" t="str">
            <v>1/00</v>
          </cell>
          <cell r="T53">
            <v>0</v>
          </cell>
          <cell r="U53">
            <v>0.51750000000000007</v>
          </cell>
          <cell r="V53" t="e">
            <v>#N/A</v>
          </cell>
          <cell r="X53">
            <v>6.9750000000000005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60.148000000000003</v>
          </cell>
          <cell r="AD53">
            <v>171.63900000000001</v>
          </cell>
          <cell r="AF53">
            <v>69.453125</v>
          </cell>
          <cell r="AG53">
            <v>62.478124999999999</v>
          </cell>
          <cell r="AH53">
            <v>15.096618357487921</v>
          </cell>
          <cell r="AI53" t="str">
            <v>---</v>
          </cell>
          <cell r="AL53">
            <v>0</v>
          </cell>
          <cell r="AM53">
            <v>60.148000000000003</v>
          </cell>
          <cell r="AN53">
            <v>0</v>
          </cell>
          <cell r="AO53" t="str">
            <v>N.R. / N.R.</v>
          </cell>
          <cell r="AP53" t="str">
            <v>GADZOOKS INC</v>
          </cell>
          <cell r="AR53" t="str">
            <v>Casual apparel stores</v>
          </cell>
          <cell r="AT53" t="str">
            <v>Dal</v>
          </cell>
          <cell r="AV53" t="str">
            <v>TX</v>
          </cell>
          <cell r="AX53">
            <v>0</v>
          </cell>
          <cell r="BD53" t="str">
            <v>Aaron</v>
          </cell>
          <cell r="BF53" t="str">
            <v>---</v>
          </cell>
          <cell r="BJ53" t="str">
            <v>---</v>
          </cell>
          <cell r="BL53" t="str">
            <v>---</v>
          </cell>
          <cell r="BR53">
            <v>0.377</v>
          </cell>
          <cell r="BV53" t="str">
            <v>SO$37-1/96/MGS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2"/>
      <sheetName val="Model Introduction"/>
      <sheetName val="Macro1"/>
      <sheetName val="NYSE DYN"/>
      <sheetName val="Macro3"/>
      <sheetName val="Segment Analysis"/>
      <sheetName val="Expansions"/>
      <sheetName val="Acquisitions"/>
      <sheetName val="Events"/>
      <sheetName val="Mgmt."/>
      <sheetName val="Financing"/>
      <sheetName val="Maturities"/>
      <sheetName val="Assumptions"/>
      <sheetName val="GEN BY REGION"/>
      <sheetName val="Charts"/>
      <sheetName val="To Do"/>
      <sheetName val="Corporate History"/>
      <sheetName val="Liquidity"/>
      <sheetName val="Generation Asse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COC"/>
      <sheetName val="NEPS"/>
      <sheetName val="Quarterly"/>
      <sheetName val="BS"/>
      <sheetName val="P"/>
      <sheetName val="ROCE"/>
      <sheetName val="R&amp;M"/>
      <sheetName val="Variance"/>
      <sheetName val="US E&amp;P"/>
      <sheetName val="Eu.E&amp;P"/>
      <sheetName val="Other E&amp;P"/>
      <sheetName val="COC vs. Wood Mac Prod. Profile"/>
      <sheetName val="E&amp;P-Conoco"/>
      <sheetName val="E&amp;P-Total"/>
      <sheetName val="GOU"/>
      <sheetName val="Corp. "/>
      <sheetName val="PETROZUATA"/>
      <sheetName val="Emerging Bus."/>
      <sheetName val="Lifting_DD&amp;A"/>
      <sheetName val="RefineryMaint"/>
      <sheetName val="PZ2"/>
      <sheetName val="Corporate ROGIC"/>
      <sheetName val="Capex"/>
      <sheetName val="WACC"/>
      <sheetName val="NAV"/>
      <sheetName val="Reserves"/>
      <sheetName val="Charts"/>
      <sheetName val="Debt Cov"/>
      <sheetName val="NG&amp;GP"/>
      <sheetName val="LOBO"/>
      <sheetName val="Pro-Forma Reserves"/>
      <sheetName val="F&amp;D"/>
      <sheetName val="Split"/>
      <sheetName val="GE Data"/>
      <sheetName val="IndexInformation"/>
      <sheetName val="mStartup"/>
      <sheetName val="NY UPLOAD"/>
      <sheetName val="NY UPLOAD shad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K6">
            <v>337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ecurities"/>
      <sheetName val="Model_Template"/>
      <sheetName val="Q&amp;A"/>
      <sheetName val="mwareDates"/>
      <sheetName val="mwareSettings"/>
      <sheetName val="Quarterly"/>
      <sheetName val="INPUT"/>
      <sheetName val="Val"/>
      <sheetName val="PRINT SHEET"/>
      <sheetName val="Key Metrics"/>
      <sheetName val="Profile"/>
      <sheetName val="STA GRAPHS"/>
      <sheetName val="RESIDUAL INCOME"/>
      <sheetName val="Employee"/>
      <sheetName val="Individual"/>
      <sheetName val="Assumptions"/>
      <sheetName val="BS"/>
      <sheetName val="UPS-GAS"/>
      <sheetName val="Combo Box"/>
      <sheetName val="MMD"/>
      <sheetName val="Model"/>
      <sheetName val="MATQTRS"/>
      <sheetName val="UNIV-EBS DATA"/>
      <sheetName val="Ratios"/>
      <sheetName val="MATINC"/>
      <sheetName val="MATBAL"/>
      <sheetName val="Macro1"/>
      <sheetName val="Macro2"/>
      <sheetName val="Analysis"/>
      <sheetName val="MACRS"/>
      <sheetName val="Valuation"/>
      <sheetName val="DATA"/>
      <sheetName val="LXK"/>
      <sheetName val="FutureAcq"/>
      <sheetName val="Credit Output"/>
      <sheetName val="CalcsMO"/>
      <sheetName val=" Capital"/>
      <sheetName val="New Business"/>
      <sheetName val="yearly"/>
      <sheetName val="OnAir"/>
      <sheetName val="RELPE"/>
      <sheetName val="SALESCAT"/>
      <sheetName val="MATCASH"/>
      <sheetName val="FinSum"/>
      <sheetName val="Aladdin Macro1"/>
      <sheetName val="Gas"/>
      <sheetName val="Off Peak"/>
      <sheetName val="Peak"/>
      <sheetName val="Scenario"/>
      <sheetName val="WY"/>
      <sheetName val="changes in EST"/>
      <sheetName val="US peers EBIT Margins"/>
      <sheetName val="Sheet7"/>
      <sheetName val="NKEBALST"/>
      <sheetName val="NKEQTRIN"/>
      <sheetName val="Monthly Spot"/>
      <sheetName val="Sheet1"/>
      <sheetName val="main"/>
      <sheetName val="Model (Euro)"/>
      <sheetName val="DMK"/>
      <sheetName val="Cashflow Model"/>
      <sheetName val="premium detail - P&amp;C"/>
      <sheetName val="Sainsbury"/>
      <sheetName val="Monthly figures"/>
      <sheetName val="Operations"/>
      <sheetName val="Balance Sheet"/>
      <sheetName val="Annual"/>
      <sheetName val="Accounts&amp;Forecasts"/>
      <sheetName val="macros"/>
      <sheetName val="単独"/>
      <sheetName val="ｾｸﾞﾒﾝﾄ"/>
      <sheetName val="dist"/>
      <sheetName val="NY UPLOAD"/>
      <sheetName val="Output"/>
      <sheetName val="Transaction Summary"/>
      <sheetName val="LLCConsSort"/>
      <sheetName val="summary"/>
      <sheetName val="Hidden"/>
      <sheetName val="P&amp;L"/>
      <sheetName val="Core Model Inputs"/>
      <sheetName val="XOM"/>
      <sheetName val="Published"/>
      <sheetName val="EEV P&amp;L"/>
      <sheetName val="Capital"/>
      <sheetName val="IFRS"/>
      <sheetName val="Income Statement"/>
      <sheetName val="Income"/>
      <sheetName val="MDRN"/>
      <sheetName val="Notes"/>
      <sheetName val="NKEANNL"/>
      <sheetName val="Glob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zard"/>
      <sheetName val="databox"/>
      <sheetName val="P&amp;L"/>
      <sheetName val="RPI"/>
      <sheetName val="BS"/>
      <sheetName val="CF"/>
      <sheetName val="Graphs"/>
      <sheetName val="Interest"/>
      <sheetName val="Assumptions"/>
      <sheetName val="wells drilled"/>
      <sheetName val="APL Dividend-FY 2001"/>
      <sheetName val="APL Dividend-FY 2002"/>
      <sheetName val="Highly Profitable Capital Raise"/>
      <sheetName val="Value of Maint. Contracts"/>
      <sheetName val="NAV"/>
      <sheetName val="North Am. LSP Valuation"/>
      <sheetName val="RPI Analysis"/>
      <sheetName val="Energy Analysis"/>
      <sheetName val="EBITDA Breakdown"/>
      <sheetName val="Crib sheet"/>
      <sheetName val="REXI Misc. 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Resource America, Inc.</v>
          </cell>
        </row>
        <row r="2">
          <cell r="A2" t="str">
            <v>Statement of Cash Flows</v>
          </cell>
        </row>
        <row r="3">
          <cell r="A3" t="str">
            <v>FY 2001-02 Projections</v>
          </cell>
        </row>
        <row r="4">
          <cell r="A4" t="str">
            <v>(in $000's)</v>
          </cell>
          <cell r="AE4" t="str">
            <v>INTERNAL USE ONLY</v>
          </cell>
        </row>
        <row r="7">
          <cell r="B7" t="str">
            <v>ACTUAL</v>
          </cell>
          <cell r="C7" t="str">
            <v>ACTUAL</v>
          </cell>
          <cell r="D7" t="str">
            <v>ACTUAL</v>
          </cell>
          <cell r="E7" t="str">
            <v>ACTUAL</v>
          </cell>
          <cell r="F7" t="str">
            <v>YTD</v>
          </cell>
          <cell r="G7" t="str">
            <v>ACTUAL</v>
          </cell>
          <cell r="H7" t="str">
            <v>YTD</v>
          </cell>
          <cell r="I7" t="str">
            <v>ACTUAL</v>
          </cell>
          <cell r="J7" t="str">
            <v>TOTAL</v>
          </cell>
          <cell r="K7" t="str">
            <v>ACTUAL</v>
          </cell>
          <cell r="L7" t="str">
            <v>ACTUAL</v>
          </cell>
          <cell r="M7" t="str">
            <v>YTD</v>
          </cell>
          <cell r="N7" t="str">
            <v>ACTUAL</v>
          </cell>
          <cell r="O7" t="str">
            <v>YTD</v>
          </cell>
          <cell r="P7" t="str">
            <v>ACTUAL</v>
          </cell>
          <cell r="Q7" t="str">
            <v>TOTAL</v>
          </cell>
          <cell r="R7" t="str">
            <v>ACTUAL</v>
          </cell>
          <cell r="S7" t="str">
            <v>ACTUAL</v>
          </cell>
          <cell r="T7" t="str">
            <v>YTD</v>
          </cell>
          <cell r="U7" t="str">
            <v>ACTUAL</v>
          </cell>
          <cell r="V7" t="str">
            <v>YTD</v>
          </cell>
          <cell r="W7" t="str">
            <v>ACTUAL</v>
          </cell>
          <cell r="X7" t="str">
            <v>TOTAL</v>
          </cell>
          <cell r="Z7" t="str">
            <v>(Projected)</v>
          </cell>
          <cell r="AA7" t="str">
            <v>(Projected)</v>
          </cell>
          <cell r="AB7" t="str">
            <v>YTD</v>
          </cell>
          <cell r="AC7" t="str">
            <v>(Projected)</v>
          </cell>
          <cell r="AD7" t="str">
            <v>YTD</v>
          </cell>
          <cell r="AE7" t="str">
            <v>(Projected)</v>
          </cell>
          <cell r="AF7" t="str">
            <v>TOTAL</v>
          </cell>
          <cell r="AG7" t="str">
            <v>(Projected)</v>
          </cell>
          <cell r="AH7" t="str">
            <v>TOTAL</v>
          </cell>
          <cell r="AI7" t="str">
            <v>(Projected)</v>
          </cell>
          <cell r="AJ7" t="str">
            <v>TOTAL</v>
          </cell>
          <cell r="AK7" t="str">
            <v>(Projected)</v>
          </cell>
          <cell r="AL7" t="str">
            <v>TOTAL</v>
          </cell>
          <cell r="AM7" t="str">
            <v>(Projected)</v>
          </cell>
          <cell r="AN7" t="str">
            <v>TOTAL</v>
          </cell>
        </row>
        <row r="8">
          <cell r="B8" t="str">
            <v>FY 1997</v>
          </cell>
          <cell r="C8" t="str">
            <v>FY 1998</v>
          </cell>
          <cell r="D8" t="str">
            <v>Q1-FY 1999</v>
          </cell>
          <cell r="E8" t="str">
            <v>Q2-FY 1999</v>
          </cell>
          <cell r="F8">
            <v>36250</v>
          </cell>
          <cell r="G8" t="str">
            <v>Q3-FY 1999</v>
          </cell>
          <cell r="H8">
            <v>36341</v>
          </cell>
          <cell r="I8" t="str">
            <v>Q4-FY 1999</v>
          </cell>
          <cell r="J8" t="str">
            <v>FY 1999</v>
          </cell>
          <cell r="K8" t="str">
            <v>Q1-FY 2000</v>
          </cell>
          <cell r="L8" t="str">
            <v>Q2-FY 2000</v>
          </cell>
          <cell r="M8">
            <v>36615</v>
          </cell>
          <cell r="N8" t="str">
            <v>Q3-FY 2000</v>
          </cell>
          <cell r="O8">
            <v>36707</v>
          </cell>
          <cell r="P8" t="str">
            <v>Q4-FY 2000</v>
          </cell>
          <cell r="Q8" t="str">
            <v>FY 2000</v>
          </cell>
          <cell r="R8" t="str">
            <v>Q1-FY 2001</v>
          </cell>
          <cell r="S8" t="str">
            <v>Q2-FY 2001</v>
          </cell>
          <cell r="T8">
            <v>36981</v>
          </cell>
          <cell r="U8" t="str">
            <v>Q3-FY 2001</v>
          </cell>
          <cell r="V8">
            <v>37043</v>
          </cell>
          <cell r="W8" t="str">
            <v>Q4-FY 2001</v>
          </cell>
          <cell r="X8" t="str">
            <v>FY 2001</v>
          </cell>
          <cell r="Z8" t="str">
            <v>1Q02</v>
          </cell>
          <cell r="AA8" t="str">
            <v>2Q02</v>
          </cell>
          <cell r="AB8">
            <v>37346</v>
          </cell>
          <cell r="AC8" t="str">
            <v>3Q02E</v>
          </cell>
          <cell r="AD8">
            <v>37408</v>
          </cell>
          <cell r="AE8" t="str">
            <v>4Q02E</v>
          </cell>
          <cell r="AF8" t="str">
            <v>FY 2002E</v>
          </cell>
          <cell r="AG8" t="str">
            <v>1Q03</v>
          </cell>
          <cell r="AH8" t="str">
            <v>FY 2003</v>
          </cell>
          <cell r="AI8" t="str">
            <v>2Q03</v>
          </cell>
          <cell r="AJ8" t="str">
            <v>FY 2003</v>
          </cell>
          <cell r="AK8" t="str">
            <v>3Q03E</v>
          </cell>
          <cell r="AL8" t="str">
            <v>FY 2003</v>
          </cell>
          <cell r="AM8" t="str">
            <v>4Q03E</v>
          </cell>
          <cell r="AN8" t="str">
            <v>FY 2003E</v>
          </cell>
        </row>
        <row r="9">
          <cell r="A9" t="str">
            <v>Cash Flows from operating activities:</v>
          </cell>
        </row>
        <row r="11">
          <cell r="A11" t="str">
            <v>Net Income</v>
          </cell>
          <cell r="B11">
            <v>10951</v>
          </cell>
          <cell r="C11">
            <v>27611</v>
          </cell>
          <cell r="D11">
            <v>5264</v>
          </cell>
          <cell r="E11">
            <v>6974</v>
          </cell>
          <cell r="F11">
            <v>12238</v>
          </cell>
          <cell r="G11">
            <v>7318</v>
          </cell>
          <cell r="H11">
            <v>19556</v>
          </cell>
          <cell r="I11">
            <v>-1984</v>
          </cell>
          <cell r="J11">
            <v>18460</v>
          </cell>
          <cell r="K11">
            <v>3159</v>
          </cell>
          <cell r="L11">
            <v>773</v>
          </cell>
          <cell r="M11">
            <v>3932</v>
          </cell>
          <cell r="N11">
            <v>1268</v>
          </cell>
          <cell r="O11">
            <v>5200</v>
          </cell>
          <cell r="P11">
            <v>12965</v>
          </cell>
          <cell r="Q11">
            <v>18165</v>
          </cell>
          <cell r="R11">
            <v>3310</v>
          </cell>
          <cell r="S11">
            <v>4410.9815619119281</v>
          </cell>
          <cell r="T11">
            <v>7720.9815619119281</v>
          </cell>
          <cell r="U11">
            <v>2231</v>
          </cell>
          <cell r="V11">
            <v>9951.981561911929</v>
          </cell>
          <cell r="W11">
            <v>-123.13797993013486</v>
          </cell>
          <cell r="X11">
            <v>9828.8435819817932</v>
          </cell>
          <cell r="Z11">
            <v>3597</v>
          </cell>
          <cell r="AA11">
            <v>3567.95</v>
          </cell>
          <cell r="AB11">
            <v>7164.95</v>
          </cell>
          <cell r="AC11">
            <v>6</v>
          </cell>
          <cell r="AD11">
            <v>7170.95</v>
          </cell>
          <cell r="AE11">
            <v>1224</v>
          </cell>
          <cell r="AF11">
            <v>8394.9500000000007</v>
          </cell>
          <cell r="AG11">
            <v>1781</v>
          </cell>
          <cell r="AH11">
            <v>1781</v>
          </cell>
          <cell r="AI11">
            <v>3095</v>
          </cell>
          <cell r="AJ11">
            <v>4876</v>
          </cell>
          <cell r="AK11">
            <v>3486.1508999999996</v>
          </cell>
          <cell r="AL11">
            <v>8362.1509000000005</v>
          </cell>
          <cell r="AM11">
            <v>3937.6911903797927</v>
          </cell>
          <cell r="AN11">
            <v>12299.842090379792</v>
          </cell>
        </row>
        <row r="13">
          <cell r="A13" t="str">
            <v>Depreciation, Depletion &amp; Amortization</v>
          </cell>
          <cell r="B13">
            <v>1614</v>
          </cell>
          <cell r="C13">
            <v>2641</v>
          </cell>
          <cell r="D13">
            <v>1627</v>
          </cell>
          <cell r="E13">
            <v>999</v>
          </cell>
          <cell r="F13">
            <v>2626</v>
          </cell>
          <cell r="G13">
            <v>1177</v>
          </cell>
          <cell r="H13">
            <v>3803</v>
          </cell>
          <cell r="I13">
            <v>2182</v>
          </cell>
          <cell r="J13">
            <v>5985</v>
          </cell>
          <cell r="K13">
            <v>3229</v>
          </cell>
          <cell r="L13">
            <v>1870</v>
          </cell>
          <cell r="M13">
            <v>5099</v>
          </cell>
          <cell r="N13">
            <v>2866</v>
          </cell>
          <cell r="O13">
            <v>7965</v>
          </cell>
          <cell r="P13">
            <v>1907</v>
          </cell>
          <cell r="Q13">
            <v>9872</v>
          </cell>
          <cell r="R13">
            <v>2634.0054304</v>
          </cell>
          <cell r="S13">
            <v>2580.8580025282195</v>
          </cell>
          <cell r="T13">
            <v>5214.8634329282195</v>
          </cell>
          <cell r="U13">
            <v>2884</v>
          </cell>
          <cell r="V13">
            <v>8098.8634329282195</v>
          </cell>
          <cell r="W13">
            <v>2939</v>
          </cell>
          <cell r="X13">
            <v>11037.863432928219</v>
          </cell>
          <cell r="Z13">
            <v>2797</v>
          </cell>
          <cell r="AA13">
            <v>2583</v>
          </cell>
          <cell r="AB13">
            <v>5380</v>
          </cell>
          <cell r="AC13">
            <v>2823</v>
          </cell>
          <cell r="AD13">
            <v>8203</v>
          </cell>
          <cell r="AE13">
            <v>2958</v>
          </cell>
          <cell r="AF13">
            <v>11161</v>
          </cell>
          <cell r="AG13">
            <v>2983</v>
          </cell>
          <cell r="AH13">
            <v>2983</v>
          </cell>
          <cell r="AI13">
            <v>3103</v>
          </cell>
          <cell r="AJ13">
            <v>6086</v>
          </cell>
          <cell r="AK13">
            <v>3247</v>
          </cell>
          <cell r="AL13">
            <v>9333</v>
          </cell>
          <cell r="AM13">
            <v>2806.0804671999999</v>
          </cell>
          <cell r="AN13">
            <v>12139.080467199999</v>
          </cell>
        </row>
        <row r="14">
          <cell r="A14" t="str">
            <v>Amortization of discount on senior notes and def costs</v>
          </cell>
          <cell r="B14">
            <v>657</v>
          </cell>
          <cell r="C14">
            <v>1045</v>
          </cell>
          <cell r="D14">
            <v>269</v>
          </cell>
          <cell r="E14">
            <v>287</v>
          </cell>
          <cell r="F14">
            <v>556</v>
          </cell>
          <cell r="G14">
            <v>426</v>
          </cell>
          <cell r="H14">
            <v>982</v>
          </cell>
          <cell r="I14">
            <v>259</v>
          </cell>
          <cell r="J14">
            <v>1241</v>
          </cell>
          <cell r="K14">
            <v>406</v>
          </cell>
          <cell r="L14">
            <v>156</v>
          </cell>
          <cell r="M14">
            <v>562</v>
          </cell>
          <cell r="N14">
            <v>279</v>
          </cell>
          <cell r="O14">
            <v>841</v>
          </cell>
          <cell r="P14">
            <v>269</v>
          </cell>
          <cell r="Q14">
            <v>1110</v>
          </cell>
          <cell r="R14">
            <v>222</v>
          </cell>
          <cell r="S14">
            <v>244</v>
          </cell>
          <cell r="T14">
            <v>466</v>
          </cell>
          <cell r="U14">
            <v>304</v>
          </cell>
          <cell r="V14">
            <v>770</v>
          </cell>
          <cell r="W14">
            <v>235</v>
          </cell>
          <cell r="X14">
            <v>1005</v>
          </cell>
          <cell r="Z14">
            <v>251</v>
          </cell>
          <cell r="AA14">
            <v>235</v>
          </cell>
          <cell r="AB14">
            <v>486</v>
          </cell>
          <cell r="AC14">
            <v>651</v>
          </cell>
          <cell r="AD14">
            <v>1137</v>
          </cell>
          <cell r="AE14">
            <v>200</v>
          </cell>
          <cell r="AF14">
            <v>1337</v>
          </cell>
          <cell r="AG14">
            <v>333</v>
          </cell>
          <cell r="AH14">
            <v>333</v>
          </cell>
          <cell r="AI14">
            <v>317.14</v>
          </cell>
          <cell r="AJ14">
            <v>650.14</v>
          </cell>
          <cell r="AK14">
            <v>301.27999999999997</v>
          </cell>
          <cell r="AL14">
            <v>951.42</v>
          </cell>
          <cell r="AM14">
            <v>285.41999999999996</v>
          </cell>
          <cell r="AN14">
            <v>1236.8399999999999</v>
          </cell>
        </row>
        <row r="15">
          <cell r="A15" t="str">
            <v>Provision For Possible Losses</v>
          </cell>
          <cell r="B15">
            <v>653</v>
          </cell>
          <cell r="C15">
            <v>2213</v>
          </cell>
          <cell r="D15">
            <v>537</v>
          </cell>
          <cell r="E15">
            <v>-212</v>
          </cell>
          <cell r="F15">
            <v>325</v>
          </cell>
          <cell r="G15">
            <v>75</v>
          </cell>
          <cell r="H15">
            <v>400</v>
          </cell>
          <cell r="I15">
            <v>100</v>
          </cell>
          <cell r="J15">
            <v>500</v>
          </cell>
          <cell r="K15">
            <v>1858</v>
          </cell>
          <cell r="L15">
            <v>-1413</v>
          </cell>
          <cell r="M15">
            <v>445</v>
          </cell>
          <cell r="N15">
            <v>225</v>
          </cell>
          <cell r="O15">
            <v>670</v>
          </cell>
          <cell r="P15">
            <v>266</v>
          </cell>
          <cell r="Q15">
            <v>936</v>
          </cell>
          <cell r="R15">
            <v>506</v>
          </cell>
          <cell r="S15">
            <v>150</v>
          </cell>
          <cell r="T15">
            <v>656</v>
          </cell>
          <cell r="U15">
            <v>150</v>
          </cell>
          <cell r="V15">
            <v>806</v>
          </cell>
          <cell r="W15">
            <v>57</v>
          </cell>
          <cell r="X15">
            <v>863</v>
          </cell>
          <cell r="Z15">
            <v>150</v>
          </cell>
          <cell r="AA15">
            <v>650</v>
          </cell>
          <cell r="AB15">
            <v>800</v>
          </cell>
          <cell r="AC15">
            <v>93</v>
          </cell>
          <cell r="AD15">
            <v>893</v>
          </cell>
          <cell r="AE15">
            <v>500</v>
          </cell>
          <cell r="AF15">
            <v>1393</v>
          </cell>
          <cell r="AG15">
            <v>373</v>
          </cell>
          <cell r="AH15">
            <v>373</v>
          </cell>
          <cell r="AI15">
            <v>800</v>
          </cell>
          <cell r="AJ15">
            <v>1173</v>
          </cell>
          <cell r="AK15">
            <v>375</v>
          </cell>
          <cell r="AL15">
            <v>1548</v>
          </cell>
          <cell r="AM15">
            <v>375</v>
          </cell>
          <cell r="AN15">
            <v>1923</v>
          </cell>
        </row>
        <row r="16">
          <cell r="A16" t="str">
            <v>Amortization of initial direct costs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766</v>
          </cell>
          <cell r="L16">
            <v>-766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X16">
            <v>0</v>
          </cell>
          <cell r="Z16">
            <v>0</v>
          </cell>
          <cell r="AA16">
            <v>0</v>
          </cell>
          <cell r="AC16">
            <v>0</v>
          </cell>
          <cell r="AE16">
            <v>0</v>
          </cell>
          <cell r="AF16">
            <v>0</v>
          </cell>
          <cell r="AG16">
            <v>0</v>
          </cell>
          <cell r="AI16">
            <v>0</v>
          </cell>
          <cell r="AK16">
            <v>0</v>
          </cell>
          <cell r="AM16">
            <v>0</v>
          </cell>
          <cell r="AN16">
            <v>0</v>
          </cell>
        </row>
        <row r="17">
          <cell r="A17" t="str">
            <v>Minority interest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360</v>
          </cell>
          <cell r="M17">
            <v>360</v>
          </cell>
          <cell r="N17">
            <v>770</v>
          </cell>
          <cell r="O17">
            <v>1130</v>
          </cell>
          <cell r="P17">
            <v>928</v>
          </cell>
          <cell r="Q17">
            <v>2058</v>
          </cell>
          <cell r="R17">
            <v>1019</v>
          </cell>
          <cell r="S17">
            <v>1591</v>
          </cell>
          <cell r="T17">
            <v>2610</v>
          </cell>
          <cell r="U17">
            <v>895</v>
          </cell>
          <cell r="V17">
            <v>3505</v>
          </cell>
          <cell r="W17">
            <v>594</v>
          </cell>
          <cell r="X17">
            <v>4099</v>
          </cell>
          <cell r="Z17">
            <v>0</v>
          </cell>
          <cell r="AA17">
            <v>0</v>
          </cell>
          <cell r="AB17">
            <v>0</v>
          </cell>
          <cell r="AC17">
            <v>568</v>
          </cell>
          <cell r="AD17">
            <v>568</v>
          </cell>
          <cell r="AE17">
            <v>645</v>
          </cell>
          <cell r="AF17">
            <v>1213</v>
          </cell>
          <cell r="AG17">
            <v>645</v>
          </cell>
          <cell r="AH17">
            <v>645</v>
          </cell>
          <cell r="AI17">
            <v>884</v>
          </cell>
          <cell r="AJ17">
            <v>1529</v>
          </cell>
          <cell r="AK17">
            <v>1445</v>
          </cell>
          <cell r="AL17">
            <v>2974</v>
          </cell>
          <cell r="AM17">
            <v>1500</v>
          </cell>
          <cell r="AN17">
            <v>4474</v>
          </cell>
        </row>
        <row r="18">
          <cell r="A18" t="str">
            <v>(Earnings)/Loss in Equity investment</v>
          </cell>
          <cell r="B18">
            <v>0</v>
          </cell>
          <cell r="C18">
            <v>0</v>
          </cell>
          <cell r="D18">
            <v>732</v>
          </cell>
          <cell r="E18">
            <v>-732</v>
          </cell>
          <cell r="F18">
            <v>0</v>
          </cell>
          <cell r="G18">
            <v>0</v>
          </cell>
          <cell r="H18">
            <v>0</v>
          </cell>
          <cell r="I18">
            <v>49</v>
          </cell>
          <cell r="J18">
            <v>49</v>
          </cell>
          <cell r="K18">
            <v>0</v>
          </cell>
          <cell r="L18">
            <v>0</v>
          </cell>
          <cell r="M18">
            <v>0</v>
          </cell>
          <cell r="N18">
            <v>-453</v>
          </cell>
          <cell r="O18">
            <v>-453</v>
          </cell>
          <cell r="P18">
            <v>1585</v>
          </cell>
          <cell r="Q18">
            <v>1132</v>
          </cell>
          <cell r="R18">
            <v>520</v>
          </cell>
          <cell r="S18">
            <v>440</v>
          </cell>
          <cell r="T18">
            <v>960</v>
          </cell>
          <cell r="U18">
            <v>239</v>
          </cell>
          <cell r="V18">
            <v>1199</v>
          </cell>
          <cell r="W18">
            <v>294</v>
          </cell>
          <cell r="X18">
            <v>1493</v>
          </cell>
          <cell r="Z18">
            <v>215</v>
          </cell>
          <cell r="AA18">
            <v>269</v>
          </cell>
          <cell r="AB18">
            <v>484</v>
          </cell>
          <cell r="AC18">
            <v>1099</v>
          </cell>
          <cell r="AD18">
            <v>1583</v>
          </cell>
          <cell r="AE18">
            <v>599</v>
          </cell>
          <cell r="AF18">
            <v>2182</v>
          </cell>
          <cell r="AG18">
            <v>348</v>
          </cell>
          <cell r="AH18">
            <v>348</v>
          </cell>
          <cell r="AI18">
            <v>-108</v>
          </cell>
          <cell r="AJ18">
            <v>240</v>
          </cell>
          <cell r="AK18">
            <v>1468</v>
          </cell>
          <cell r="AL18">
            <v>1708</v>
          </cell>
          <cell r="AM18">
            <v>1000</v>
          </cell>
          <cell r="AN18">
            <v>2708</v>
          </cell>
        </row>
        <row r="19">
          <cell r="A19" t="str">
            <v>Income from operations of discontinued subsidiary</v>
          </cell>
          <cell r="B19">
            <v>0</v>
          </cell>
          <cell r="C19">
            <v>0</v>
          </cell>
          <cell r="D19">
            <v>0</v>
          </cell>
          <cell r="E19">
            <v>-26</v>
          </cell>
          <cell r="F19">
            <v>-26</v>
          </cell>
          <cell r="G19">
            <v>1065</v>
          </cell>
          <cell r="H19">
            <v>1039</v>
          </cell>
          <cell r="I19">
            <v>4647</v>
          </cell>
          <cell r="J19">
            <v>5686</v>
          </cell>
          <cell r="K19">
            <v>0</v>
          </cell>
          <cell r="L19">
            <v>-453</v>
          </cell>
          <cell r="M19">
            <v>-453</v>
          </cell>
          <cell r="N19">
            <v>453</v>
          </cell>
          <cell r="O19">
            <v>0</v>
          </cell>
          <cell r="P19">
            <v>-476</v>
          </cell>
          <cell r="Q19">
            <v>-476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Z19">
            <v>0</v>
          </cell>
          <cell r="AA19">
            <v>0</v>
          </cell>
          <cell r="AC19">
            <v>0</v>
          </cell>
          <cell r="AE19">
            <v>0</v>
          </cell>
          <cell r="AF19">
            <v>0</v>
          </cell>
          <cell r="AG19">
            <v>0</v>
          </cell>
          <cell r="AI19">
            <v>0</v>
          </cell>
          <cell r="AK19">
            <v>0</v>
          </cell>
          <cell r="AM19">
            <v>0</v>
          </cell>
          <cell r="AN19">
            <v>0</v>
          </cell>
        </row>
        <row r="20">
          <cell r="A20" t="str">
            <v>(Gain) Loss on sale of subsidiary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275</v>
          </cell>
          <cell r="J20">
            <v>275</v>
          </cell>
          <cell r="K20">
            <v>0</v>
          </cell>
          <cell r="L20">
            <v>445</v>
          </cell>
          <cell r="M20">
            <v>445</v>
          </cell>
          <cell r="N20">
            <v>-605</v>
          </cell>
          <cell r="O20">
            <v>-160</v>
          </cell>
          <cell r="P20">
            <v>-12784</v>
          </cell>
          <cell r="Q20">
            <v>-12944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3224</v>
          </cell>
          <cell r="X20">
            <v>3224</v>
          </cell>
          <cell r="Z20">
            <v>14</v>
          </cell>
          <cell r="AA20">
            <v>0</v>
          </cell>
          <cell r="AC20">
            <v>-2842</v>
          </cell>
          <cell r="AD20">
            <v>-2842</v>
          </cell>
          <cell r="AE20">
            <v>0</v>
          </cell>
          <cell r="AF20">
            <v>-2842</v>
          </cell>
          <cell r="AG20">
            <v>0</v>
          </cell>
          <cell r="AI20">
            <v>0</v>
          </cell>
          <cell r="AJ20">
            <v>0</v>
          </cell>
          <cell r="AK20">
            <v>0</v>
          </cell>
          <cell r="AM20">
            <v>0</v>
          </cell>
          <cell r="AN20">
            <v>0</v>
          </cell>
        </row>
        <row r="21">
          <cell r="A21" t="str">
            <v>Cumulative effect of change in accounting principle</v>
          </cell>
          <cell r="B21">
            <v>0</v>
          </cell>
          <cell r="C21">
            <v>0</v>
          </cell>
          <cell r="D21">
            <v>471</v>
          </cell>
          <cell r="E21">
            <v>-471</v>
          </cell>
          <cell r="F21">
            <v>0</v>
          </cell>
          <cell r="G21">
            <v>0</v>
          </cell>
          <cell r="H21">
            <v>0</v>
          </cell>
          <cell r="I21">
            <v>59</v>
          </cell>
          <cell r="J21">
            <v>59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95</v>
          </cell>
          <cell r="S21">
            <v>-95</v>
          </cell>
          <cell r="T21">
            <v>0</v>
          </cell>
          <cell r="V21">
            <v>0</v>
          </cell>
          <cell r="W21">
            <v>0</v>
          </cell>
          <cell r="X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</row>
        <row r="22">
          <cell r="A22" t="str">
            <v>Gain on Asset Dispositions</v>
          </cell>
          <cell r="B22">
            <v>-11375</v>
          </cell>
          <cell r="C22">
            <v>-42082</v>
          </cell>
          <cell r="D22">
            <v>-4613</v>
          </cell>
          <cell r="E22">
            <v>1067</v>
          </cell>
          <cell r="F22">
            <v>-3546</v>
          </cell>
          <cell r="G22">
            <v>-156</v>
          </cell>
          <cell r="H22">
            <v>-3702</v>
          </cell>
          <cell r="I22">
            <v>-1026</v>
          </cell>
          <cell r="J22">
            <v>-4728</v>
          </cell>
          <cell r="K22">
            <v>-1257</v>
          </cell>
          <cell r="L22">
            <v>13</v>
          </cell>
          <cell r="M22">
            <v>-1244</v>
          </cell>
          <cell r="N22">
            <v>-350</v>
          </cell>
          <cell r="O22">
            <v>-1594</v>
          </cell>
          <cell r="P22">
            <v>-34</v>
          </cell>
          <cell r="Q22">
            <v>-1628</v>
          </cell>
          <cell r="R22">
            <v>1</v>
          </cell>
          <cell r="S22">
            <v>-400</v>
          </cell>
          <cell r="T22">
            <v>-399</v>
          </cell>
          <cell r="U22">
            <v>-337</v>
          </cell>
          <cell r="V22">
            <v>-736</v>
          </cell>
          <cell r="W22">
            <v>-822</v>
          </cell>
          <cell r="X22">
            <v>-1558</v>
          </cell>
          <cell r="Z22">
            <v>0</v>
          </cell>
          <cell r="AA22">
            <v>-1655</v>
          </cell>
          <cell r="AB22">
            <v>-1655</v>
          </cell>
          <cell r="AC22">
            <v>-1000</v>
          </cell>
          <cell r="AD22">
            <v>-2655</v>
          </cell>
          <cell r="AE22">
            <v>0</v>
          </cell>
          <cell r="AF22">
            <v>-2655</v>
          </cell>
          <cell r="AG22">
            <v>-1787</v>
          </cell>
          <cell r="AH22">
            <v>-1787</v>
          </cell>
          <cell r="AI22">
            <v>-1199</v>
          </cell>
          <cell r="AJ22">
            <v>-2986</v>
          </cell>
          <cell r="AK22">
            <v>0</v>
          </cell>
          <cell r="AL22">
            <v>-2986</v>
          </cell>
          <cell r="AM22">
            <v>0</v>
          </cell>
          <cell r="AN22">
            <v>-2986</v>
          </cell>
        </row>
        <row r="23">
          <cell r="A23" t="str">
            <v>Property impairments and abandonments</v>
          </cell>
          <cell r="B23">
            <v>38</v>
          </cell>
          <cell r="C23">
            <v>260</v>
          </cell>
          <cell r="D23">
            <v>0</v>
          </cell>
          <cell r="E23">
            <v>-14</v>
          </cell>
          <cell r="F23">
            <v>-14</v>
          </cell>
          <cell r="G23">
            <v>-18</v>
          </cell>
          <cell r="H23">
            <v>-32</v>
          </cell>
          <cell r="I23">
            <v>26</v>
          </cell>
          <cell r="J23">
            <v>-6</v>
          </cell>
          <cell r="K23">
            <v>381</v>
          </cell>
          <cell r="L23">
            <v>45</v>
          </cell>
          <cell r="M23">
            <v>426</v>
          </cell>
          <cell r="N23">
            <v>201</v>
          </cell>
          <cell r="O23">
            <v>627</v>
          </cell>
          <cell r="P23">
            <v>250</v>
          </cell>
          <cell r="Q23">
            <v>877</v>
          </cell>
          <cell r="R23">
            <v>6</v>
          </cell>
          <cell r="S23">
            <v>6</v>
          </cell>
          <cell r="T23">
            <v>12</v>
          </cell>
          <cell r="U23">
            <v>189</v>
          </cell>
          <cell r="V23">
            <v>201</v>
          </cell>
          <cell r="W23">
            <v>6</v>
          </cell>
          <cell r="X23">
            <v>207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42</v>
          </cell>
          <cell r="AH23">
            <v>42</v>
          </cell>
          <cell r="AI23">
            <v>132</v>
          </cell>
          <cell r="AJ23">
            <v>174</v>
          </cell>
          <cell r="AK23">
            <v>0</v>
          </cell>
          <cell r="AL23">
            <v>174</v>
          </cell>
          <cell r="AM23">
            <v>0</v>
          </cell>
          <cell r="AN23">
            <v>174</v>
          </cell>
        </row>
        <row r="24">
          <cell r="A24" t="str">
            <v>Deferred income taxes</v>
          </cell>
          <cell r="B24">
            <v>-2206</v>
          </cell>
          <cell r="C24">
            <v>-1736</v>
          </cell>
          <cell r="D24">
            <v>-975</v>
          </cell>
          <cell r="E24">
            <v>-275</v>
          </cell>
          <cell r="F24">
            <v>-1250</v>
          </cell>
          <cell r="G24">
            <v>1443</v>
          </cell>
          <cell r="H24">
            <v>193</v>
          </cell>
          <cell r="I24">
            <v>-832</v>
          </cell>
          <cell r="J24">
            <v>-639</v>
          </cell>
          <cell r="K24">
            <v>-599</v>
          </cell>
          <cell r="L24">
            <v>-3583</v>
          </cell>
          <cell r="M24">
            <v>-4182</v>
          </cell>
          <cell r="N24">
            <v>-2918</v>
          </cell>
          <cell r="O24">
            <v>-7100</v>
          </cell>
          <cell r="P24">
            <v>12925</v>
          </cell>
          <cell r="Q24">
            <v>5825</v>
          </cell>
          <cell r="R24">
            <v>427</v>
          </cell>
          <cell r="S24">
            <v>880</v>
          </cell>
          <cell r="T24">
            <v>1307</v>
          </cell>
          <cell r="U24">
            <v>-1720</v>
          </cell>
          <cell r="V24">
            <v>-413</v>
          </cell>
          <cell r="W24">
            <v>-472</v>
          </cell>
          <cell r="X24">
            <v>-885</v>
          </cell>
          <cell r="Z24">
            <v>390</v>
          </cell>
          <cell r="AA24">
            <v>0</v>
          </cell>
          <cell r="AB24">
            <v>390</v>
          </cell>
          <cell r="AC24">
            <v>2632</v>
          </cell>
          <cell r="AD24">
            <v>3022</v>
          </cell>
          <cell r="AE24">
            <v>0</v>
          </cell>
          <cell r="AF24">
            <v>3022</v>
          </cell>
          <cell r="AG24">
            <v>1573</v>
          </cell>
          <cell r="AH24">
            <v>1573</v>
          </cell>
          <cell r="AI24">
            <v>677</v>
          </cell>
          <cell r="AJ24">
            <v>2250</v>
          </cell>
          <cell r="AK24">
            <v>0</v>
          </cell>
          <cell r="AL24">
            <v>2250</v>
          </cell>
          <cell r="AM24">
            <v>0</v>
          </cell>
          <cell r="AN24">
            <v>2250</v>
          </cell>
        </row>
        <row r="25">
          <cell r="A25" t="str">
            <v>Accretion of Discount - Real Estate</v>
          </cell>
          <cell r="B25">
            <v>-4124</v>
          </cell>
          <cell r="C25">
            <v>-6520</v>
          </cell>
          <cell r="D25">
            <v>-2946</v>
          </cell>
          <cell r="E25">
            <v>-10029</v>
          </cell>
          <cell r="F25">
            <v>-12975</v>
          </cell>
          <cell r="G25">
            <v>-15240</v>
          </cell>
          <cell r="H25">
            <v>-28215</v>
          </cell>
          <cell r="I25">
            <v>9250</v>
          </cell>
          <cell r="J25">
            <v>-18965</v>
          </cell>
          <cell r="K25">
            <v>-1734</v>
          </cell>
          <cell r="L25">
            <v>-754</v>
          </cell>
          <cell r="M25">
            <v>-2488</v>
          </cell>
          <cell r="N25">
            <v>-10357</v>
          </cell>
          <cell r="O25">
            <v>-12845</v>
          </cell>
          <cell r="P25">
            <v>7043</v>
          </cell>
          <cell r="Q25">
            <v>-5802</v>
          </cell>
          <cell r="R25">
            <v>-1668.989</v>
          </cell>
          <cell r="S25">
            <v>-1483</v>
          </cell>
          <cell r="T25">
            <v>-3151.989</v>
          </cell>
          <cell r="U25">
            <v>-1427.011</v>
          </cell>
          <cell r="V25">
            <v>-4579</v>
          </cell>
          <cell r="W25">
            <v>-1344</v>
          </cell>
          <cell r="X25">
            <v>-5923</v>
          </cell>
          <cell r="Z25">
            <v>-1201</v>
          </cell>
          <cell r="AA25">
            <v>-985</v>
          </cell>
          <cell r="AB25">
            <v>-2186</v>
          </cell>
          <cell r="AC25">
            <v>-428</v>
          </cell>
          <cell r="AD25">
            <v>-2614</v>
          </cell>
          <cell r="AE25">
            <v>-598</v>
          </cell>
          <cell r="AF25">
            <v>-3212</v>
          </cell>
          <cell r="AG25">
            <v>-695</v>
          </cell>
          <cell r="AH25">
            <v>-695</v>
          </cell>
          <cell r="AI25">
            <v>-714</v>
          </cell>
          <cell r="AJ25">
            <v>-1409</v>
          </cell>
          <cell r="AK25">
            <v>-714</v>
          </cell>
          <cell r="AL25">
            <v>-2123</v>
          </cell>
          <cell r="AM25">
            <v>-714</v>
          </cell>
          <cell r="AN25">
            <v>-2837</v>
          </cell>
        </row>
        <row r="26">
          <cell r="A26" t="str">
            <v>Collection of Interest (cash only)</v>
          </cell>
          <cell r="B26">
            <v>2932</v>
          </cell>
          <cell r="C26">
            <v>5229</v>
          </cell>
          <cell r="D26">
            <v>3716</v>
          </cell>
          <cell r="E26">
            <v>3654</v>
          </cell>
          <cell r="F26">
            <v>7370</v>
          </cell>
          <cell r="G26">
            <v>4574</v>
          </cell>
          <cell r="H26">
            <v>11944</v>
          </cell>
          <cell r="I26">
            <v>1425</v>
          </cell>
          <cell r="J26">
            <v>13369</v>
          </cell>
          <cell r="K26">
            <v>3286</v>
          </cell>
          <cell r="L26">
            <v>3128</v>
          </cell>
          <cell r="M26">
            <v>6414</v>
          </cell>
          <cell r="N26">
            <v>7006</v>
          </cell>
          <cell r="O26">
            <v>13420</v>
          </cell>
          <cell r="P26">
            <v>-7723</v>
          </cell>
          <cell r="Q26">
            <v>5697</v>
          </cell>
          <cell r="R26">
            <v>628</v>
          </cell>
          <cell r="S26">
            <v>433.98599999999988</v>
          </cell>
          <cell r="T26">
            <v>1061.9859999999999</v>
          </cell>
          <cell r="U26">
            <v>268.01400000000012</v>
          </cell>
          <cell r="V26">
            <v>1330</v>
          </cell>
          <cell r="W26">
            <v>-123</v>
          </cell>
          <cell r="X26">
            <v>1207</v>
          </cell>
          <cell r="Z26">
            <v>0</v>
          </cell>
          <cell r="AA26">
            <v>0</v>
          </cell>
          <cell r="AB26">
            <v>0</v>
          </cell>
          <cell r="AC26">
            <v>5244</v>
          </cell>
          <cell r="AD26">
            <v>5244</v>
          </cell>
          <cell r="AE26">
            <v>0</v>
          </cell>
          <cell r="AF26">
            <v>5244</v>
          </cell>
          <cell r="AG26">
            <v>91</v>
          </cell>
          <cell r="AH26">
            <v>91</v>
          </cell>
          <cell r="AI26">
            <v>0</v>
          </cell>
          <cell r="AJ26">
            <v>91</v>
          </cell>
          <cell r="AK26">
            <v>0</v>
          </cell>
          <cell r="AL26">
            <v>91</v>
          </cell>
          <cell r="AM26">
            <v>0</v>
          </cell>
          <cell r="AN26">
            <v>91</v>
          </cell>
        </row>
        <row r="27">
          <cell r="A27" t="str">
            <v>Extraordinary (gain)/loss</v>
          </cell>
          <cell r="B27">
            <v>0</v>
          </cell>
          <cell r="C27">
            <v>-239</v>
          </cell>
          <cell r="D27">
            <v>-291</v>
          </cell>
          <cell r="E27">
            <v>0</v>
          </cell>
          <cell r="F27">
            <v>-291</v>
          </cell>
          <cell r="G27">
            <v>0</v>
          </cell>
          <cell r="H27">
            <v>-291</v>
          </cell>
          <cell r="I27">
            <v>-8</v>
          </cell>
          <cell r="J27">
            <v>-299</v>
          </cell>
          <cell r="K27">
            <v>-122</v>
          </cell>
          <cell r="L27">
            <v>-75</v>
          </cell>
          <cell r="M27">
            <v>-197</v>
          </cell>
          <cell r="N27">
            <v>0</v>
          </cell>
          <cell r="O27">
            <v>-197</v>
          </cell>
          <cell r="P27">
            <v>-486</v>
          </cell>
          <cell r="Q27">
            <v>-683</v>
          </cell>
          <cell r="R27">
            <v>-158</v>
          </cell>
          <cell r="S27">
            <v>-21</v>
          </cell>
          <cell r="T27">
            <v>-179</v>
          </cell>
          <cell r="U27">
            <v>6</v>
          </cell>
          <cell r="V27">
            <v>-173</v>
          </cell>
          <cell r="W27">
            <v>49</v>
          </cell>
          <cell r="X27">
            <v>-124</v>
          </cell>
          <cell r="Z27">
            <v>0</v>
          </cell>
          <cell r="AA27">
            <v>40</v>
          </cell>
          <cell r="AB27">
            <v>40</v>
          </cell>
          <cell r="AC27">
            <v>615</v>
          </cell>
          <cell r="AD27">
            <v>655</v>
          </cell>
          <cell r="AE27">
            <v>0</v>
          </cell>
          <cell r="AF27">
            <v>655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</row>
        <row r="28">
          <cell r="A28" t="str">
            <v xml:space="preserve">  (Increase) decrease in A/R and other assets</v>
          </cell>
          <cell r="B28">
            <v>-1038</v>
          </cell>
          <cell r="C28">
            <v>-1736</v>
          </cell>
          <cell r="D28">
            <v>-7130</v>
          </cell>
          <cell r="E28">
            <v>6173</v>
          </cell>
          <cell r="F28">
            <v>-957</v>
          </cell>
          <cell r="G28">
            <v>47</v>
          </cell>
          <cell r="H28">
            <v>-910</v>
          </cell>
          <cell r="I28">
            <v>-2609</v>
          </cell>
          <cell r="J28">
            <v>-3519</v>
          </cell>
          <cell r="K28">
            <v>-5474</v>
          </cell>
          <cell r="L28">
            <v>4791</v>
          </cell>
          <cell r="M28">
            <v>-683</v>
          </cell>
          <cell r="N28">
            <v>-491</v>
          </cell>
          <cell r="O28">
            <v>-1174</v>
          </cell>
          <cell r="P28">
            <v>-5173</v>
          </cell>
          <cell r="Q28">
            <v>-6347</v>
          </cell>
          <cell r="R28">
            <v>1392</v>
          </cell>
          <cell r="S28">
            <v>-4636</v>
          </cell>
          <cell r="T28">
            <v>-3244</v>
          </cell>
          <cell r="U28">
            <v>3846</v>
          </cell>
          <cell r="V28">
            <v>602</v>
          </cell>
          <cell r="W28">
            <v>3401</v>
          </cell>
          <cell r="X28">
            <v>4003</v>
          </cell>
          <cell r="Z28">
            <v>-3532</v>
          </cell>
          <cell r="AA28">
            <v>0</v>
          </cell>
          <cell r="AB28">
            <v>-3532</v>
          </cell>
          <cell r="AC28">
            <v>0</v>
          </cell>
          <cell r="AD28">
            <v>-3532</v>
          </cell>
          <cell r="AE28">
            <v>0</v>
          </cell>
          <cell r="AF28">
            <v>-3532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A29" t="str">
            <v xml:space="preserve">  Increase (decrease) in A/P and other liabilities</v>
          </cell>
          <cell r="B29">
            <v>8921</v>
          </cell>
          <cell r="C29">
            <v>4971</v>
          </cell>
          <cell r="D29">
            <v>8220</v>
          </cell>
          <cell r="E29">
            <v>-14923</v>
          </cell>
          <cell r="F29">
            <v>-6703</v>
          </cell>
          <cell r="G29">
            <v>-484</v>
          </cell>
          <cell r="H29">
            <v>-7187</v>
          </cell>
          <cell r="I29">
            <v>-2503</v>
          </cell>
          <cell r="J29">
            <v>-9690</v>
          </cell>
          <cell r="K29">
            <v>14563</v>
          </cell>
          <cell r="L29">
            <v>-12746</v>
          </cell>
          <cell r="M29">
            <v>1817</v>
          </cell>
          <cell r="N29">
            <v>347</v>
          </cell>
          <cell r="O29">
            <v>2164</v>
          </cell>
          <cell r="P29">
            <v>-4570</v>
          </cell>
          <cell r="Q29">
            <v>-2406</v>
          </cell>
          <cell r="R29">
            <v>1588</v>
          </cell>
          <cell r="S29">
            <v>-8539</v>
          </cell>
          <cell r="T29">
            <v>-6951</v>
          </cell>
          <cell r="U29">
            <v>-1622</v>
          </cell>
          <cell r="V29">
            <v>-8573</v>
          </cell>
          <cell r="W29">
            <v>-634</v>
          </cell>
          <cell r="X29">
            <v>-9207</v>
          </cell>
          <cell r="Z29">
            <v>1876</v>
          </cell>
          <cell r="AA29">
            <v>-9947</v>
          </cell>
          <cell r="AB29">
            <v>-8071</v>
          </cell>
          <cell r="AC29">
            <v>-5615</v>
          </cell>
          <cell r="AD29">
            <v>-13686</v>
          </cell>
          <cell r="AE29">
            <v>-1561</v>
          </cell>
          <cell r="AF29">
            <v>-15247</v>
          </cell>
          <cell r="AG29">
            <v>10126</v>
          </cell>
          <cell r="AH29">
            <v>10126</v>
          </cell>
          <cell r="AI29">
            <v>-5390</v>
          </cell>
          <cell r="AJ29">
            <v>4736</v>
          </cell>
          <cell r="AK29">
            <v>4793</v>
          </cell>
          <cell r="AL29">
            <v>9529</v>
          </cell>
          <cell r="AM29">
            <v>-3157.6600000000035</v>
          </cell>
          <cell r="AN29">
            <v>6371.3399999999965</v>
          </cell>
        </row>
        <row r="30">
          <cell r="A30" t="str">
            <v>Subtotal Operating</v>
          </cell>
          <cell r="B30">
            <v>7023</v>
          </cell>
          <cell r="C30">
            <v>-8343</v>
          </cell>
          <cell r="D30">
            <v>4881</v>
          </cell>
          <cell r="E30">
            <v>-7528</v>
          </cell>
          <cell r="F30">
            <v>-2647</v>
          </cell>
          <cell r="G30">
            <v>227</v>
          </cell>
          <cell r="H30">
            <v>-2420</v>
          </cell>
          <cell r="I30">
            <v>9310</v>
          </cell>
          <cell r="J30">
            <v>7778</v>
          </cell>
          <cell r="K30">
            <v>18462</v>
          </cell>
          <cell r="L30">
            <v>-8209</v>
          </cell>
          <cell r="M30">
            <v>10253</v>
          </cell>
          <cell r="N30">
            <v>-1759</v>
          </cell>
          <cell r="O30">
            <v>8494</v>
          </cell>
          <cell r="P30">
            <v>6892</v>
          </cell>
          <cell r="Q30">
            <v>15386</v>
          </cell>
          <cell r="R30">
            <v>10521.016430400001</v>
          </cell>
          <cell r="S30">
            <v>-4437.174435559853</v>
          </cell>
          <cell r="T30">
            <v>6083.8419948401479</v>
          </cell>
          <cell r="U30">
            <v>5906.0030000000006</v>
          </cell>
          <cell r="V30">
            <v>11989.844994840147</v>
          </cell>
          <cell r="W30">
            <v>7280.8620200698651</v>
          </cell>
          <cell r="X30">
            <v>19270.707014910011</v>
          </cell>
          <cell r="Z30">
            <v>4557</v>
          </cell>
          <cell r="AA30">
            <v>-5242.05</v>
          </cell>
          <cell r="AB30">
            <v>-685.05000000000018</v>
          </cell>
          <cell r="AC30">
            <v>3846</v>
          </cell>
          <cell r="AD30">
            <v>3146.9500000000007</v>
          </cell>
          <cell r="AE30">
            <v>3967</v>
          </cell>
          <cell r="AF30">
            <v>7113.9500000000007</v>
          </cell>
          <cell r="AG30">
            <v>15813</v>
          </cell>
          <cell r="AH30">
            <v>15813</v>
          </cell>
          <cell r="AI30">
            <v>1597.1399999999994</v>
          </cell>
          <cell r="AJ30">
            <v>17410.14</v>
          </cell>
          <cell r="AK30">
            <v>14401.430899999999</v>
          </cell>
          <cell r="AL30">
            <v>31811.570899999999</v>
          </cell>
          <cell r="AM30">
            <v>6032.5316575797897</v>
          </cell>
          <cell r="AN30">
            <v>37844.102557579783</v>
          </cell>
        </row>
        <row r="32">
          <cell r="A32" t="str">
            <v>Cash Flows from investing activities:</v>
          </cell>
        </row>
        <row r="33">
          <cell r="A33" t="str">
            <v>Net cash acquired (paid) in business acquisitions</v>
          </cell>
          <cell r="B33">
            <v>-1226</v>
          </cell>
          <cell r="C33">
            <v>9061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-15942</v>
          </cell>
          <cell r="J33">
            <v>-15942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-6500</v>
          </cell>
          <cell r="T33">
            <v>-6500</v>
          </cell>
          <cell r="U33">
            <v>0</v>
          </cell>
          <cell r="V33">
            <v>-6500</v>
          </cell>
          <cell r="W33">
            <v>-1375</v>
          </cell>
          <cell r="X33">
            <v>-7875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</row>
        <row r="34">
          <cell r="A34" t="str">
            <v>Cost of equipment acquired for lease</v>
          </cell>
          <cell r="B34">
            <v>-34567</v>
          </cell>
          <cell r="C34">
            <v>-92648</v>
          </cell>
          <cell r="D34">
            <v>-39703</v>
          </cell>
          <cell r="E34">
            <v>39703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-135560</v>
          </cell>
          <cell r="L34">
            <v>135560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X34">
            <v>0</v>
          </cell>
          <cell r="Z34">
            <v>0</v>
          </cell>
          <cell r="AA34">
            <v>0</v>
          </cell>
          <cell r="AC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</row>
        <row r="35">
          <cell r="A35" t="str">
            <v>Investment in RAIT stock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3401</v>
          </cell>
          <cell r="AH35">
            <v>3401</v>
          </cell>
          <cell r="AI35">
            <v>3956</v>
          </cell>
          <cell r="AJ35">
            <v>7357</v>
          </cell>
          <cell r="AK35">
            <v>0</v>
          </cell>
          <cell r="AL35">
            <v>7357</v>
          </cell>
          <cell r="AM35">
            <v>0</v>
          </cell>
          <cell r="AN35">
            <v>7357</v>
          </cell>
        </row>
        <row r="36">
          <cell r="A36" t="str">
            <v>Capital Expenditures</v>
          </cell>
          <cell r="B36">
            <v>-1791</v>
          </cell>
          <cell r="C36">
            <v>-4127</v>
          </cell>
          <cell r="D36">
            <v>-4571</v>
          </cell>
          <cell r="E36">
            <v>-2167</v>
          </cell>
          <cell r="F36">
            <v>-6738</v>
          </cell>
          <cell r="G36">
            <v>-1381</v>
          </cell>
          <cell r="H36">
            <v>-8119</v>
          </cell>
          <cell r="I36">
            <v>-3437</v>
          </cell>
          <cell r="J36">
            <v>-11556</v>
          </cell>
          <cell r="K36">
            <v>-2239</v>
          </cell>
          <cell r="L36">
            <v>-5712</v>
          </cell>
          <cell r="M36">
            <v>-7951</v>
          </cell>
          <cell r="N36">
            <v>-1046</v>
          </cell>
          <cell r="O36">
            <v>-8997</v>
          </cell>
          <cell r="P36">
            <v>-2069</v>
          </cell>
          <cell r="Q36">
            <v>-11066</v>
          </cell>
          <cell r="R36">
            <v>-1919</v>
          </cell>
          <cell r="S36">
            <v>-4898</v>
          </cell>
          <cell r="T36">
            <v>-6817</v>
          </cell>
          <cell r="U36">
            <v>-3171</v>
          </cell>
          <cell r="V36">
            <v>-9988</v>
          </cell>
          <cell r="W36">
            <v>-4222</v>
          </cell>
          <cell r="X36">
            <v>-14210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</row>
        <row r="37">
          <cell r="A37" t="str">
            <v>Investment in real estate loans and ventures</v>
          </cell>
          <cell r="B37">
            <v>-69857</v>
          </cell>
          <cell r="C37">
            <v>-420920</v>
          </cell>
          <cell r="D37">
            <v>-8981</v>
          </cell>
          <cell r="E37">
            <v>-76186</v>
          </cell>
          <cell r="F37">
            <v>-85167</v>
          </cell>
          <cell r="G37">
            <v>-4441</v>
          </cell>
          <cell r="H37">
            <v>-89608</v>
          </cell>
          <cell r="I37">
            <v>-7986</v>
          </cell>
          <cell r="J37">
            <v>-97594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-608</v>
          </cell>
          <cell r="S37">
            <v>-22789.971999999998</v>
          </cell>
          <cell r="T37">
            <v>-23397.971999999998</v>
          </cell>
          <cell r="U37">
            <v>-10.028000000002066</v>
          </cell>
          <cell r="V37">
            <v>-23408</v>
          </cell>
          <cell r="W37">
            <v>-1987</v>
          </cell>
          <cell r="X37">
            <v>-25395</v>
          </cell>
          <cell r="Z37">
            <v>-6534</v>
          </cell>
          <cell r="AA37">
            <v>-1000</v>
          </cell>
          <cell r="AB37">
            <v>-7534</v>
          </cell>
          <cell r="AC37">
            <v>-11113</v>
          </cell>
          <cell r="AD37">
            <v>-18647</v>
          </cell>
          <cell r="AE37">
            <v>-390</v>
          </cell>
          <cell r="AF37">
            <v>-19037</v>
          </cell>
          <cell r="AG37">
            <v>-1160</v>
          </cell>
          <cell r="AH37">
            <v>-1160</v>
          </cell>
          <cell r="AI37">
            <v>-973</v>
          </cell>
          <cell r="AJ37">
            <v>-2133</v>
          </cell>
          <cell r="AK37">
            <v>-500</v>
          </cell>
          <cell r="AL37">
            <v>-2633</v>
          </cell>
          <cell r="AM37">
            <v>-500</v>
          </cell>
          <cell r="AN37">
            <v>-3133</v>
          </cell>
        </row>
        <row r="38">
          <cell r="A38" t="str">
            <v>Investment in real estate ventures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-1389</v>
          </cell>
          <cell r="L38">
            <v>-505</v>
          </cell>
          <cell r="M38">
            <v>-1894</v>
          </cell>
          <cell r="N38">
            <v>-646</v>
          </cell>
          <cell r="O38">
            <v>-2540</v>
          </cell>
          <cell r="P38">
            <v>-2653</v>
          </cell>
          <cell r="Q38">
            <v>-5193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Payments received on FLI notes receivable</v>
          </cell>
          <cell r="B39">
            <v>9031</v>
          </cell>
          <cell r="C39">
            <v>84782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28516</v>
          </cell>
          <cell r="J39">
            <v>28516</v>
          </cell>
          <cell r="K39">
            <v>68841</v>
          </cell>
          <cell r="L39">
            <v>-2982</v>
          </cell>
          <cell r="M39">
            <v>65859</v>
          </cell>
          <cell r="N39">
            <v>5940</v>
          </cell>
          <cell r="O39">
            <v>71799</v>
          </cell>
          <cell r="P39">
            <v>1460</v>
          </cell>
          <cell r="Q39">
            <v>73259</v>
          </cell>
          <cell r="R39">
            <v>1811</v>
          </cell>
          <cell r="S39">
            <v>760</v>
          </cell>
          <cell r="T39">
            <v>2571</v>
          </cell>
          <cell r="U39">
            <v>1492</v>
          </cell>
          <cell r="V39">
            <v>4063</v>
          </cell>
          <cell r="W39">
            <v>25057</v>
          </cell>
          <cell r="X39">
            <v>29120</v>
          </cell>
          <cell r="Z39">
            <v>687</v>
          </cell>
          <cell r="AA39">
            <v>375</v>
          </cell>
          <cell r="AB39">
            <v>1062</v>
          </cell>
          <cell r="AC39">
            <v>-293</v>
          </cell>
          <cell r="AD39">
            <v>769</v>
          </cell>
          <cell r="AE39">
            <v>375</v>
          </cell>
          <cell r="AF39">
            <v>1144</v>
          </cell>
          <cell r="AG39">
            <v>3764</v>
          </cell>
          <cell r="AH39">
            <v>3764</v>
          </cell>
          <cell r="AI39">
            <v>808</v>
          </cell>
          <cell r="AJ39">
            <v>4572</v>
          </cell>
          <cell r="AK39">
            <v>375</v>
          </cell>
          <cell r="AL39">
            <v>4947</v>
          </cell>
          <cell r="AM39">
            <v>375</v>
          </cell>
          <cell r="AN39">
            <v>5322</v>
          </cell>
        </row>
        <row r="40">
          <cell r="A40" t="str">
            <v>Proceeds from sales of assets</v>
          </cell>
          <cell r="B40">
            <v>34264</v>
          </cell>
          <cell r="C40">
            <v>335963</v>
          </cell>
          <cell r="D40">
            <v>33306</v>
          </cell>
          <cell r="E40">
            <v>-24721</v>
          </cell>
          <cell r="F40">
            <v>8585</v>
          </cell>
          <cell r="G40">
            <v>21934</v>
          </cell>
          <cell r="H40">
            <v>30519</v>
          </cell>
          <cell r="I40">
            <v>-30327</v>
          </cell>
          <cell r="J40">
            <v>192</v>
          </cell>
          <cell r="K40">
            <v>23752</v>
          </cell>
          <cell r="L40">
            <v>-22964</v>
          </cell>
          <cell r="M40">
            <v>788</v>
          </cell>
          <cell r="N40">
            <v>0</v>
          </cell>
          <cell r="O40">
            <v>788</v>
          </cell>
          <cell r="P40">
            <v>481</v>
          </cell>
          <cell r="Q40">
            <v>1269</v>
          </cell>
          <cell r="R40">
            <v>6</v>
          </cell>
          <cell r="S40">
            <v>19819</v>
          </cell>
          <cell r="T40">
            <v>19825</v>
          </cell>
          <cell r="U40">
            <v>2508</v>
          </cell>
          <cell r="V40">
            <v>22333</v>
          </cell>
          <cell r="W40">
            <v>-21843</v>
          </cell>
          <cell r="X40">
            <v>490</v>
          </cell>
          <cell r="Z40">
            <v>0</v>
          </cell>
          <cell r="AA40">
            <v>23420.61</v>
          </cell>
          <cell r="AB40">
            <v>23420.61</v>
          </cell>
          <cell r="AC40">
            <v>0</v>
          </cell>
          <cell r="AD40">
            <v>23420.61</v>
          </cell>
          <cell r="AE40">
            <v>0</v>
          </cell>
          <cell r="AF40">
            <v>23420.61</v>
          </cell>
          <cell r="AG40">
            <v>6</v>
          </cell>
          <cell r="AH40">
            <v>6</v>
          </cell>
          <cell r="AI40">
            <v>0</v>
          </cell>
          <cell r="AJ40">
            <v>6</v>
          </cell>
          <cell r="AK40">
            <v>0</v>
          </cell>
          <cell r="AL40">
            <v>6</v>
          </cell>
          <cell r="AM40">
            <v>0</v>
          </cell>
          <cell r="AN40">
            <v>6</v>
          </cell>
        </row>
        <row r="41">
          <cell r="A41" t="str">
            <v>Capital Expenditures-Energy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Z41">
            <v>-3957</v>
          </cell>
          <cell r="AA41">
            <v>-7133</v>
          </cell>
          <cell r="AB41">
            <v>-11090</v>
          </cell>
          <cell r="AC41">
            <v>-5407</v>
          </cell>
          <cell r="AD41">
            <v>-16497</v>
          </cell>
          <cell r="AE41">
            <v>-4012</v>
          </cell>
          <cell r="AF41">
            <v>-20509</v>
          </cell>
          <cell r="AG41">
            <v>-4185</v>
          </cell>
          <cell r="AH41">
            <v>-4185</v>
          </cell>
          <cell r="AI41">
            <v>-8713</v>
          </cell>
          <cell r="AJ41">
            <v>-12898</v>
          </cell>
          <cell r="AK41">
            <v>-2400</v>
          </cell>
          <cell r="AL41">
            <v>-15298</v>
          </cell>
          <cell r="AM41">
            <v>-4800</v>
          </cell>
          <cell r="AN41">
            <v>-20098</v>
          </cell>
        </row>
        <row r="42">
          <cell r="A42" t="str">
            <v xml:space="preserve">Increase in other assets </v>
          </cell>
          <cell r="B42">
            <v>-3319</v>
          </cell>
          <cell r="C42">
            <v>-12196</v>
          </cell>
          <cell r="D42">
            <v>-873</v>
          </cell>
          <cell r="E42">
            <v>-252</v>
          </cell>
          <cell r="F42">
            <v>-1125</v>
          </cell>
          <cell r="G42">
            <v>234</v>
          </cell>
          <cell r="H42">
            <v>-891</v>
          </cell>
          <cell r="I42">
            <v>3240</v>
          </cell>
          <cell r="J42">
            <v>2349</v>
          </cell>
          <cell r="K42">
            <v>-4223</v>
          </cell>
          <cell r="L42">
            <v>1599</v>
          </cell>
          <cell r="M42">
            <v>-2624</v>
          </cell>
          <cell r="N42">
            <v>-2213</v>
          </cell>
          <cell r="O42">
            <v>-4837</v>
          </cell>
          <cell r="P42">
            <v>-6469</v>
          </cell>
          <cell r="Q42">
            <v>-11306</v>
          </cell>
          <cell r="R42">
            <v>-45</v>
          </cell>
          <cell r="S42">
            <v>-9490</v>
          </cell>
          <cell r="T42">
            <v>-9535</v>
          </cell>
          <cell r="U42">
            <v>176</v>
          </cell>
          <cell r="V42">
            <v>-9359</v>
          </cell>
          <cell r="W42">
            <v>-3320</v>
          </cell>
          <cell r="X42">
            <v>-12679</v>
          </cell>
          <cell r="Z42">
            <v>-2258</v>
          </cell>
          <cell r="AA42">
            <v>0</v>
          </cell>
          <cell r="AB42">
            <v>-2258</v>
          </cell>
          <cell r="AC42">
            <v>-4021</v>
          </cell>
          <cell r="AD42">
            <v>-6279</v>
          </cell>
          <cell r="AE42">
            <v>0</v>
          </cell>
          <cell r="AF42">
            <v>-6279</v>
          </cell>
          <cell r="AG42">
            <v>-5963</v>
          </cell>
          <cell r="AH42">
            <v>-5963</v>
          </cell>
          <cell r="AI42">
            <v>3139</v>
          </cell>
          <cell r="AJ42">
            <v>-2824</v>
          </cell>
          <cell r="AK42">
            <v>0</v>
          </cell>
          <cell r="AL42">
            <v>-2824</v>
          </cell>
          <cell r="AM42">
            <v>0</v>
          </cell>
          <cell r="AN42">
            <v>-2824</v>
          </cell>
        </row>
        <row r="43">
          <cell r="A43" t="str">
            <v>Net change in net assets of discontinued operations</v>
          </cell>
          <cell r="B43">
            <v>0</v>
          </cell>
          <cell r="C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-14470</v>
          </cell>
          <cell r="M43">
            <v>-14470</v>
          </cell>
          <cell r="N43">
            <v>-2954</v>
          </cell>
          <cell r="O43">
            <v>-17424</v>
          </cell>
          <cell r="P43">
            <v>17424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Z43">
            <v>-50</v>
          </cell>
          <cell r="AA43">
            <v>0</v>
          </cell>
          <cell r="AB43">
            <v>-50</v>
          </cell>
          <cell r="AC43">
            <v>0</v>
          </cell>
          <cell r="AD43">
            <v>-50</v>
          </cell>
          <cell r="AE43">
            <v>0</v>
          </cell>
          <cell r="AF43">
            <v>-50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(Increase) decrease in other liabilities</v>
          </cell>
          <cell r="B44">
            <v>1394</v>
          </cell>
          <cell r="C44">
            <v>5722</v>
          </cell>
          <cell r="D44">
            <v>-9906</v>
          </cell>
          <cell r="E44">
            <v>232</v>
          </cell>
          <cell r="F44">
            <v>-9674</v>
          </cell>
          <cell r="G44">
            <v>-96</v>
          </cell>
          <cell r="H44">
            <v>-9770</v>
          </cell>
          <cell r="I44">
            <v>9930</v>
          </cell>
          <cell r="J44">
            <v>160</v>
          </cell>
          <cell r="K44">
            <v>372</v>
          </cell>
          <cell r="L44">
            <v>-600</v>
          </cell>
          <cell r="M44">
            <v>-228</v>
          </cell>
          <cell r="N44">
            <v>-51</v>
          </cell>
          <cell r="O44">
            <v>-279</v>
          </cell>
          <cell r="P44">
            <v>-60</v>
          </cell>
          <cell r="Q44">
            <v>-339</v>
          </cell>
          <cell r="R44">
            <v>-14</v>
          </cell>
          <cell r="S44">
            <v>-19</v>
          </cell>
          <cell r="T44">
            <v>-33</v>
          </cell>
          <cell r="U44">
            <v>-47</v>
          </cell>
          <cell r="V44">
            <v>-80</v>
          </cell>
          <cell r="W44">
            <v>-133</v>
          </cell>
          <cell r="X44">
            <v>-213</v>
          </cell>
          <cell r="Z44">
            <v>0</v>
          </cell>
          <cell r="AA44">
            <v>-100</v>
          </cell>
          <cell r="AB44">
            <v>-100</v>
          </cell>
          <cell r="AC44">
            <v>120</v>
          </cell>
          <cell r="AD44">
            <v>20</v>
          </cell>
          <cell r="AE44">
            <v>-100</v>
          </cell>
          <cell r="AF44">
            <v>-80</v>
          </cell>
          <cell r="AG44">
            <v>-72</v>
          </cell>
          <cell r="AH44">
            <v>-72</v>
          </cell>
          <cell r="AI44">
            <v>43</v>
          </cell>
          <cell r="AJ44">
            <v>-29</v>
          </cell>
          <cell r="AK44">
            <v>-100</v>
          </cell>
          <cell r="AL44">
            <v>-129</v>
          </cell>
          <cell r="AM44">
            <v>-229</v>
          </cell>
          <cell r="AN44">
            <v>-358</v>
          </cell>
        </row>
        <row r="45">
          <cell r="A45" t="str">
            <v>Payments received in excess of revenue recognized on leases</v>
          </cell>
          <cell r="B45">
            <v>0</v>
          </cell>
          <cell r="C45">
            <v>0</v>
          </cell>
          <cell r="D45">
            <v>1392</v>
          </cell>
          <cell r="E45">
            <v>-1392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39753</v>
          </cell>
          <cell r="L45">
            <v>-39753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E45">
            <v>0</v>
          </cell>
          <cell r="AF45">
            <v>0</v>
          </cell>
          <cell r="AG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</row>
        <row r="46">
          <cell r="A46" t="str">
            <v>Net Proceeds from sale of subsidiary</v>
          </cell>
          <cell r="B46">
            <v>0</v>
          </cell>
          <cell r="C46">
            <v>0</v>
          </cell>
          <cell r="D46">
            <v>0</v>
          </cell>
          <cell r="E46">
            <v>3556</v>
          </cell>
          <cell r="F46">
            <v>3556</v>
          </cell>
          <cell r="G46">
            <v>-594</v>
          </cell>
          <cell r="H46">
            <v>2962</v>
          </cell>
          <cell r="I46">
            <v>1055</v>
          </cell>
          <cell r="J46">
            <v>4017</v>
          </cell>
          <cell r="K46">
            <v>0</v>
          </cell>
          <cell r="L46">
            <v>0</v>
          </cell>
          <cell r="M46">
            <v>0</v>
          </cell>
          <cell r="O46">
            <v>0</v>
          </cell>
          <cell r="P46">
            <v>126276</v>
          </cell>
          <cell r="Q46">
            <v>126276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Z46">
            <v>5</v>
          </cell>
          <cell r="AA46">
            <v>0</v>
          </cell>
          <cell r="AB46">
            <v>5</v>
          </cell>
          <cell r="AC46">
            <v>0</v>
          </cell>
          <cell r="AD46">
            <v>5</v>
          </cell>
          <cell r="AE46">
            <v>0</v>
          </cell>
          <cell r="AF46">
            <v>5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</row>
        <row r="47">
          <cell r="A47" t="str">
            <v>Subtotal Investing</v>
          </cell>
          <cell r="B47">
            <v>-66071</v>
          </cell>
          <cell r="C47">
            <v>-94363</v>
          </cell>
          <cell r="D47">
            <v>-29336</v>
          </cell>
          <cell r="E47">
            <v>-61227</v>
          </cell>
          <cell r="F47">
            <v>-90563</v>
          </cell>
          <cell r="G47">
            <v>15656</v>
          </cell>
          <cell r="H47">
            <v>-74907</v>
          </cell>
          <cell r="I47">
            <v>-14951</v>
          </cell>
          <cell r="J47">
            <v>-89858</v>
          </cell>
          <cell r="K47">
            <v>-10693</v>
          </cell>
          <cell r="L47">
            <v>50173</v>
          </cell>
          <cell r="M47">
            <v>39480</v>
          </cell>
          <cell r="N47">
            <v>-970</v>
          </cell>
          <cell r="O47">
            <v>38510</v>
          </cell>
          <cell r="P47">
            <v>134390</v>
          </cell>
          <cell r="Q47">
            <v>172900</v>
          </cell>
          <cell r="R47">
            <v>-769</v>
          </cell>
          <cell r="S47">
            <v>-23117.971999999994</v>
          </cell>
          <cell r="T47">
            <v>-23886.971999999994</v>
          </cell>
          <cell r="U47">
            <v>947.97199999999793</v>
          </cell>
          <cell r="V47">
            <v>-22939</v>
          </cell>
          <cell r="W47">
            <v>-7823</v>
          </cell>
          <cell r="X47">
            <v>-30762</v>
          </cell>
          <cell r="Z47">
            <v>-12107</v>
          </cell>
          <cell r="AA47">
            <v>15562.61</v>
          </cell>
          <cell r="AB47">
            <v>3455.6100000000006</v>
          </cell>
          <cell r="AC47">
            <v>-20714</v>
          </cell>
          <cell r="AD47">
            <v>-17258.39</v>
          </cell>
          <cell r="AE47">
            <v>-4127</v>
          </cell>
          <cell r="AF47">
            <v>-21385.39</v>
          </cell>
          <cell r="AG47">
            <v>-4209</v>
          </cell>
          <cell r="AH47">
            <v>-4209</v>
          </cell>
          <cell r="AI47">
            <v>-1740</v>
          </cell>
          <cell r="AJ47">
            <v>-5949</v>
          </cell>
          <cell r="AK47">
            <v>-2625</v>
          </cell>
          <cell r="AL47">
            <v>-8574</v>
          </cell>
          <cell r="AM47">
            <v>-5154</v>
          </cell>
          <cell r="AN47">
            <v>-13728</v>
          </cell>
        </row>
        <row r="49">
          <cell r="A49" t="str">
            <v>Cash Flows from financing activities:</v>
          </cell>
        </row>
        <row r="50">
          <cell r="A50" t="str">
            <v>Proceeds from issuance of stock</v>
          </cell>
          <cell r="B50">
            <v>23781</v>
          </cell>
          <cell r="C50">
            <v>119611</v>
          </cell>
          <cell r="D50">
            <v>322</v>
          </cell>
          <cell r="E50">
            <v>524</v>
          </cell>
          <cell r="F50">
            <v>846</v>
          </cell>
          <cell r="G50">
            <v>122</v>
          </cell>
          <cell r="H50">
            <v>968</v>
          </cell>
          <cell r="I50">
            <v>107</v>
          </cell>
          <cell r="J50">
            <v>1075</v>
          </cell>
          <cell r="K50">
            <v>78</v>
          </cell>
          <cell r="L50">
            <v>492</v>
          </cell>
          <cell r="M50">
            <v>570</v>
          </cell>
          <cell r="N50">
            <v>155</v>
          </cell>
          <cell r="O50">
            <v>725</v>
          </cell>
          <cell r="P50">
            <v>133</v>
          </cell>
          <cell r="Q50">
            <v>858</v>
          </cell>
          <cell r="R50">
            <v>332</v>
          </cell>
          <cell r="S50">
            <v>58</v>
          </cell>
          <cell r="T50">
            <v>390</v>
          </cell>
          <cell r="U50">
            <v>0</v>
          </cell>
          <cell r="V50">
            <v>390</v>
          </cell>
          <cell r="W50">
            <v>30</v>
          </cell>
          <cell r="X50">
            <v>420</v>
          </cell>
          <cell r="AB50">
            <v>0</v>
          </cell>
          <cell r="AD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25</v>
          </cell>
          <cell r="AJ50">
            <v>25</v>
          </cell>
          <cell r="AL50">
            <v>25</v>
          </cell>
          <cell r="AN50">
            <v>25</v>
          </cell>
        </row>
        <row r="51">
          <cell r="A51" t="str">
            <v>Changes in other assets</v>
          </cell>
          <cell r="B51">
            <v>-5376</v>
          </cell>
          <cell r="C51">
            <v>-1220</v>
          </cell>
          <cell r="D51">
            <v>-60</v>
          </cell>
          <cell r="E51">
            <v>518</v>
          </cell>
          <cell r="F51">
            <v>458</v>
          </cell>
          <cell r="G51">
            <v>-265</v>
          </cell>
          <cell r="H51">
            <v>193</v>
          </cell>
          <cell r="I51">
            <v>44</v>
          </cell>
          <cell r="J51">
            <v>237</v>
          </cell>
          <cell r="K51">
            <v>0</v>
          </cell>
          <cell r="L51">
            <v>0</v>
          </cell>
          <cell r="M51">
            <v>0</v>
          </cell>
          <cell r="N51">
            <v>-82</v>
          </cell>
          <cell r="O51">
            <v>-82</v>
          </cell>
          <cell r="P51">
            <v>82</v>
          </cell>
          <cell r="Q51">
            <v>0</v>
          </cell>
          <cell r="R51">
            <v>3</v>
          </cell>
          <cell r="S51">
            <v>-355</v>
          </cell>
          <cell r="T51">
            <v>-352</v>
          </cell>
          <cell r="U51">
            <v>62</v>
          </cell>
          <cell r="V51">
            <v>-290</v>
          </cell>
          <cell r="W51">
            <v>-412</v>
          </cell>
          <cell r="X51">
            <v>-702</v>
          </cell>
          <cell r="AB51">
            <v>0</v>
          </cell>
          <cell r="AD51">
            <v>0</v>
          </cell>
          <cell r="AF51">
            <v>0</v>
          </cell>
          <cell r="AH51">
            <v>0</v>
          </cell>
          <cell r="AJ51">
            <v>0</v>
          </cell>
          <cell r="AL51">
            <v>0</v>
          </cell>
          <cell r="AN51">
            <v>0</v>
          </cell>
        </row>
        <row r="52">
          <cell r="A52" t="str">
            <v>Net change in warehouse borrowings</v>
          </cell>
          <cell r="B52">
            <v>0</v>
          </cell>
          <cell r="C52">
            <v>0</v>
          </cell>
          <cell r="D52">
            <v>1125</v>
          </cell>
          <cell r="E52">
            <v>-1125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8095</v>
          </cell>
          <cell r="L52">
            <v>-8095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Z52">
            <v>315</v>
          </cell>
          <cell r="AH52">
            <v>0</v>
          </cell>
        </row>
        <row r="53">
          <cell r="A53" t="str">
            <v>Buyback of 12% senior notes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Z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A54" t="str">
            <v>Non-recourse borrowings</v>
          </cell>
          <cell r="B54">
            <v>129320</v>
          </cell>
          <cell r="C54">
            <v>142652</v>
          </cell>
          <cell r="D54">
            <v>25300</v>
          </cell>
          <cell r="E54">
            <v>107506</v>
          </cell>
          <cell r="F54">
            <v>132806</v>
          </cell>
          <cell r="G54">
            <v>24261</v>
          </cell>
          <cell r="H54">
            <v>157067</v>
          </cell>
          <cell r="I54">
            <v>87511</v>
          </cell>
          <cell r="J54">
            <v>244578</v>
          </cell>
          <cell r="K54">
            <v>208219</v>
          </cell>
          <cell r="L54">
            <v>-146572</v>
          </cell>
          <cell r="M54">
            <v>61647</v>
          </cell>
          <cell r="N54">
            <v>15010</v>
          </cell>
          <cell r="O54">
            <v>76657</v>
          </cell>
          <cell r="P54">
            <v>27635</v>
          </cell>
          <cell r="Q54">
            <v>104292</v>
          </cell>
          <cell r="R54">
            <v>13977</v>
          </cell>
          <cell r="S54">
            <v>30350</v>
          </cell>
          <cell r="T54">
            <v>44327</v>
          </cell>
          <cell r="U54">
            <v>40451</v>
          </cell>
          <cell r="V54">
            <v>84778</v>
          </cell>
          <cell r="W54">
            <v>50243</v>
          </cell>
          <cell r="X54">
            <v>135021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42695</v>
          </cell>
          <cell r="AH54">
            <v>42695</v>
          </cell>
          <cell r="AI54">
            <v>21444</v>
          </cell>
          <cell r="AJ54">
            <v>64139</v>
          </cell>
          <cell r="AL54">
            <v>64139</v>
          </cell>
          <cell r="AN54">
            <v>64139</v>
          </cell>
        </row>
        <row r="55">
          <cell r="A55" t="str">
            <v>Principal payments on non-recourse borrowings</v>
          </cell>
          <cell r="B55">
            <v>-22148</v>
          </cell>
          <cell r="C55">
            <v>-142804</v>
          </cell>
          <cell r="D55">
            <v>-25524</v>
          </cell>
          <cell r="E55">
            <v>-21284</v>
          </cell>
          <cell r="F55">
            <v>-46808</v>
          </cell>
          <cell r="G55">
            <v>-37765</v>
          </cell>
          <cell r="H55">
            <v>-84573</v>
          </cell>
          <cell r="I55">
            <v>-68758</v>
          </cell>
          <cell r="J55">
            <v>-153331</v>
          </cell>
          <cell r="K55">
            <v>-191868</v>
          </cell>
          <cell r="L55">
            <v>56760</v>
          </cell>
          <cell r="M55">
            <v>-135108</v>
          </cell>
          <cell r="N55">
            <v>-9380</v>
          </cell>
          <cell r="O55">
            <v>-144488</v>
          </cell>
          <cell r="P55">
            <v>-48081</v>
          </cell>
          <cell r="Q55">
            <v>-192569</v>
          </cell>
          <cell r="R55">
            <v>-20471</v>
          </cell>
          <cell r="S55">
            <v>-37511</v>
          </cell>
          <cell r="T55">
            <v>-57982</v>
          </cell>
          <cell r="U55">
            <v>-20237</v>
          </cell>
          <cell r="V55">
            <v>-78219</v>
          </cell>
          <cell r="W55">
            <v>-51053</v>
          </cell>
          <cell r="X55">
            <v>-129272</v>
          </cell>
          <cell r="Z55">
            <v>0</v>
          </cell>
          <cell r="AA55">
            <v>-401.59165613230152</v>
          </cell>
          <cell r="AB55">
            <v>-401.59165613230152</v>
          </cell>
          <cell r="AC55">
            <v>-1887.4083438676985</v>
          </cell>
          <cell r="AD55">
            <v>-2289</v>
          </cell>
          <cell r="AE55">
            <v>-569.14357856927688</v>
          </cell>
          <cell r="AF55">
            <v>-2858.143578569277</v>
          </cell>
          <cell r="AG55">
            <v>-26828</v>
          </cell>
          <cell r="AH55">
            <v>-26828</v>
          </cell>
          <cell r="AI55">
            <v>-34425</v>
          </cell>
          <cell r="AJ55">
            <v>-61253</v>
          </cell>
          <cell r="AK55">
            <v>-435.37253013210614</v>
          </cell>
          <cell r="AL55">
            <v>-61688.372530132103</v>
          </cell>
          <cell r="AM55">
            <v>-597.25994489887955</v>
          </cell>
          <cell r="AN55">
            <v>-62285.63247503098</v>
          </cell>
        </row>
        <row r="56">
          <cell r="A56" t="str">
            <v>Securitization borrowings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AH56">
            <v>0</v>
          </cell>
        </row>
        <row r="57">
          <cell r="A57" t="str">
            <v>Payments on securitization borrowings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AH57">
            <v>0</v>
          </cell>
        </row>
        <row r="58">
          <cell r="A58" t="str">
            <v>Principal payments on ESOP loan (to RAI)</v>
          </cell>
          <cell r="B58">
            <v>0</v>
          </cell>
          <cell r="C58">
            <v>0</v>
          </cell>
          <cell r="D58">
            <v>0</v>
          </cell>
          <cell r="E58">
            <v>23</v>
          </cell>
          <cell r="F58">
            <v>23</v>
          </cell>
          <cell r="G58">
            <v>8</v>
          </cell>
          <cell r="H58">
            <v>31</v>
          </cell>
          <cell r="I58">
            <v>10</v>
          </cell>
          <cell r="J58">
            <v>41</v>
          </cell>
          <cell r="K58">
            <v>8</v>
          </cell>
          <cell r="L58">
            <v>40</v>
          </cell>
          <cell r="M58">
            <v>48</v>
          </cell>
          <cell r="N58">
            <v>8</v>
          </cell>
          <cell r="O58">
            <v>56</v>
          </cell>
          <cell r="P58">
            <v>39</v>
          </cell>
          <cell r="Q58">
            <v>95</v>
          </cell>
          <cell r="R58">
            <v>8</v>
          </cell>
          <cell r="S58">
            <v>23.95</v>
          </cell>
          <cell r="T58">
            <v>31.95</v>
          </cell>
          <cell r="U58">
            <v>5.0000000000000711E-2</v>
          </cell>
          <cell r="V58">
            <v>32</v>
          </cell>
          <cell r="W58">
            <v>64</v>
          </cell>
          <cell r="X58">
            <v>96</v>
          </cell>
          <cell r="Z58">
            <v>8</v>
          </cell>
          <cell r="AA58">
            <v>0</v>
          </cell>
          <cell r="AB58">
            <v>8</v>
          </cell>
          <cell r="AC58">
            <v>48</v>
          </cell>
          <cell r="AD58">
            <v>56</v>
          </cell>
          <cell r="AE58">
            <v>0</v>
          </cell>
          <cell r="AF58">
            <v>56</v>
          </cell>
          <cell r="AG58">
            <v>8</v>
          </cell>
          <cell r="AH58">
            <v>8</v>
          </cell>
          <cell r="AI58">
            <v>8</v>
          </cell>
          <cell r="AJ58">
            <v>16</v>
          </cell>
          <cell r="AK58">
            <v>8</v>
          </cell>
          <cell r="AL58">
            <v>24</v>
          </cell>
          <cell r="AM58">
            <v>8</v>
          </cell>
          <cell r="AN58">
            <v>32</v>
          </cell>
        </row>
        <row r="59">
          <cell r="A59" t="str">
            <v>Dividends Paid</v>
          </cell>
          <cell r="B59">
            <v>-1404</v>
          </cell>
          <cell r="C59">
            <v>-2297</v>
          </cell>
          <cell r="D59">
            <v>-739</v>
          </cell>
          <cell r="E59">
            <v>-722</v>
          </cell>
          <cell r="F59">
            <v>-1461</v>
          </cell>
          <cell r="G59">
            <v>-736</v>
          </cell>
          <cell r="H59">
            <v>-2197</v>
          </cell>
          <cell r="I59">
            <v>-734</v>
          </cell>
          <cell r="J59">
            <v>-2931</v>
          </cell>
          <cell r="K59">
            <v>-778</v>
          </cell>
          <cell r="L59">
            <v>-780</v>
          </cell>
          <cell r="M59">
            <v>-1558</v>
          </cell>
          <cell r="N59">
            <v>-780</v>
          </cell>
          <cell r="O59">
            <v>-2338</v>
          </cell>
          <cell r="P59">
            <v>-787</v>
          </cell>
          <cell r="Q59">
            <v>-3125</v>
          </cell>
          <cell r="R59">
            <v>-609</v>
          </cell>
          <cell r="S59">
            <v>-582.95699999999999</v>
          </cell>
          <cell r="T59">
            <v>-1191.9569999999999</v>
          </cell>
          <cell r="U59">
            <v>-582.04300000000012</v>
          </cell>
          <cell r="V59">
            <v>-1774</v>
          </cell>
          <cell r="W59">
            <v>-590</v>
          </cell>
          <cell r="X59">
            <v>-2364</v>
          </cell>
          <cell r="Z59">
            <v>-582</v>
          </cell>
          <cell r="AA59">
            <v>-575</v>
          </cell>
          <cell r="AB59">
            <v>-1157</v>
          </cell>
          <cell r="AC59">
            <v>-587</v>
          </cell>
          <cell r="AD59">
            <v>-1744</v>
          </cell>
          <cell r="AE59">
            <v>-575</v>
          </cell>
          <cell r="AF59">
            <v>-2319</v>
          </cell>
          <cell r="AG59">
            <v>-582</v>
          </cell>
          <cell r="AH59">
            <v>-582</v>
          </cell>
          <cell r="AI59">
            <v>-574</v>
          </cell>
          <cell r="AJ59">
            <v>-1156</v>
          </cell>
          <cell r="AK59">
            <v>-575</v>
          </cell>
          <cell r="AL59">
            <v>-1731</v>
          </cell>
          <cell r="AM59">
            <v>-575</v>
          </cell>
          <cell r="AN59">
            <v>-2306</v>
          </cell>
        </row>
        <row r="60">
          <cell r="A60" t="str">
            <v>Distributions paid to minority interest of APL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14042</v>
          </cell>
          <cell r="M60">
            <v>14042</v>
          </cell>
          <cell r="N60">
            <v>0</v>
          </cell>
          <cell r="O60">
            <v>14042</v>
          </cell>
          <cell r="P60">
            <v>-15963</v>
          </cell>
          <cell r="Q60">
            <v>-1921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-3783</v>
          </cell>
          <cell r="X60">
            <v>-3783</v>
          </cell>
          <cell r="Z60">
            <v>-973</v>
          </cell>
          <cell r="AA60">
            <v>-840</v>
          </cell>
          <cell r="AB60">
            <v>-1813</v>
          </cell>
          <cell r="AC60">
            <v>-1123</v>
          </cell>
          <cell r="AD60">
            <v>-2936</v>
          </cell>
          <cell r="AE60">
            <v>-645</v>
          </cell>
          <cell r="AF60">
            <v>-3581</v>
          </cell>
          <cell r="AG60">
            <v>-875</v>
          </cell>
          <cell r="AH60">
            <v>-875</v>
          </cell>
          <cell r="AI60">
            <v>-876</v>
          </cell>
          <cell r="AJ60">
            <v>-1751</v>
          </cell>
          <cell r="AK60">
            <v>-625</v>
          </cell>
          <cell r="AL60">
            <v>-2376</v>
          </cell>
          <cell r="AM60">
            <v>-625</v>
          </cell>
          <cell r="AN60">
            <v>-3001</v>
          </cell>
        </row>
        <row r="61">
          <cell r="A61" t="str">
            <v>Stock buyback (Dutch auction,TH&amp;B)</v>
          </cell>
          <cell r="B61">
            <v>0</v>
          </cell>
          <cell r="C61">
            <v>-4435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-113</v>
          </cell>
          <cell r="J61">
            <v>-113</v>
          </cell>
          <cell r="K61">
            <v>0</v>
          </cell>
          <cell r="L61">
            <v>-136</v>
          </cell>
          <cell r="M61">
            <v>-136</v>
          </cell>
          <cell r="N61">
            <v>-36</v>
          </cell>
          <cell r="O61">
            <v>-172</v>
          </cell>
          <cell r="P61">
            <v>0</v>
          </cell>
          <cell r="Q61">
            <v>-172</v>
          </cell>
          <cell r="R61">
            <v>-58170</v>
          </cell>
          <cell r="S61">
            <v>1127</v>
          </cell>
          <cell r="T61">
            <v>-57043</v>
          </cell>
          <cell r="U61">
            <v>-211</v>
          </cell>
          <cell r="V61">
            <v>-57254</v>
          </cell>
          <cell r="W61">
            <v>-547</v>
          </cell>
          <cell r="X61">
            <v>-57801</v>
          </cell>
          <cell r="Z61">
            <v>-298</v>
          </cell>
          <cell r="AB61">
            <v>-298</v>
          </cell>
          <cell r="AC61">
            <v>-674</v>
          </cell>
          <cell r="AD61">
            <v>-972</v>
          </cell>
          <cell r="AE61">
            <v>0</v>
          </cell>
          <cell r="AF61">
            <v>-972</v>
          </cell>
          <cell r="AG61">
            <v>-1597</v>
          </cell>
          <cell r="AH61">
            <v>-1597</v>
          </cell>
          <cell r="AI61">
            <v>-1641</v>
          </cell>
          <cell r="AJ61">
            <v>-3238</v>
          </cell>
          <cell r="AK61">
            <v>0</v>
          </cell>
          <cell r="AL61">
            <v>-3238</v>
          </cell>
          <cell r="AM61">
            <v>0</v>
          </cell>
          <cell r="AN61">
            <v>-3238</v>
          </cell>
        </row>
        <row r="62">
          <cell r="A62" t="str">
            <v>Other Borrowings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J62">
            <v>0</v>
          </cell>
          <cell r="K62">
            <v>3252</v>
          </cell>
          <cell r="L62">
            <v>-3252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AF62">
            <v>0</v>
          </cell>
        </row>
        <row r="63">
          <cell r="A63" t="str">
            <v>Principal payments on other borrowings</v>
          </cell>
          <cell r="B63">
            <v>0</v>
          </cell>
          <cell r="C63">
            <v>0</v>
          </cell>
          <cell r="D63">
            <v>-2449</v>
          </cell>
          <cell r="E63">
            <v>2449</v>
          </cell>
          <cell r="F63">
            <v>0</v>
          </cell>
          <cell r="G63">
            <v>0</v>
          </cell>
          <cell r="H63">
            <v>0</v>
          </cell>
          <cell r="J63">
            <v>0</v>
          </cell>
          <cell r="K63">
            <v>-1996</v>
          </cell>
          <cell r="L63">
            <v>-209</v>
          </cell>
          <cell r="M63">
            <v>-2205</v>
          </cell>
          <cell r="N63">
            <v>-46</v>
          </cell>
          <cell r="O63">
            <v>-2251</v>
          </cell>
          <cell r="P63">
            <v>2251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AF63">
            <v>0</v>
          </cell>
        </row>
        <row r="64">
          <cell r="A64" t="str">
            <v>Increase in restricted cash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J64">
            <v>0</v>
          </cell>
          <cell r="K64">
            <v>-27132</v>
          </cell>
          <cell r="L64">
            <v>27164</v>
          </cell>
          <cell r="M64">
            <v>32</v>
          </cell>
          <cell r="N64">
            <v>0</v>
          </cell>
          <cell r="O64">
            <v>32</v>
          </cell>
          <cell r="P64">
            <v>-32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-53</v>
          </cell>
          <cell r="V64">
            <v>-53</v>
          </cell>
          <cell r="W64">
            <v>53</v>
          </cell>
          <cell r="X64">
            <v>0</v>
          </cell>
          <cell r="AF64">
            <v>0</v>
          </cell>
        </row>
        <row r="65">
          <cell r="A65" t="str">
            <v>Increase in other assets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J65">
            <v>0</v>
          </cell>
          <cell r="K65">
            <v>-807</v>
          </cell>
          <cell r="L65">
            <v>807</v>
          </cell>
          <cell r="M65">
            <v>0</v>
          </cell>
          <cell r="N65">
            <v>0</v>
          </cell>
          <cell r="O65">
            <v>0</v>
          </cell>
          <cell r="P65">
            <v>15184</v>
          </cell>
          <cell r="Q65">
            <v>15184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Z65">
            <v>-62</v>
          </cell>
          <cell r="AB65">
            <v>-62</v>
          </cell>
          <cell r="AC65">
            <v>-349</v>
          </cell>
          <cell r="AD65">
            <v>-411</v>
          </cell>
          <cell r="AF65">
            <v>-411</v>
          </cell>
          <cell r="AG65">
            <v>-6120</v>
          </cell>
          <cell r="AH65">
            <v>-6120</v>
          </cell>
          <cell r="AI65">
            <v>-276</v>
          </cell>
          <cell r="AJ65">
            <v>-6396</v>
          </cell>
          <cell r="AK65">
            <v>0</v>
          </cell>
          <cell r="AL65">
            <v>-6396</v>
          </cell>
          <cell r="AM65">
            <v>0</v>
          </cell>
          <cell r="AN65">
            <v>-6396</v>
          </cell>
        </row>
        <row r="66">
          <cell r="A66" t="str">
            <v>Subtotal Financing</v>
          </cell>
          <cell r="B66">
            <v>124173</v>
          </cell>
          <cell r="C66">
            <v>111507</v>
          </cell>
          <cell r="D66">
            <v>-2025</v>
          </cell>
          <cell r="E66">
            <v>87889</v>
          </cell>
          <cell r="F66">
            <v>85864</v>
          </cell>
          <cell r="G66">
            <v>-14375</v>
          </cell>
          <cell r="H66">
            <v>71489</v>
          </cell>
          <cell r="I66">
            <v>18067</v>
          </cell>
          <cell r="J66">
            <v>89556</v>
          </cell>
          <cell r="K66">
            <v>-2929</v>
          </cell>
          <cell r="L66">
            <v>-59739</v>
          </cell>
          <cell r="M66">
            <v>-62668</v>
          </cell>
          <cell r="N66">
            <v>4849</v>
          </cell>
          <cell r="O66">
            <v>-57819</v>
          </cell>
          <cell r="P66">
            <v>-19539</v>
          </cell>
          <cell r="Q66">
            <v>-77358</v>
          </cell>
          <cell r="R66">
            <v>-64930</v>
          </cell>
          <cell r="S66">
            <v>-6890.0070000000005</v>
          </cell>
          <cell r="T66">
            <v>-71820.006999999998</v>
          </cell>
          <cell r="U66">
            <v>19430.006999999998</v>
          </cell>
          <cell r="V66">
            <v>-52390</v>
          </cell>
          <cell r="W66">
            <v>-5995</v>
          </cell>
          <cell r="X66">
            <v>-58385</v>
          </cell>
          <cell r="Y66">
            <v>0</v>
          </cell>
          <cell r="Z66">
            <v>-1592</v>
          </cell>
          <cell r="AA66">
            <v>-1816.5916561323015</v>
          </cell>
          <cell r="AB66">
            <v>-3723.5916561323015</v>
          </cell>
          <cell r="AC66">
            <v>-4572.4083438676989</v>
          </cell>
          <cell r="AD66">
            <v>-8296</v>
          </cell>
          <cell r="AE66">
            <v>-1789.143578569277</v>
          </cell>
          <cell r="AF66">
            <v>-10085.143578569277</v>
          </cell>
          <cell r="AG66">
            <v>6701</v>
          </cell>
          <cell r="AH66">
            <v>6701</v>
          </cell>
          <cell r="AI66">
            <v>-16315</v>
          </cell>
          <cell r="AJ66">
            <v>-9614</v>
          </cell>
          <cell r="AK66">
            <v>-1627.372530132106</v>
          </cell>
          <cell r="AL66">
            <v>-11241.372530132103</v>
          </cell>
          <cell r="AM66">
            <v>-1789.2599448988794</v>
          </cell>
          <cell r="AN66">
            <v>-13030.63247503098</v>
          </cell>
        </row>
        <row r="68">
          <cell r="A68" t="str">
            <v>Net cash from Energy subsidiary</v>
          </cell>
          <cell r="B68">
            <v>0</v>
          </cell>
          <cell r="C68">
            <v>0</v>
          </cell>
          <cell r="D68">
            <v>-1175</v>
          </cell>
          <cell r="E68">
            <v>-40804</v>
          </cell>
          <cell r="F68">
            <v>-41979</v>
          </cell>
          <cell r="G68">
            <v>3332</v>
          </cell>
          <cell r="H68">
            <v>-38647</v>
          </cell>
          <cell r="I68">
            <v>-9670</v>
          </cell>
          <cell r="J68">
            <v>-48317</v>
          </cell>
          <cell r="K68">
            <v>-217</v>
          </cell>
          <cell r="L68">
            <v>-10271</v>
          </cell>
          <cell r="M68">
            <v>-10488</v>
          </cell>
          <cell r="N68">
            <v>21</v>
          </cell>
          <cell r="O68">
            <v>-10467</v>
          </cell>
          <cell r="P68">
            <v>-15858</v>
          </cell>
          <cell r="Q68">
            <v>-26325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1417</v>
          </cell>
          <cell r="X68">
            <v>1417</v>
          </cell>
          <cell r="Z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</row>
        <row r="69">
          <cell r="A69" t="str">
            <v>Effect of exchange rate changes on cash</v>
          </cell>
          <cell r="B69">
            <v>0</v>
          </cell>
          <cell r="C69">
            <v>0</v>
          </cell>
          <cell r="J69">
            <v>0</v>
          </cell>
          <cell r="K69">
            <v>-60</v>
          </cell>
          <cell r="L69">
            <v>60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Z69">
            <v>0</v>
          </cell>
        </row>
        <row r="71">
          <cell r="A71" t="str">
            <v>Net Cash Flow</v>
          </cell>
          <cell r="B71">
            <v>65125</v>
          </cell>
          <cell r="C71">
            <v>8801</v>
          </cell>
          <cell r="D71">
            <v>-27655</v>
          </cell>
          <cell r="E71">
            <v>-21670</v>
          </cell>
          <cell r="F71">
            <v>-49325</v>
          </cell>
          <cell r="G71">
            <v>4840</v>
          </cell>
          <cell r="H71">
            <v>-44485</v>
          </cell>
          <cell r="I71">
            <v>2756</v>
          </cell>
          <cell r="J71">
            <v>-40841</v>
          </cell>
          <cell r="K71">
            <v>4563</v>
          </cell>
          <cell r="L71">
            <v>-27986</v>
          </cell>
          <cell r="M71">
            <v>-23423</v>
          </cell>
          <cell r="N71">
            <v>2141</v>
          </cell>
          <cell r="O71">
            <v>-21282</v>
          </cell>
          <cell r="P71">
            <v>105885</v>
          </cell>
          <cell r="Q71">
            <v>84603</v>
          </cell>
          <cell r="R71">
            <v>-55177.983569600001</v>
          </cell>
          <cell r="S71">
            <v>-34445.153435559849</v>
          </cell>
          <cell r="T71">
            <v>-89623.137005159835</v>
          </cell>
          <cell r="U71">
            <v>26283.981999999996</v>
          </cell>
          <cell r="V71">
            <v>-63339.155005159839</v>
          </cell>
          <cell r="W71">
            <v>-5120.1379799301349</v>
          </cell>
          <cell r="X71">
            <v>-68459.292985089967</v>
          </cell>
          <cell r="Z71">
            <v>-9142</v>
          </cell>
          <cell r="AA71">
            <v>8503.9683438677002</v>
          </cell>
          <cell r="AB71">
            <v>-953.03165613230112</v>
          </cell>
          <cell r="AC71">
            <v>-21440.408343867697</v>
          </cell>
          <cell r="AD71">
            <v>-22393.439999999999</v>
          </cell>
          <cell r="AE71">
            <v>-1949.143578569277</v>
          </cell>
          <cell r="AF71">
            <v>-24342.583578569276</v>
          </cell>
          <cell r="AG71">
            <v>18305</v>
          </cell>
          <cell r="AH71">
            <v>18305</v>
          </cell>
          <cell r="AI71">
            <v>-16457.86</v>
          </cell>
          <cell r="AJ71">
            <v>1847.1399999999994</v>
          </cell>
          <cell r="AK71">
            <v>10149.058369867893</v>
          </cell>
          <cell r="AL71">
            <v>11996.198369867892</v>
          </cell>
          <cell r="AM71">
            <v>-910.72828731908976</v>
          </cell>
          <cell r="AN71">
            <v>11085.470082548803</v>
          </cell>
        </row>
        <row r="73">
          <cell r="A73" t="str">
            <v>Beginning Cash Balance</v>
          </cell>
          <cell r="B73">
            <v>4154</v>
          </cell>
          <cell r="C73">
            <v>69279</v>
          </cell>
          <cell r="D73">
            <v>78080</v>
          </cell>
          <cell r="E73">
            <v>45690</v>
          </cell>
          <cell r="F73">
            <v>78080</v>
          </cell>
          <cell r="G73">
            <v>24020</v>
          </cell>
          <cell r="H73">
            <v>78080</v>
          </cell>
          <cell r="I73">
            <v>28860</v>
          </cell>
          <cell r="J73">
            <v>78080</v>
          </cell>
          <cell r="K73">
            <v>42643</v>
          </cell>
          <cell r="L73">
            <v>47206</v>
          </cell>
          <cell r="M73">
            <v>42643</v>
          </cell>
          <cell r="N73">
            <v>19220</v>
          </cell>
          <cell r="O73">
            <v>42643</v>
          </cell>
          <cell r="P73">
            <v>21361</v>
          </cell>
          <cell r="Q73">
            <v>37239</v>
          </cell>
          <cell r="R73">
            <v>117107</v>
          </cell>
          <cell r="S73">
            <v>61929.016430399999</v>
          </cell>
          <cell r="T73">
            <v>117107</v>
          </cell>
          <cell r="U73">
            <v>27483.86299484015</v>
          </cell>
          <cell r="V73">
            <v>117107</v>
          </cell>
          <cell r="W73">
            <v>53767.844994840147</v>
          </cell>
          <cell r="X73">
            <v>127246</v>
          </cell>
          <cell r="Z73">
            <v>48647.707014910033</v>
          </cell>
          <cell r="AA73">
            <v>39505.707014910033</v>
          </cell>
          <cell r="AB73">
            <v>48647.707014910033</v>
          </cell>
          <cell r="AC73">
            <v>48009.675358777735</v>
          </cell>
          <cell r="AD73">
            <v>48647.707014910033</v>
          </cell>
          <cell r="AE73">
            <v>26569.267014910038</v>
          </cell>
          <cell r="AF73">
            <v>48647.707014910033</v>
          </cell>
          <cell r="AG73">
            <v>25736</v>
          </cell>
          <cell r="AH73">
            <v>25736</v>
          </cell>
          <cell r="AI73">
            <v>44041</v>
          </cell>
          <cell r="AJ73">
            <v>25736</v>
          </cell>
          <cell r="AK73">
            <v>27583.14</v>
          </cell>
          <cell r="AL73">
            <v>25736</v>
          </cell>
          <cell r="AM73">
            <v>37732.198369867896</v>
          </cell>
          <cell r="AN73">
            <v>25736</v>
          </cell>
        </row>
        <row r="75">
          <cell r="A75" t="str">
            <v>Ending Cash Balance</v>
          </cell>
          <cell r="B75">
            <v>69279</v>
          </cell>
          <cell r="C75">
            <v>78080</v>
          </cell>
          <cell r="D75">
            <v>45690</v>
          </cell>
          <cell r="E75">
            <v>24020</v>
          </cell>
          <cell r="F75">
            <v>28755</v>
          </cell>
          <cell r="G75">
            <v>28860</v>
          </cell>
          <cell r="H75">
            <v>33595</v>
          </cell>
          <cell r="I75">
            <v>31616</v>
          </cell>
          <cell r="J75">
            <v>37239</v>
          </cell>
          <cell r="K75">
            <v>47206</v>
          </cell>
          <cell r="L75">
            <v>19220</v>
          </cell>
          <cell r="M75">
            <v>19220</v>
          </cell>
          <cell r="N75">
            <v>21361</v>
          </cell>
          <cell r="O75">
            <v>21361</v>
          </cell>
          <cell r="P75">
            <v>127246</v>
          </cell>
          <cell r="Q75">
            <v>127246</v>
          </cell>
          <cell r="R75">
            <v>61929.016430399999</v>
          </cell>
          <cell r="S75">
            <v>27483.86299484015</v>
          </cell>
          <cell r="T75">
            <v>27483.862994840165</v>
          </cell>
          <cell r="U75">
            <v>53767.844994840147</v>
          </cell>
          <cell r="V75">
            <v>53767.844994840161</v>
          </cell>
          <cell r="W75">
            <v>48647.707014910011</v>
          </cell>
          <cell r="X75">
            <v>48647.707014910033</v>
          </cell>
          <cell r="Z75">
            <v>39505.707014910033</v>
          </cell>
          <cell r="AA75">
            <v>48009.675358777735</v>
          </cell>
          <cell r="AB75">
            <v>47694.675358777735</v>
          </cell>
          <cell r="AC75">
            <v>26569.267014910038</v>
          </cell>
          <cell r="AD75">
            <v>26254.267014910034</v>
          </cell>
          <cell r="AE75">
            <v>24620.12343634076</v>
          </cell>
          <cell r="AF75">
            <v>24620.12343634076</v>
          </cell>
          <cell r="AG75">
            <v>44041</v>
          </cell>
          <cell r="AH75">
            <v>44041</v>
          </cell>
          <cell r="AI75">
            <v>27583.14</v>
          </cell>
          <cell r="AJ75">
            <v>27583.14</v>
          </cell>
          <cell r="AK75">
            <v>37732.198369867896</v>
          </cell>
          <cell r="AL75">
            <v>37732.198369867896</v>
          </cell>
          <cell r="AM75">
            <v>36821.470082548803</v>
          </cell>
          <cell r="AN75">
            <v>36821.470082548803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6">
          <cell r="B6" t="str">
            <v>As of June 30, 2002</v>
          </cell>
        </row>
        <row r="7">
          <cell r="B7" t="str">
            <v>(in $000s) except where indicated</v>
          </cell>
          <cell r="C7" t="str">
            <v>Estimated FMV</v>
          </cell>
          <cell r="D7" t="str">
            <v>Tax Basis</v>
          </cell>
        </row>
        <row r="8">
          <cell r="B8" t="str">
            <v>Value of Well OPX and Maintenance Contract</v>
          </cell>
          <cell r="C8">
            <v>36.361342379292978</v>
          </cell>
          <cell r="D8">
            <v>10</v>
          </cell>
        </row>
        <row r="9">
          <cell r="B9" t="str">
            <v>Value of Syndication Network (2x Book)</v>
          </cell>
          <cell r="C9">
            <v>17.059999999999999</v>
          </cell>
          <cell r="D9">
            <v>0</v>
          </cell>
        </row>
        <row r="10">
          <cell r="B10" t="str">
            <v>Value of Oil and Gas Reserves</v>
          </cell>
          <cell r="C10">
            <v>109.81809743313191</v>
          </cell>
          <cell r="D10">
            <v>92.974000000000004</v>
          </cell>
        </row>
        <row r="11">
          <cell r="B11" t="str">
            <v>Value of Interest in Apl (80% of mkt. value)</v>
          </cell>
          <cell r="C11">
            <v>29.444800000000001</v>
          </cell>
          <cell r="D11">
            <v>0</v>
          </cell>
        </row>
        <row r="12">
          <cell r="B12" t="str">
            <v>Value of Interest in RAS (80% of mkt. value)</v>
          </cell>
          <cell r="C12">
            <v>27.121978056000003</v>
          </cell>
          <cell r="D12">
            <v>20.24175</v>
          </cell>
        </row>
        <row r="13">
          <cell r="B13" t="str">
            <v>Value of RPI</v>
          </cell>
          <cell r="C13">
            <v>192</v>
          </cell>
          <cell r="D13">
            <v>168</v>
          </cell>
        </row>
        <row r="14">
          <cell r="B14" t="str">
            <v>Other Assets</v>
          </cell>
          <cell r="C14">
            <v>8.141</v>
          </cell>
          <cell r="D14">
            <v>18.664000000000001</v>
          </cell>
        </row>
        <row r="15">
          <cell r="B15" t="str">
            <v>Other Fixed Assets</v>
          </cell>
          <cell r="C15">
            <v>7.8380000000000001</v>
          </cell>
          <cell r="D15">
            <v>0</v>
          </cell>
        </row>
        <row r="16">
          <cell r="B16" t="str">
            <v>Investment in Real Estate Ventures</v>
          </cell>
          <cell r="C16">
            <v>18.294</v>
          </cell>
          <cell r="D16">
            <v>15.194000000000001</v>
          </cell>
        </row>
        <row r="17">
          <cell r="B17" t="str">
            <v>Working Capital</v>
          </cell>
          <cell r="C17">
            <v>11.598000000000001</v>
          </cell>
        </row>
        <row r="18">
          <cell r="B18" t="str">
            <v>Total Pre-Tax Asset Value</v>
          </cell>
          <cell r="C18">
            <v>457.67721786842492</v>
          </cell>
        </row>
        <row r="19">
          <cell r="B19" t="str">
            <v>Cash Taxes Payable on Liquidation</v>
          </cell>
          <cell r="C19">
            <v>42.351913753948708</v>
          </cell>
        </row>
        <row r="20">
          <cell r="B20" t="str">
            <v>After Tax Value of the Assets</v>
          </cell>
          <cell r="C20">
            <v>415.32530411447624</v>
          </cell>
        </row>
        <row r="21">
          <cell r="B21" t="str">
            <v>Long Term Debt</v>
          </cell>
          <cell r="C21">
            <v>159.5</v>
          </cell>
        </row>
        <row r="22">
          <cell r="B22" t="str">
            <v>Net Asset Value</v>
          </cell>
          <cell r="C22">
            <v>255.82530411447624</v>
          </cell>
        </row>
        <row r="24">
          <cell r="B24" t="str">
            <v>Diluted Shares Outstanding</v>
          </cell>
          <cell r="C24">
            <v>17.901</v>
          </cell>
        </row>
        <row r="25">
          <cell r="B25" t="str">
            <v>Net After-Tax Asset Value/Share</v>
          </cell>
          <cell r="C25">
            <v>14.291118044493393</v>
          </cell>
        </row>
        <row r="29">
          <cell r="B29" t="str">
            <v>Adjusted Net Asset Value</v>
          </cell>
          <cell r="C29">
            <v>14.291118044493393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 refreshError="1">
        <row r="126">
          <cell r="A126" t="str">
            <v xml:space="preserve">          Year-to-year Change</v>
          </cell>
          <cell r="H126">
            <v>0.24991384829505892</v>
          </cell>
          <cell r="I126">
            <v>0.24277162542455155</v>
          </cell>
          <cell r="J126">
            <v>0.17128054704826257</v>
          </cell>
          <cell r="K126">
            <v>0.19787431328757976</v>
          </cell>
          <cell r="L126">
            <v>0.21342032121539933</v>
          </cell>
          <cell r="M126">
            <v>0.11308623127770367</v>
          </cell>
          <cell r="N126">
            <v>0.13621623127582838</v>
          </cell>
          <cell r="O126">
            <v>4.1600157294749307E-2</v>
          </cell>
          <cell r="P126">
            <v>5.288018960603047E-4</v>
          </cell>
          <cell r="Q126">
            <v>6.9827552999787601E-2</v>
          </cell>
          <cell r="R126">
            <v>9.6949821744704012E-2</v>
          </cell>
          <cell r="S126">
            <v>0.10393005126212396</v>
          </cell>
          <cell r="T126">
            <v>0.15875404562703643</v>
          </cell>
          <cell r="U126">
            <v>0.13728488337353251</v>
          </cell>
          <cell r="V126">
            <v>0.12411421944485412</v>
          </cell>
          <cell r="W126">
            <v>0.11267059373022015</v>
          </cell>
          <cell r="X126">
            <v>0.1137873612171183</v>
          </cell>
          <cell r="Y126">
            <v>0.15637754933385595</v>
          </cell>
          <cell r="Z126">
            <v>0.19174131173031506</v>
          </cell>
          <cell r="AA126">
            <v>0.14448148244938852</v>
          </cell>
          <cell r="AB126">
            <v>0.22155491346758738</v>
          </cell>
          <cell r="AC126">
            <v>0.27646766241175347</v>
          </cell>
          <cell r="AD126">
            <v>0.26552277762156762</v>
          </cell>
          <cell r="AE126">
            <v>0.20143064551248724</v>
          </cell>
          <cell r="AF126">
            <v>0.24058301745134503</v>
          </cell>
          <cell r="AG126">
            <v>0.1486487231280289</v>
          </cell>
          <cell r="AH126">
            <v>0.12922511757116739</v>
          </cell>
          <cell r="AI126">
            <v>0.13405047685948768</v>
          </cell>
          <cell r="AJ126">
            <v>0.11037697235981536</v>
          </cell>
          <cell r="AK126">
            <v>0.12996483375385304</v>
          </cell>
          <cell r="AL126">
            <v>0.13211388898160825</v>
          </cell>
          <cell r="AM126">
            <v>0.10896118500135699</v>
          </cell>
          <cell r="AN126">
            <v>0.10970486293456561</v>
          </cell>
          <cell r="AO126">
            <v>0.13264776462977013</v>
          </cell>
          <cell r="AP126">
            <v>0.1206549049913983</v>
          </cell>
          <cell r="AQ126">
            <v>0.18374266591974497</v>
          </cell>
          <cell r="AR126">
            <v>0.21393055701248298</v>
          </cell>
          <cell r="AS126">
            <v>0.19803673681862133</v>
          </cell>
          <cell r="AT126">
            <v>0.21580191812119787</v>
          </cell>
          <cell r="AU126">
            <v>0.20324910247702466</v>
          </cell>
          <cell r="AV126">
            <v>0.18208921506788633</v>
          </cell>
          <cell r="AW126">
            <v>0.13183014043338614</v>
          </cell>
          <cell r="AX126">
            <v>0.16128580568546536</v>
          </cell>
          <cell r="AY126">
            <v>0.17105448728203054</v>
          </cell>
          <cell r="AZ126">
            <v>0.1613089449314169</v>
          </cell>
          <cell r="BE126">
            <v>0.13998980255872473</v>
          </cell>
        </row>
        <row r="150">
          <cell r="A150" t="str">
            <v xml:space="preserve">          Year-to-year Change</v>
          </cell>
          <cell r="H150">
            <v>0.64370909090909056</v>
          </cell>
          <cell r="I150">
            <v>-3.8532532532532637E-2</v>
          </cell>
          <cell r="J150">
            <v>-0.14038181818181816</v>
          </cell>
          <cell r="K150">
            <v>-0.42361312607944723</v>
          </cell>
          <cell r="L150">
            <v>-0.15328845157949234</v>
          </cell>
          <cell r="M150">
            <v>-0.54210926677852911</v>
          </cell>
          <cell r="N150">
            <v>-0.52469323460759232</v>
          </cell>
          <cell r="O150">
            <v>-0.63166287123012088</v>
          </cell>
          <cell r="P150">
            <v>-0.66169755010068076</v>
          </cell>
          <cell r="Q150">
            <v>-0.53090611620795103</v>
          </cell>
          <cell r="R150">
            <v>-0.56731092639978287</v>
          </cell>
          <cell r="S150">
            <v>-0.54760752187674555</v>
          </cell>
          <cell r="T150">
            <v>-0.34228920159636078</v>
          </cell>
          <cell r="U150">
            <v>6.5548577957679655E-2</v>
          </cell>
          <cell r="V150">
            <v>-0.42230352354757728</v>
          </cell>
          <cell r="W150">
            <v>0.33185882514623399</v>
          </cell>
          <cell r="X150">
            <v>0.99552129683876212</v>
          </cell>
          <cell r="Y150">
            <v>1.211279150983664</v>
          </cell>
          <cell r="Z150">
            <v>-0.87922012609984079</v>
          </cell>
          <cell r="AA150">
            <v>0.36231337809625908</v>
          </cell>
          <cell r="AB150">
            <v>-0.94289915451537798</v>
          </cell>
          <cell r="AC150">
            <v>-0.87143234960850779</v>
          </cell>
          <cell r="AD150">
            <v>-0.8934798583007052</v>
          </cell>
          <cell r="AE150">
            <v>3.6799724707501724</v>
          </cell>
          <cell r="AF150">
            <v>-0.78855613006476066</v>
          </cell>
          <cell r="AG150">
            <v>14.981477298396209</v>
          </cell>
          <cell r="AH150">
            <v>5.0013587982184653</v>
          </cell>
          <cell r="AI150">
            <v>7.4634076026522802</v>
          </cell>
          <cell r="AJ150">
            <v>1.6838235294117645</v>
          </cell>
          <cell r="AK150">
            <v>4.3945419928072775</v>
          </cell>
          <cell r="AL150">
            <v>2.1201413427561766E-2</v>
          </cell>
          <cell r="AM150">
            <v>-0.55660377358490587</v>
          </cell>
          <cell r="AN150">
            <v>-0.81508515815085159</v>
          </cell>
          <cell r="AO150">
            <v>-1.1095890410958904</v>
          </cell>
          <cell r="AP150">
            <v>-0.66158315177923033</v>
          </cell>
          <cell r="AQ150">
            <v>-0.78892733564013828</v>
          </cell>
          <cell r="AR150">
            <v>1.3049645390070923</v>
          </cell>
          <cell r="AS150">
            <v>6.4342105263157903</v>
          </cell>
          <cell r="AT150">
            <v>-16.025000000000002</v>
          </cell>
          <cell r="AU150">
            <v>2.3304721030042925</v>
          </cell>
          <cell r="AV150">
            <v>10.704918032786882</v>
          </cell>
          <cell r="AW150">
            <v>1.5753846153846163</v>
          </cell>
          <cell r="AX150">
            <v>0.30796460176991158</v>
          </cell>
          <cell r="AY150">
            <v>9.8169717138103518E-2</v>
          </cell>
          <cell r="AZ150">
            <v>0.90077319587628879</v>
          </cell>
          <cell r="BE150">
            <v>0.12711864406779649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DEK2"/>
      <sheetName val="CAD"/>
      <sheetName val="Macro - Update Forecast"/>
      <sheetName val="Macro - SENSITIVITY"/>
      <sheetName val="Module1"/>
      <sheetName val="Macro - SENSITIVITY NAV"/>
      <sheetName val="Macro - Internal Print"/>
      <sheetName val="Macro - Clients Print "/>
    </sheetNames>
    <sheetDataSet>
      <sheetData sheetId="0">
        <row r="2">
          <cell r="B2" t="str">
            <v xml:space="preserve">WTI Crude </v>
          </cell>
          <cell r="C2">
            <v>80</v>
          </cell>
          <cell r="D2">
            <v>80</v>
          </cell>
          <cell r="E2">
            <v>75</v>
          </cell>
          <cell r="F2">
            <v>104.22499999999999</v>
          </cell>
          <cell r="G2">
            <v>75</v>
          </cell>
          <cell r="H2">
            <v>118.79</v>
          </cell>
          <cell r="I2">
            <v>125.27</v>
          </cell>
          <cell r="J2">
            <v>97.84</v>
          </cell>
          <cell r="K2">
            <v>72.212999999999994</v>
          </cell>
          <cell r="L2">
            <v>90.57</v>
          </cell>
          <cell r="M2">
            <v>75.239999999999995</v>
          </cell>
          <cell r="N2">
            <v>64.951999999999998</v>
          </cell>
          <cell r="O2">
            <v>58.09</v>
          </cell>
          <cell r="P2">
            <v>66.072547500000013</v>
          </cell>
          <cell r="Q2">
            <v>59.956000000000003</v>
          </cell>
          <cell r="R2">
            <v>70.484189999999998</v>
          </cell>
          <cell r="S2">
            <v>70.510000000000005</v>
          </cell>
          <cell r="T2">
            <v>63.34</v>
          </cell>
          <cell r="U2">
            <v>56.539999999999992</v>
          </cell>
          <cell r="V2">
            <v>60.04</v>
          </cell>
          <cell r="W2">
            <v>63.18</v>
          </cell>
          <cell r="X2">
            <v>53.11</v>
          </cell>
          <cell r="Y2">
            <v>49.83</v>
          </cell>
          <cell r="Z2">
            <v>41.457499999999996</v>
          </cell>
          <cell r="AA2">
            <v>48.3</v>
          </cell>
          <cell r="AB2">
            <v>43.91</v>
          </cell>
          <cell r="AC2">
            <v>38.4</v>
          </cell>
          <cell r="AD2">
            <v>35.22</v>
          </cell>
          <cell r="AE2">
            <v>31.1</v>
          </cell>
          <cell r="AF2">
            <v>31.18</v>
          </cell>
          <cell r="AG2">
            <v>30.21</v>
          </cell>
          <cell r="AH2">
            <v>29.05</v>
          </cell>
          <cell r="AI2">
            <v>33.96</v>
          </cell>
          <cell r="AJ2">
            <v>26.097499999999997</v>
          </cell>
          <cell r="AK2">
            <v>28.3</v>
          </cell>
          <cell r="AL2">
            <v>28.3</v>
          </cell>
          <cell r="AM2">
            <v>26.22</v>
          </cell>
          <cell r="AN2">
            <v>21.57</v>
          </cell>
          <cell r="AO2">
            <v>25.939999999999998</v>
          </cell>
          <cell r="AP2">
            <v>20.45</v>
          </cell>
          <cell r="AQ2">
            <v>26.73</v>
          </cell>
          <cell r="AR2">
            <v>27.83</v>
          </cell>
          <cell r="AS2">
            <v>28.75</v>
          </cell>
          <cell r="AT2">
            <v>30.327999999999999</v>
          </cell>
          <cell r="AU2">
            <v>31.96</v>
          </cell>
          <cell r="AV2">
            <v>31.713999999999999</v>
          </cell>
          <cell r="AW2">
            <v>28.834</v>
          </cell>
          <cell r="AX2">
            <v>28.803999999999998</v>
          </cell>
          <cell r="AY2">
            <v>19.3</v>
          </cell>
          <cell r="AZ2">
            <v>24.52</v>
          </cell>
          <cell r="BA2">
            <v>21.72</v>
          </cell>
          <cell r="BB2">
            <v>17.66</v>
          </cell>
          <cell r="BC2">
            <v>13.12</v>
          </cell>
          <cell r="BD2">
            <v>14.4</v>
          </cell>
          <cell r="BE2">
            <v>12.9</v>
          </cell>
          <cell r="BF2">
            <v>14.17</v>
          </cell>
          <cell r="BG2">
            <v>14.6</v>
          </cell>
          <cell r="BH2">
            <v>15.93</v>
          </cell>
          <cell r="BI2">
            <v>20.608178451797588</v>
          </cell>
          <cell r="BJ2">
            <v>19.916007173181086</v>
          </cell>
          <cell r="BK2">
            <v>19.78096681096681</v>
          </cell>
          <cell r="BL2">
            <v>19.978369408369407</v>
          </cell>
          <cell r="BM2">
            <v>22.757370414673044</v>
          </cell>
          <cell r="BN2">
            <v>22.14</v>
          </cell>
          <cell r="BO2">
            <v>24.72</v>
          </cell>
          <cell r="BP2">
            <v>22.28</v>
          </cell>
          <cell r="BQ2">
            <v>21.83</v>
          </cell>
          <cell r="BR2">
            <v>19.73</v>
          </cell>
          <cell r="BS2">
            <v>18.43</v>
          </cell>
          <cell r="BT2">
            <v>18.16</v>
          </cell>
          <cell r="BU2">
            <v>17.84</v>
          </cell>
          <cell r="BV2">
            <v>19.39</v>
          </cell>
          <cell r="BW2">
            <v>18.34</v>
          </cell>
          <cell r="BX2">
            <v>17.18</v>
          </cell>
          <cell r="BY2">
            <v>17.7</v>
          </cell>
          <cell r="BZ2">
            <v>18.54</v>
          </cell>
          <cell r="CA2">
            <v>17.63</v>
          </cell>
          <cell r="CB2">
            <v>14.84</v>
          </cell>
          <cell r="CC2">
            <v>18.489999999999998</v>
          </cell>
          <cell r="CD2">
            <v>16.510000000000002</v>
          </cell>
          <cell r="CE2">
            <v>17.79</v>
          </cell>
          <cell r="CF2">
            <v>19.809999999999999</v>
          </cell>
          <cell r="CG2">
            <v>19.86</v>
          </cell>
          <cell r="CH2">
            <v>20.54</v>
          </cell>
          <cell r="CI2">
            <v>20.51</v>
          </cell>
          <cell r="CJ2">
            <v>21.66</v>
          </cell>
          <cell r="CK2">
            <v>21.09</v>
          </cell>
          <cell r="CL2">
            <v>18.91</v>
          </cell>
          <cell r="CM2">
            <v>21.6</v>
          </cell>
          <cell r="CN2">
            <v>21.82</v>
          </cell>
          <cell r="CO2">
            <v>21.62</v>
          </cell>
          <cell r="CP2">
            <v>20.73</v>
          </cell>
          <cell r="CQ2">
            <v>22.22</v>
          </cell>
          <cell r="CR2">
            <v>24.46</v>
          </cell>
          <cell r="CS2">
            <v>19.53</v>
          </cell>
          <cell r="CT2">
            <v>15.96</v>
          </cell>
          <cell r="CU2">
            <v>19.170000000000002</v>
          </cell>
        </row>
        <row r="3">
          <cell r="B3" t="str">
            <v>Natural Gas Gulf Coast</v>
          </cell>
          <cell r="C3">
            <v>7.5</v>
          </cell>
          <cell r="D3">
            <v>7.5</v>
          </cell>
          <cell r="E3">
            <v>7.25</v>
          </cell>
          <cell r="F3">
            <v>8.6624999999999996</v>
          </cell>
          <cell r="G3">
            <v>7</v>
          </cell>
          <cell r="H3">
            <v>8.5</v>
          </cell>
          <cell r="I3">
            <v>10.77</v>
          </cell>
          <cell r="J3">
            <v>8.3800000000000008</v>
          </cell>
          <cell r="K3">
            <v>6.6284615384615382</v>
          </cell>
          <cell r="L3">
            <v>6.67</v>
          </cell>
          <cell r="M3">
            <v>5.89</v>
          </cell>
          <cell r="N3">
            <v>7.13</v>
          </cell>
          <cell r="O3">
            <v>6.8238461538461532</v>
          </cell>
          <cell r="P3">
            <v>6.3873076923076919</v>
          </cell>
          <cell r="Q3">
            <v>6.319230769230769</v>
          </cell>
          <cell r="R3">
            <v>5.82</v>
          </cell>
          <cell r="S3">
            <v>6.15</v>
          </cell>
          <cell r="T3">
            <v>7.26</v>
          </cell>
          <cell r="U3">
            <v>8.3249999999999993</v>
          </cell>
          <cell r="V3">
            <v>11.04</v>
          </cell>
          <cell r="W3">
            <v>9.24</v>
          </cell>
          <cell r="X3">
            <v>6.68</v>
          </cell>
          <cell r="Y3">
            <v>6.34</v>
          </cell>
          <cell r="Z3">
            <v>5.7149999999999999</v>
          </cell>
          <cell r="AA3">
            <v>6.16</v>
          </cell>
          <cell r="AB3">
            <v>5.34</v>
          </cell>
          <cell r="AC3">
            <v>5.93</v>
          </cell>
          <cell r="AD3">
            <v>5.43</v>
          </cell>
          <cell r="AE3">
            <v>5.3000000000000007</v>
          </cell>
          <cell r="AF3">
            <v>4.9000000000000004</v>
          </cell>
          <cell r="AG3">
            <v>4.75</v>
          </cell>
          <cell r="AH3">
            <v>5.38</v>
          </cell>
          <cell r="AI3">
            <v>6.17</v>
          </cell>
          <cell r="AJ3">
            <v>3.125</v>
          </cell>
          <cell r="AK3">
            <v>4.0199999999999996</v>
          </cell>
          <cell r="AL3">
            <v>2.95</v>
          </cell>
          <cell r="AM3">
            <v>3.14</v>
          </cell>
          <cell r="AN3">
            <v>2.39</v>
          </cell>
          <cell r="AO3">
            <v>3.8049999999999997</v>
          </cell>
          <cell r="AP3">
            <v>2.2599999999999998</v>
          </cell>
          <cell r="AQ3">
            <v>2.6</v>
          </cell>
          <cell r="AR3">
            <v>4.1399999999999997</v>
          </cell>
          <cell r="AS3">
            <v>6.22</v>
          </cell>
          <cell r="AT3">
            <v>4.1624999999999996</v>
          </cell>
          <cell r="AU3">
            <v>6.34</v>
          </cell>
          <cell r="AV3">
            <v>4.3099999999999996</v>
          </cell>
          <cell r="AW3">
            <v>3.52</v>
          </cell>
          <cell r="AX3">
            <v>2.48</v>
          </cell>
          <cell r="AY3">
            <v>2.16</v>
          </cell>
          <cell r="AZ3">
            <v>2.38</v>
          </cell>
          <cell r="BA3">
            <v>2.41</v>
          </cell>
          <cell r="BB3">
            <v>2.08</v>
          </cell>
          <cell r="BC3">
            <v>1.68</v>
          </cell>
          <cell r="BD3">
            <v>1.9775</v>
          </cell>
          <cell r="BE3">
            <v>1.84</v>
          </cell>
          <cell r="BF3">
            <v>1.9</v>
          </cell>
          <cell r="BG3">
            <v>2.12</v>
          </cell>
          <cell r="BH3">
            <v>2.0499999999999998</v>
          </cell>
          <cell r="BI3">
            <v>2.38</v>
          </cell>
          <cell r="BJ3">
            <v>2.72</v>
          </cell>
          <cell r="BK3">
            <v>2.2999999999999998</v>
          </cell>
          <cell r="BL3">
            <v>1.98</v>
          </cell>
          <cell r="BM3">
            <v>2.52</v>
          </cell>
          <cell r="BN3">
            <v>2.41</v>
          </cell>
          <cell r="BO3">
            <v>2.8</v>
          </cell>
          <cell r="BP3">
            <v>1.98</v>
          </cell>
          <cell r="BQ3">
            <v>2.16</v>
          </cell>
          <cell r="BR3">
            <v>2.71</v>
          </cell>
          <cell r="BS3">
            <v>1.47</v>
          </cell>
          <cell r="BT3">
            <v>1.79</v>
          </cell>
          <cell r="BU3">
            <v>1.36</v>
          </cell>
          <cell r="BV3">
            <v>1.42</v>
          </cell>
          <cell r="BW3">
            <v>1.32</v>
          </cell>
          <cell r="BX3">
            <v>1.72</v>
          </cell>
          <cell r="BY3">
            <v>1.46</v>
          </cell>
          <cell r="BZ3">
            <v>1.53</v>
          </cell>
          <cell r="CA3">
            <v>1.74</v>
          </cell>
          <cell r="CB3">
            <v>2.16</v>
          </cell>
          <cell r="CC3">
            <v>1.97</v>
          </cell>
          <cell r="CD3">
            <v>1.99</v>
          </cell>
          <cell r="CE3">
            <v>2.04</v>
          </cell>
          <cell r="CF3">
            <v>2.02</v>
          </cell>
          <cell r="CG3">
            <v>1.82</v>
          </cell>
          <cell r="CH3">
            <v>1.62</v>
          </cell>
          <cell r="CI3">
            <v>2.13</v>
          </cell>
          <cell r="CJ3">
            <v>1.78</v>
          </cell>
          <cell r="CK3">
            <v>1.4</v>
          </cell>
          <cell r="CL3">
            <v>1.1599999999999999</v>
          </cell>
          <cell r="CM3">
            <v>1.36</v>
          </cell>
          <cell r="CN3">
            <v>1.67</v>
          </cell>
          <cell r="CO3">
            <v>1.23</v>
          </cell>
          <cell r="CP3">
            <v>1.18</v>
          </cell>
          <cell r="CQ3">
            <v>1.38</v>
          </cell>
          <cell r="CR3">
            <v>1.58</v>
          </cell>
          <cell r="CS3">
            <v>1.58</v>
          </cell>
          <cell r="CT3">
            <v>1.6</v>
          </cell>
          <cell r="CU3">
            <v>1.46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Collection Sheet"/>
      <sheetName val="Link"/>
      <sheetName val="Disclaimer"/>
      <sheetName val="Annual EPS"/>
      <sheetName val="Q-EPS"/>
      <sheetName val="Annual CF"/>
      <sheetName val="Q-CF"/>
      <sheetName val="BS"/>
      <sheetName val="Hedging - U.S. Gas"/>
      <sheetName val="Hedging - U.S. Oil"/>
      <sheetName val="LSP Valuation"/>
      <sheetName val="Elm Grove Valuation"/>
      <sheetName val="Debt"/>
      <sheetName val="Front Tear"/>
      <sheetName val="Data Tear"/>
      <sheetName val="Back Tear"/>
      <sheetName val="databox"/>
      <sheetName val="Sheet1"/>
    </sheetNames>
    <sheetDataSet>
      <sheetData sheetId="0" refreshError="1"/>
      <sheetData sheetId="1" refreshError="1">
        <row r="3">
          <cell r="A3" t="str">
            <v>KCS Energy, Inc.―Operating Statistics</v>
          </cell>
        </row>
        <row r="4">
          <cell r="A4" t="str">
            <v>Ticker: KCS</v>
          </cell>
        </row>
        <row r="5">
          <cell r="B5">
            <v>1997</v>
          </cell>
          <cell r="G5">
            <v>1998</v>
          </cell>
          <cell r="L5">
            <v>1999</v>
          </cell>
          <cell r="Q5">
            <v>2000</v>
          </cell>
          <cell r="V5" t="str">
            <v>2001E</v>
          </cell>
          <cell r="AA5">
            <v>2002</v>
          </cell>
          <cell r="AF5" t="str">
            <v>2003A</v>
          </cell>
          <cell r="AK5" t="str">
            <v>2004A</v>
          </cell>
          <cell r="AP5" t="str">
            <v>2005A</v>
          </cell>
        </row>
        <row r="6">
          <cell r="B6" t="str">
            <v>Q1</v>
          </cell>
          <cell r="C6" t="str">
            <v>Q2</v>
          </cell>
          <cell r="D6" t="str">
            <v>Q3</v>
          </cell>
          <cell r="E6" t="str">
            <v>Q4</v>
          </cell>
          <cell r="F6" t="str">
            <v>Year</v>
          </cell>
          <cell r="G6" t="str">
            <v>Q1</v>
          </cell>
          <cell r="H6" t="str">
            <v>Q2</v>
          </cell>
          <cell r="I6" t="str">
            <v>Q3</v>
          </cell>
          <cell r="J6" t="str">
            <v>Q4</v>
          </cell>
          <cell r="K6" t="str">
            <v>Year</v>
          </cell>
          <cell r="L6" t="str">
            <v>Q1</v>
          </cell>
          <cell r="M6" t="str">
            <v>Q2</v>
          </cell>
          <cell r="N6" t="str">
            <v>Q3</v>
          </cell>
          <cell r="O6" t="str">
            <v>Q4</v>
          </cell>
          <cell r="P6" t="str">
            <v>Year</v>
          </cell>
          <cell r="Q6" t="str">
            <v>Q1</v>
          </cell>
          <cell r="R6" t="str">
            <v>Q2</v>
          </cell>
          <cell r="S6" t="str">
            <v>Q3</v>
          </cell>
          <cell r="T6" t="str">
            <v>Q4</v>
          </cell>
          <cell r="U6" t="str">
            <v>Year</v>
          </cell>
          <cell r="V6" t="str">
            <v>Q1A</v>
          </cell>
          <cell r="W6" t="str">
            <v>Q2A</v>
          </cell>
          <cell r="X6" t="str">
            <v>Q3A</v>
          </cell>
          <cell r="Y6" t="str">
            <v>Q4E</v>
          </cell>
          <cell r="Z6" t="str">
            <v>Year</v>
          </cell>
          <cell r="AA6" t="str">
            <v>Q1</v>
          </cell>
          <cell r="AB6" t="str">
            <v>Q2</v>
          </cell>
          <cell r="AC6" t="str">
            <v>Q3</v>
          </cell>
          <cell r="AD6" t="str">
            <v>Q4</v>
          </cell>
          <cell r="AE6" t="str">
            <v>Year</v>
          </cell>
          <cell r="AF6" t="str">
            <v>Q1A</v>
          </cell>
          <cell r="AG6" t="str">
            <v>Q2A</v>
          </cell>
          <cell r="AH6" t="str">
            <v>Q3A</v>
          </cell>
          <cell r="AI6" t="str">
            <v>Q4A</v>
          </cell>
          <cell r="AJ6" t="str">
            <v>Year</v>
          </cell>
          <cell r="AK6" t="str">
            <v>Q1A</v>
          </cell>
          <cell r="AL6" t="str">
            <v>Q2A</v>
          </cell>
          <cell r="AM6" t="str">
            <v>Q3A</v>
          </cell>
          <cell r="AN6" t="str">
            <v>Q4A</v>
          </cell>
          <cell r="AO6" t="str">
            <v>Year</v>
          </cell>
          <cell r="AP6" t="str">
            <v>Q1A</v>
          </cell>
          <cell r="AQ6" t="str">
            <v>Q2A</v>
          </cell>
          <cell r="AR6" t="str">
            <v>Q3A</v>
          </cell>
          <cell r="AS6" t="str">
            <v>Q4A</v>
          </cell>
          <cell r="AT6" t="str">
            <v>Year</v>
          </cell>
        </row>
        <row r="7">
          <cell r="A7" t="str">
            <v>Total U.S. Production</v>
          </cell>
        </row>
        <row r="8">
          <cell r="A8" t="str">
            <v>Gas (MMcf)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50471</v>
          </cell>
          <cell r="Q8">
            <v>10733</v>
          </cell>
          <cell r="R8">
            <v>10336</v>
          </cell>
          <cell r="S8">
            <v>9164</v>
          </cell>
          <cell r="T8">
            <v>10856</v>
          </cell>
          <cell r="U8">
            <v>41201.572602739725</v>
          </cell>
          <cell r="V8">
            <v>9548</v>
          </cell>
          <cell r="W8">
            <v>9788</v>
          </cell>
          <cell r="X8">
            <v>8956</v>
          </cell>
          <cell r="Y8">
            <v>8581</v>
          </cell>
          <cell r="Z8">
            <v>36873</v>
          </cell>
          <cell r="AA8">
            <v>8312</v>
          </cell>
          <cell r="AB8">
            <v>7576</v>
          </cell>
          <cell r="AC8">
            <v>7382</v>
          </cell>
          <cell r="AD8">
            <v>6402</v>
          </cell>
          <cell r="AE8">
            <v>29672</v>
          </cell>
          <cell r="AF8">
            <v>5975</v>
          </cell>
          <cell r="AG8">
            <v>6758</v>
          </cell>
          <cell r="AH8">
            <v>7570</v>
          </cell>
          <cell r="AI8">
            <v>7863</v>
          </cell>
          <cell r="AJ8">
            <v>28166</v>
          </cell>
          <cell r="AK8">
            <v>7867</v>
          </cell>
          <cell r="AL8">
            <v>8189</v>
          </cell>
          <cell r="AM8">
            <v>8655</v>
          </cell>
          <cell r="AN8">
            <v>9194</v>
          </cell>
          <cell r="AO8">
            <v>33905</v>
          </cell>
          <cell r="AP8">
            <v>9483</v>
          </cell>
          <cell r="AQ8">
            <v>10876</v>
          </cell>
          <cell r="AR8">
            <v>11737</v>
          </cell>
          <cell r="AS8">
            <v>12016</v>
          </cell>
          <cell r="AT8">
            <v>44112</v>
          </cell>
        </row>
        <row r="9">
          <cell r="A9" t="str">
            <v>MMcf/day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138.2767123287671</v>
          </cell>
          <cell r="Q9">
            <v>117.94505494505495</v>
          </cell>
          <cell r="R9">
            <v>113.58241758241759</v>
          </cell>
          <cell r="S9">
            <v>99.608695652173907</v>
          </cell>
          <cell r="T9">
            <v>118</v>
          </cell>
          <cell r="U9">
            <v>112.57260273972602</v>
          </cell>
          <cell r="V9">
            <v>106.08888888888889</v>
          </cell>
          <cell r="W9">
            <v>107.56043956043956</v>
          </cell>
          <cell r="X9">
            <v>97.347826086956516</v>
          </cell>
          <cell r="Y9">
            <v>93.271739130434781</v>
          </cell>
          <cell r="Z9">
            <v>101.02191780821917</v>
          </cell>
          <cell r="AA9">
            <v>92.355555555555554</v>
          </cell>
          <cell r="AB9">
            <v>83.252747252747255</v>
          </cell>
          <cell r="AC9">
            <v>80.239130434782609</v>
          </cell>
          <cell r="AD9">
            <v>69.58695652173914</v>
          </cell>
          <cell r="AE9">
            <v>81.293150684931504</v>
          </cell>
          <cell r="AF9">
            <v>66.388888888888886</v>
          </cell>
          <cell r="AG9">
            <v>74.263736263736263</v>
          </cell>
          <cell r="AH9">
            <v>82.282608695652172</v>
          </cell>
          <cell r="AI9">
            <v>85.467391304347828</v>
          </cell>
          <cell r="AJ9">
            <v>77.167123287671231</v>
          </cell>
          <cell r="AK9">
            <v>86.45054945054946</v>
          </cell>
          <cell r="AL9">
            <v>89.989010989010993</v>
          </cell>
          <cell r="AM9">
            <v>94.076086956521735</v>
          </cell>
          <cell r="AN9">
            <v>99.934782608695656</v>
          </cell>
          <cell r="AO9">
            <v>92.636612021857928</v>
          </cell>
          <cell r="AP9">
            <v>105.36666666666667</v>
          </cell>
          <cell r="AQ9">
            <v>119.51648351648352</v>
          </cell>
          <cell r="AR9">
            <v>127.57608695652175</v>
          </cell>
          <cell r="AS9">
            <v>130.60869565217391</v>
          </cell>
          <cell r="AT9">
            <v>120.85479452054794</v>
          </cell>
        </row>
        <row r="10">
          <cell r="A10" t="str">
            <v xml:space="preserve">    % Change</v>
          </cell>
          <cell r="G10" t="e">
            <v>#DIV/0!</v>
          </cell>
          <cell r="H10" t="e">
            <v>#DIV/0!</v>
          </cell>
          <cell r="I10" t="e">
            <v>#DIV/0!</v>
          </cell>
          <cell r="J10" t="e">
            <v>#DIV/0!</v>
          </cell>
          <cell r="K10" t="e">
            <v>#DIV/0!</v>
          </cell>
          <cell r="L10" t="e">
            <v>#DIV/0!</v>
          </cell>
          <cell r="M10" t="e">
            <v>#DIV/0!</v>
          </cell>
          <cell r="N10" t="e">
            <v>#DIV/0!</v>
          </cell>
          <cell r="O10" t="e">
            <v>#DIV/0!</v>
          </cell>
          <cell r="P10" t="e">
            <v>#DIV/0!</v>
          </cell>
          <cell r="Q10" t="e">
            <v>#DIV/0!</v>
          </cell>
          <cell r="R10" t="e">
            <v>#DIV/0!</v>
          </cell>
          <cell r="S10" t="e">
            <v>#DIV/0!</v>
          </cell>
          <cell r="T10" t="e">
            <v>#DIV/0!</v>
          </cell>
          <cell r="U10">
            <v>-0.18365848501635151</v>
          </cell>
          <cell r="V10">
            <v>-0.11040715550172364</v>
          </cell>
          <cell r="W10">
            <v>-5.3018575851393135E-2</v>
          </cell>
          <cell r="X10">
            <v>-2.2697512003491904E-2</v>
          </cell>
          <cell r="Y10">
            <v>-0.20956153279292555</v>
          </cell>
          <cell r="Z10">
            <v>-0.10505843173694529</v>
          </cell>
          <cell r="AA10">
            <v>-0.12945119396732296</v>
          </cell>
          <cell r="AB10">
            <v>-0.22599100939926442</v>
          </cell>
          <cell r="AC10">
            <v>-0.17574810183117462</v>
          </cell>
          <cell r="AD10">
            <v>-0.25393310802936719</v>
          </cell>
          <cell r="AE10">
            <v>-0.19529194803785965</v>
          </cell>
          <cell r="AF10">
            <v>-0.28115976900866213</v>
          </cell>
          <cell r="AG10">
            <v>-0.10797254487856389</v>
          </cell>
          <cell r="AH10">
            <v>2.5467353020861561E-2</v>
          </cell>
          <cell r="AI10">
            <v>0.2282099343955013</v>
          </cell>
          <cell r="AJ10">
            <v>-5.0754920463736863E-2</v>
          </cell>
          <cell r="AK10">
            <v>0.31665271966527198</v>
          </cell>
          <cell r="AL10">
            <v>0.21174903817697555</v>
          </cell>
          <cell r="AM10">
            <v>0.14332892998678992</v>
          </cell>
          <cell r="AN10">
            <v>0.16927381406587827</v>
          </cell>
          <cell r="AO10">
            <v>0.20375630192430583</v>
          </cell>
          <cell r="AP10">
            <v>0.2054150247870854</v>
          </cell>
          <cell r="AQ10">
            <v>0.32812309195261946</v>
          </cell>
          <cell r="AR10">
            <v>0.35609474292316579</v>
          </cell>
          <cell r="AS10">
            <v>0.30693930824450733</v>
          </cell>
          <cell r="AT10">
            <v>0.30104704320896625</v>
          </cell>
        </row>
        <row r="12">
          <cell r="A12" t="str">
            <v>Natural Gas Liquids (MBbls)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122</v>
          </cell>
          <cell r="Q12">
            <v>35</v>
          </cell>
          <cell r="R12">
            <v>47</v>
          </cell>
          <cell r="S12">
            <v>107</v>
          </cell>
          <cell r="T12">
            <v>75</v>
          </cell>
          <cell r="U12">
            <v>264.72328767123287</v>
          </cell>
          <cell r="V12">
            <v>83</v>
          </cell>
          <cell r="W12">
            <v>94</v>
          </cell>
          <cell r="X12">
            <v>98</v>
          </cell>
          <cell r="Y12">
            <v>98</v>
          </cell>
          <cell r="Z12">
            <v>372.99999999999994</v>
          </cell>
          <cell r="AA12">
            <v>71</v>
          </cell>
          <cell r="AB12">
            <v>71</v>
          </cell>
          <cell r="AC12">
            <v>79</v>
          </cell>
          <cell r="AD12">
            <v>67</v>
          </cell>
          <cell r="AE12">
            <v>288</v>
          </cell>
          <cell r="AF12">
            <v>48</v>
          </cell>
          <cell r="AG12">
            <v>58</v>
          </cell>
          <cell r="AH12">
            <v>70</v>
          </cell>
          <cell r="AI12">
            <v>83</v>
          </cell>
          <cell r="AJ12">
            <v>259</v>
          </cell>
          <cell r="AK12">
            <v>58</v>
          </cell>
          <cell r="AL12">
            <v>52</v>
          </cell>
          <cell r="AM12">
            <v>51</v>
          </cell>
          <cell r="AN12">
            <v>55</v>
          </cell>
          <cell r="AO12">
            <v>216</v>
          </cell>
          <cell r="AP12">
            <v>46</v>
          </cell>
          <cell r="AQ12">
            <v>57</v>
          </cell>
          <cell r="AR12">
            <v>50</v>
          </cell>
          <cell r="AS12">
            <v>38</v>
          </cell>
          <cell r="AT12">
            <v>190.99999999999997</v>
          </cell>
        </row>
        <row r="13">
          <cell r="A13" t="str">
            <v>Bbls/day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334.24657534246575</v>
          </cell>
          <cell r="Q13">
            <v>384.61538461538464</v>
          </cell>
          <cell r="R13">
            <v>516.4835164835165</v>
          </cell>
          <cell r="S13">
            <v>1163.0434782608697</v>
          </cell>
          <cell r="T13">
            <v>815.21739130434776</v>
          </cell>
          <cell r="U13">
            <v>723.28767123287673</v>
          </cell>
          <cell r="V13">
            <v>922.22222222222229</v>
          </cell>
          <cell r="W13">
            <v>1032.967032967033</v>
          </cell>
          <cell r="X13">
            <v>1065.217391304348</v>
          </cell>
          <cell r="Y13">
            <v>1065.217391304348</v>
          </cell>
          <cell r="Z13">
            <v>1021.917808219178</v>
          </cell>
          <cell r="AA13">
            <v>788.88888888888891</v>
          </cell>
          <cell r="AB13">
            <v>780.2197802197802</v>
          </cell>
          <cell r="AC13">
            <v>858.69565217391312</v>
          </cell>
          <cell r="AD13">
            <v>728.26086956521738</v>
          </cell>
          <cell r="AE13">
            <v>789.04109589041093</v>
          </cell>
          <cell r="AF13">
            <v>533.33333333333337</v>
          </cell>
          <cell r="AG13">
            <v>637.36263736263743</v>
          </cell>
          <cell r="AH13">
            <v>760.86956521739137</v>
          </cell>
          <cell r="AI13">
            <v>902.17391304347825</v>
          </cell>
          <cell r="AJ13">
            <v>709.58904109589037</v>
          </cell>
          <cell r="AK13">
            <v>637.36263736263743</v>
          </cell>
          <cell r="AL13">
            <v>571.42857142857144</v>
          </cell>
          <cell r="AM13">
            <v>554.3478260869565</v>
          </cell>
          <cell r="AN13">
            <v>597.82608695652175</v>
          </cell>
          <cell r="AO13">
            <v>590.1639344262295</v>
          </cell>
          <cell r="AP13">
            <v>511.11111111111109</v>
          </cell>
          <cell r="AQ13">
            <v>626.37362637362639</v>
          </cell>
          <cell r="AR13">
            <v>543.47826086956525</v>
          </cell>
          <cell r="AS13">
            <v>413.04347826086956</v>
          </cell>
          <cell r="AT13">
            <v>523.28767123287662</v>
          </cell>
        </row>
        <row r="14">
          <cell r="A14" t="str">
            <v xml:space="preserve">    % Change</v>
          </cell>
          <cell r="G14" t="e">
            <v>#DIV/0!</v>
          </cell>
          <cell r="H14" t="e">
            <v>#DIV/0!</v>
          </cell>
          <cell r="I14" t="e">
            <v>#DIV/0!</v>
          </cell>
          <cell r="J14" t="e">
            <v>#DIV/0!</v>
          </cell>
          <cell r="K14" t="e">
            <v>#DIV/0!</v>
          </cell>
          <cell r="L14" t="e">
            <v>#DIV/0!</v>
          </cell>
          <cell r="M14" t="e">
            <v>#DIV/0!</v>
          </cell>
          <cell r="N14" t="e">
            <v>#DIV/0!</v>
          </cell>
          <cell r="O14" t="e">
            <v>#DIV/0!</v>
          </cell>
          <cell r="P14" t="e">
            <v>#DIV/0!</v>
          </cell>
          <cell r="Q14" t="e">
            <v>#DIV/0!</v>
          </cell>
          <cell r="R14" t="e">
            <v>#DIV/0!</v>
          </cell>
          <cell r="S14" t="e">
            <v>#DIV/0!</v>
          </cell>
          <cell r="T14" t="e">
            <v>#DIV/0!</v>
          </cell>
          <cell r="U14">
            <v>1.1698630136986301</v>
          </cell>
          <cell r="V14">
            <v>1.3714285714285714</v>
          </cell>
          <cell r="W14">
            <v>1</v>
          </cell>
          <cell r="X14">
            <v>-8.411214953271029E-2</v>
          </cell>
          <cell r="Y14">
            <v>0.30666666666666664</v>
          </cell>
          <cell r="Z14">
            <v>0.40901846332174174</v>
          </cell>
          <cell r="AA14">
            <v>-0.14457831325301207</v>
          </cell>
          <cell r="AB14">
            <v>-0.24468085106382975</v>
          </cell>
          <cell r="AC14">
            <v>-0.19387755102040816</v>
          </cell>
          <cell r="AD14">
            <v>-0.31632653061224492</v>
          </cell>
          <cell r="AE14">
            <v>-0.22788203753351199</v>
          </cell>
          <cell r="AF14">
            <v>-0.323943661971831</v>
          </cell>
          <cell r="AG14">
            <v>-0.18309859154929575</v>
          </cell>
          <cell r="AH14">
            <v>-0.11392405063291144</v>
          </cell>
          <cell r="AI14">
            <v>0.23880597014925375</v>
          </cell>
          <cell r="AJ14">
            <v>-0.10069444444444442</v>
          </cell>
          <cell r="AK14">
            <v>0.20833333333333326</v>
          </cell>
          <cell r="AL14">
            <v>-0.10344827586206895</v>
          </cell>
          <cell r="AM14">
            <v>-0.27142857142857146</v>
          </cell>
          <cell r="AN14">
            <v>-0.33734939759036142</v>
          </cell>
          <cell r="AO14">
            <v>-0.16602316602316602</v>
          </cell>
          <cell r="AP14">
            <v>-0.2068965517241379</v>
          </cell>
          <cell r="AQ14">
            <v>9.6153846153846256E-2</v>
          </cell>
          <cell r="AR14">
            <v>-1.9607843137254943E-2</v>
          </cell>
          <cell r="AS14">
            <v>-0.30909090909090908</v>
          </cell>
          <cell r="AT14">
            <v>-0.11574074074074092</v>
          </cell>
        </row>
        <row r="16">
          <cell r="A16" t="str">
            <v>Crude Oil (MBbls)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1286</v>
          </cell>
          <cell r="Q16">
            <v>333</v>
          </cell>
          <cell r="R16">
            <v>340</v>
          </cell>
          <cell r="S16">
            <v>324</v>
          </cell>
          <cell r="T16">
            <v>309</v>
          </cell>
          <cell r="U16">
            <v>1309.5780821917808</v>
          </cell>
          <cell r="V16">
            <v>331</v>
          </cell>
          <cell r="W16">
            <v>315</v>
          </cell>
          <cell r="X16">
            <v>288</v>
          </cell>
          <cell r="Y16">
            <v>296</v>
          </cell>
          <cell r="Z16">
            <v>1230</v>
          </cell>
          <cell r="AA16">
            <v>269</v>
          </cell>
          <cell r="AB16">
            <v>260</v>
          </cell>
          <cell r="AC16">
            <v>248</v>
          </cell>
          <cell r="AD16">
            <v>227</v>
          </cell>
          <cell r="AE16">
            <v>1003.9999999999998</v>
          </cell>
          <cell r="AF16">
            <v>215</v>
          </cell>
          <cell r="AG16">
            <v>213</v>
          </cell>
          <cell r="AH16">
            <v>207</v>
          </cell>
          <cell r="AI16">
            <v>203</v>
          </cell>
          <cell r="AJ16">
            <v>838</v>
          </cell>
          <cell r="AK16">
            <v>193</v>
          </cell>
          <cell r="AL16">
            <v>197</v>
          </cell>
          <cell r="AM16">
            <v>201</v>
          </cell>
          <cell r="AN16">
            <v>204</v>
          </cell>
          <cell r="AO16">
            <v>795</v>
          </cell>
          <cell r="AP16">
            <v>202</v>
          </cell>
          <cell r="AQ16">
            <v>211</v>
          </cell>
          <cell r="AR16">
            <v>207</v>
          </cell>
          <cell r="AS16">
            <v>215</v>
          </cell>
          <cell r="AT16">
            <v>834.99999999999989</v>
          </cell>
        </row>
        <row r="17">
          <cell r="A17" t="str">
            <v>Bbls/day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3523.2876712328766</v>
          </cell>
          <cell r="Q17">
            <v>3659.3406593406598</v>
          </cell>
          <cell r="R17">
            <v>3736.263736263737</v>
          </cell>
          <cell r="S17">
            <v>3521.7391304347825</v>
          </cell>
          <cell r="T17">
            <v>3358.695652173913</v>
          </cell>
          <cell r="U17">
            <v>3578.0821917808221</v>
          </cell>
          <cell r="V17">
            <v>3677.7777777777778</v>
          </cell>
          <cell r="W17">
            <v>3461.5384615384619</v>
          </cell>
          <cell r="X17">
            <v>3130.4347826086955</v>
          </cell>
          <cell r="Y17">
            <v>3217.391304347826</v>
          </cell>
          <cell r="Z17">
            <v>3369.8630136986303</v>
          </cell>
          <cell r="AA17">
            <v>2988.8888888888896</v>
          </cell>
          <cell r="AB17">
            <v>2857.1428571428573</v>
          </cell>
          <cell r="AC17">
            <v>2695.6521739130435</v>
          </cell>
          <cell r="AD17">
            <v>2467.391304347826</v>
          </cell>
          <cell r="AE17">
            <v>2750.6849315068489</v>
          </cell>
          <cell r="AF17">
            <v>2388.8888888888887</v>
          </cell>
          <cell r="AG17">
            <v>2340.6593406593406</v>
          </cell>
          <cell r="AH17">
            <v>2250</v>
          </cell>
          <cell r="AI17">
            <v>2206.521739130435</v>
          </cell>
          <cell r="AJ17">
            <v>2295.8904109589043</v>
          </cell>
          <cell r="AK17">
            <v>2120.8791208791208</v>
          </cell>
          <cell r="AL17">
            <v>2164.835164835165</v>
          </cell>
          <cell r="AM17">
            <v>2184.7826086956525</v>
          </cell>
          <cell r="AN17">
            <v>2217.391304347826</v>
          </cell>
          <cell r="AO17">
            <v>2172.1311475409839</v>
          </cell>
          <cell r="AP17">
            <v>2244.4444444444443</v>
          </cell>
          <cell r="AQ17">
            <v>2318.6813186813188</v>
          </cell>
          <cell r="AR17">
            <v>2250</v>
          </cell>
          <cell r="AS17">
            <v>2336.9565217391305</v>
          </cell>
          <cell r="AT17">
            <v>2287.6712328767121</v>
          </cell>
        </row>
        <row r="18">
          <cell r="A18" t="str">
            <v xml:space="preserve">    % Change</v>
          </cell>
          <cell r="G18" t="e">
            <v>#DIV/0!</v>
          </cell>
          <cell r="H18" t="e">
            <v>#DIV/0!</v>
          </cell>
          <cell r="I18" t="e">
            <v>#DIV/0!</v>
          </cell>
          <cell r="J18" t="e">
            <v>#DIV/0!</v>
          </cell>
          <cell r="K18" t="e">
            <v>#DIV/0!</v>
          </cell>
          <cell r="L18" t="e">
            <v>#DIV/0!</v>
          </cell>
          <cell r="M18" t="e">
            <v>#DIV/0!</v>
          </cell>
          <cell r="N18" t="e">
            <v>#DIV/0!</v>
          </cell>
          <cell r="O18" t="e">
            <v>#DIV/0!</v>
          </cell>
          <cell r="P18" t="e">
            <v>#DIV/0!</v>
          </cell>
          <cell r="Q18" t="e">
            <v>#DIV/0!</v>
          </cell>
          <cell r="R18" t="e">
            <v>#DIV/0!</v>
          </cell>
          <cell r="S18" t="e">
            <v>#DIV/0!</v>
          </cell>
          <cell r="T18" t="e">
            <v>#DIV/0!</v>
          </cell>
          <cell r="U18">
            <v>1.8334434052706738E-2</v>
          </cell>
          <cell r="V18">
            <v>-6.0060060060059817E-3</v>
          </cell>
          <cell r="W18">
            <v>-7.3529411764705843E-2</v>
          </cell>
          <cell r="X18">
            <v>-0.11111111111111116</v>
          </cell>
          <cell r="Y18">
            <v>-4.2071197411003292E-2</v>
          </cell>
          <cell r="Z18">
            <v>-6.0766198880325306E-2</v>
          </cell>
          <cell r="AA18">
            <v>-0.18731117824773413</v>
          </cell>
          <cell r="AB18">
            <v>-0.17460317460317465</v>
          </cell>
          <cell r="AC18">
            <v>-0.13888888888888884</v>
          </cell>
          <cell r="AD18">
            <v>-0.23310810810810811</v>
          </cell>
          <cell r="AE18">
            <v>-0.18373983739837418</v>
          </cell>
          <cell r="AF18">
            <v>-0.2007434944237918</v>
          </cell>
          <cell r="AG18">
            <v>-0.18076923076923079</v>
          </cell>
          <cell r="AH18">
            <v>-0.16532258064516125</v>
          </cell>
          <cell r="AI18">
            <v>-0.10572687224669608</v>
          </cell>
          <cell r="AJ18">
            <v>-0.16533864541832655</v>
          </cell>
          <cell r="AK18">
            <v>-0.10232558139534886</v>
          </cell>
          <cell r="AL18">
            <v>-7.5117370892018753E-2</v>
          </cell>
          <cell r="AM18">
            <v>-2.8985507246376829E-2</v>
          </cell>
          <cell r="AN18">
            <v>4.9261083743843415E-3</v>
          </cell>
          <cell r="AO18">
            <v>-5.1312649164677815E-2</v>
          </cell>
          <cell r="AP18">
            <v>4.663212435233155E-2</v>
          </cell>
          <cell r="AQ18">
            <v>7.1065989847715727E-2</v>
          </cell>
          <cell r="AR18">
            <v>2.9850746268656803E-2</v>
          </cell>
          <cell r="AS18">
            <v>5.3921568627451011E-2</v>
          </cell>
          <cell r="AT18">
            <v>5.0314465408804798E-2</v>
          </cell>
        </row>
        <row r="20">
          <cell r="A20" t="str">
            <v>Total International Production</v>
          </cell>
        </row>
        <row r="21">
          <cell r="A21" t="str">
            <v>Gas (MMcf)</v>
          </cell>
        </row>
        <row r="22">
          <cell r="A22" t="str">
            <v>MMcf/day</v>
          </cell>
        </row>
        <row r="23">
          <cell r="A23" t="str">
            <v xml:space="preserve">    % Change</v>
          </cell>
          <cell r="G23" t="e">
            <v>#DIV/0!</v>
          </cell>
          <cell r="H23" t="e">
            <v>#DIV/0!</v>
          </cell>
          <cell r="I23" t="e">
            <v>#DIV/0!</v>
          </cell>
          <cell r="J23" t="e">
            <v>#DIV/0!</v>
          </cell>
          <cell r="K23" t="e">
            <v>#DIV/0!</v>
          </cell>
          <cell r="L23" t="e">
            <v>#DIV/0!</v>
          </cell>
          <cell r="M23" t="e">
            <v>#DIV/0!</v>
          </cell>
          <cell r="N23" t="e">
            <v>#DIV/0!</v>
          </cell>
          <cell r="O23" t="e">
            <v>#DIV/0!</v>
          </cell>
          <cell r="P23" t="e">
            <v>#DIV/0!</v>
          </cell>
          <cell r="Q23" t="e">
            <v>#DIV/0!</v>
          </cell>
          <cell r="R23" t="e">
            <v>#DIV/0!</v>
          </cell>
          <cell r="S23" t="e">
            <v>#DIV/0!</v>
          </cell>
          <cell r="T23" t="e">
            <v>#DIV/0!</v>
          </cell>
          <cell r="U23" t="e">
            <v>#DIV/0!</v>
          </cell>
          <cell r="V23" t="e">
            <v>#DIV/0!</v>
          </cell>
          <cell r="W23" t="e">
            <v>#DIV/0!</v>
          </cell>
          <cell r="X23" t="e">
            <v>#DIV/0!</v>
          </cell>
          <cell r="Y23" t="e">
            <v>#DIV/0!</v>
          </cell>
          <cell r="Z23" t="e">
            <v>#DIV/0!</v>
          </cell>
          <cell r="AA23" t="e">
            <v>#DIV/0!</v>
          </cell>
          <cell r="AB23" t="e">
            <v>#DIV/0!</v>
          </cell>
          <cell r="AC23" t="e">
            <v>#DIV/0!</v>
          </cell>
          <cell r="AD23" t="e">
            <v>#DIV/0!</v>
          </cell>
          <cell r="AE23" t="e">
            <v>#DIV/0!</v>
          </cell>
          <cell r="AF23" t="e">
            <v>#DIV/0!</v>
          </cell>
          <cell r="AG23" t="e">
            <v>#DIV/0!</v>
          </cell>
          <cell r="AH23" t="e">
            <v>#DIV/0!</v>
          </cell>
          <cell r="AI23" t="e">
            <v>#DIV/0!</v>
          </cell>
          <cell r="AJ23" t="e">
            <v>#DIV/0!</v>
          </cell>
          <cell r="AK23" t="e">
            <v>#DIV/0!</v>
          </cell>
          <cell r="AL23" t="e">
            <v>#DIV/0!</v>
          </cell>
          <cell r="AM23" t="e">
            <v>#DIV/0!</v>
          </cell>
          <cell r="AN23" t="e">
            <v>#DIV/0!</v>
          </cell>
          <cell r="AO23" t="e">
            <v>#DIV/0!</v>
          </cell>
          <cell r="AP23" t="e">
            <v>#DIV/0!</v>
          </cell>
          <cell r="AQ23" t="e">
            <v>#DIV/0!</v>
          </cell>
          <cell r="AR23" t="e">
            <v>#DIV/0!</v>
          </cell>
          <cell r="AS23" t="e">
            <v>#DIV/0!</v>
          </cell>
          <cell r="AT23" t="e">
            <v>#DIV/0!</v>
          </cell>
        </row>
        <row r="25">
          <cell r="A25" t="str">
            <v>Natural Gas Liquids (MBbls)</v>
          </cell>
        </row>
        <row r="26">
          <cell r="A26" t="str">
            <v>Bbls/day</v>
          </cell>
        </row>
        <row r="27">
          <cell r="A27" t="str">
            <v xml:space="preserve">    % Change</v>
          </cell>
          <cell r="G27" t="e">
            <v>#DIV/0!</v>
          </cell>
          <cell r="H27" t="e">
            <v>#DIV/0!</v>
          </cell>
          <cell r="I27" t="e">
            <v>#DIV/0!</v>
          </cell>
          <cell r="J27" t="e">
            <v>#DIV/0!</v>
          </cell>
          <cell r="K27" t="e">
            <v>#DIV/0!</v>
          </cell>
          <cell r="L27" t="e">
            <v>#DIV/0!</v>
          </cell>
          <cell r="M27" t="e">
            <v>#DIV/0!</v>
          </cell>
          <cell r="N27" t="e">
            <v>#DIV/0!</v>
          </cell>
          <cell r="O27" t="e">
            <v>#DIV/0!</v>
          </cell>
          <cell r="P27" t="e">
            <v>#DIV/0!</v>
          </cell>
          <cell r="Q27" t="e">
            <v>#DIV/0!</v>
          </cell>
          <cell r="R27" t="e">
            <v>#DIV/0!</v>
          </cell>
          <cell r="S27" t="e">
            <v>#DIV/0!</v>
          </cell>
          <cell r="T27" t="e">
            <v>#DIV/0!</v>
          </cell>
          <cell r="U27" t="e">
            <v>#DIV/0!</v>
          </cell>
          <cell r="V27" t="e">
            <v>#DIV/0!</v>
          </cell>
          <cell r="W27" t="e">
            <v>#DIV/0!</v>
          </cell>
          <cell r="X27" t="e">
            <v>#DIV/0!</v>
          </cell>
          <cell r="Y27" t="e">
            <v>#DIV/0!</v>
          </cell>
          <cell r="Z27" t="e">
            <v>#DIV/0!</v>
          </cell>
          <cell r="AA27" t="e">
            <v>#DIV/0!</v>
          </cell>
          <cell r="AB27" t="e">
            <v>#DIV/0!</v>
          </cell>
          <cell r="AC27" t="e">
            <v>#DIV/0!</v>
          </cell>
          <cell r="AD27" t="e">
            <v>#DIV/0!</v>
          </cell>
          <cell r="AE27" t="e">
            <v>#DIV/0!</v>
          </cell>
          <cell r="AF27" t="e">
            <v>#DIV/0!</v>
          </cell>
          <cell r="AG27" t="e">
            <v>#DIV/0!</v>
          </cell>
          <cell r="AH27" t="e">
            <v>#DIV/0!</v>
          </cell>
          <cell r="AI27" t="e">
            <v>#DIV/0!</v>
          </cell>
          <cell r="AJ27" t="e">
            <v>#DIV/0!</v>
          </cell>
          <cell r="AK27" t="e">
            <v>#DIV/0!</v>
          </cell>
          <cell r="AL27" t="e">
            <v>#DIV/0!</v>
          </cell>
          <cell r="AM27" t="e">
            <v>#DIV/0!</v>
          </cell>
          <cell r="AN27" t="e">
            <v>#DIV/0!</v>
          </cell>
          <cell r="AO27" t="e">
            <v>#DIV/0!</v>
          </cell>
          <cell r="AP27" t="e">
            <v>#DIV/0!</v>
          </cell>
          <cell r="AQ27" t="e">
            <v>#DIV/0!</v>
          </cell>
          <cell r="AR27" t="e">
            <v>#DIV/0!</v>
          </cell>
          <cell r="AS27" t="e">
            <v>#DIV/0!</v>
          </cell>
          <cell r="AT27" t="e">
            <v>#DIV/0!</v>
          </cell>
        </row>
        <row r="29">
          <cell r="A29" t="str">
            <v>Crude Oil (MBbls)</v>
          </cell>
        </row>
        <row r="30">
          <cell r="A30" t="str">
            <v>Bbls/day</v>
          </cell>
        </row>
        <row r="31">
          <cell r="A31" t="str">
            <v xml:space="preserve">    % Change</v>
          </cell>
          <cell r="G31" t="e">
            <v>#DIV/0!</v>
          </cell>
          <cell r="H31" t="e">
            <v>#DIV/0!</v>
          </cell>
          <cell r="I31" t="e">
            <v>#DIV/0!</v>
          </cell>
          <cell r="J31" t="e">
            <v>#DIV/0!</v>
          </cell>
          <cell r="K31" t="e">
            <v>#DIV/0!</v>
          </cell>
          <cell r="L31" t="e">
            <v>#DIV/0!</v>
          </cell>
          <cell r="M31" t="e">
            <v>#DIV/0!</v>
          </cell>
          <cell r="N31" t="e">
            <v>#DIV/0!</v>
          </cell>
          <cell r="O31" t="e">
            <v>#DIV/0!</v>
          </cell>
          <cell r="P31" t="e">
            <v>#DIV/0!</v>
          </cell>
          <cell r="Q31" t="e">
            <v>#DIV/0!</v>
          </cell>
          <cell r="R31" t="e">
            <v>#DIV/0!</v>
          </cell>
          <cell r="S31" t="e">
            <v>#DIV/0!</v>
          </cell>
          <cell r="T31" t="e">
            <v>#DIV/0!</v>
          </cell>
          <cell r="U31" t="e">
            <v>#DIV/0!</v>
          </cell>
          <cell r="V31" t="e">
            <v>#DIV/0!</v>
          </cell>
          <cell r="W31" t="e">
            <v>#DIV/0!</v>
          </cell>
          <cell r="X31" t="e">
            <v>#DIV/0!</v>
          </cell>
          <cell r="Y31" t="e">
            <v>#DIV/0!</v>
          </cell>
          <cell r="Z31" t="e">
            <v>#DIV/0!</v>
          </cell>
          <cell r="AA31" t="e">
            <v>#DIV/0!</v>
          </cell>
          <cell r="AB31" t="e">
            <v>#DIV/0!</v>
          </cell>
          <cell r="AC31" t="e">
            <v>#DIV/0!</v>
          </cell>
          <cell r="AD31" t="e">
            <v>#DIV/0!</v>
          </cell>
          <cell r="AE31" t="e">
            <v>#DIV/0!</v>
          </cell>
          <cell r="AF31" t="e">
            <v>#DIV/0!</v>
          </cell>
          <cell r="AG31" t="e">
            <v>#DIV/0!</v>
          </cell>
          <cell r="AH31" t="e">
            <v>#DIV/0!</v>
          </cell>
          <cell r="AI31" t="e">
            <v>#DIV/0!</v>
          </cell>
          <cell r="AJ31" t="e">
            <v>#DIV/0!</v>
          </cell>
          <cell r="AK31" t="e">
            <v>#DIV/0!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  <cell r="AQ31" t="e">
            <v>#DIV/0!</v>
          </cell>
          <cell r="AR31" t="e">
            <v>#DIV/0!</v>
          </cell>
          <cell r="AS31" t="e">
            <v>#DIV/0!</v>
          </cell>
          <cell r="AT31" t="e">
            <v>#DIV/0!</v>
          </cell>
        </row>
        <row r="33">
          <cell r="A33" t="str">
            <v>Total Natural Gas (MMcf)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50471</v>
          </cell>
          <cell r="Q33">
            <v>10733</v>
          </cell>
          <cell r="R33">
            <v>10336</v>
          </cell>
          <cell r="S33">
            <v>9164</v>
          </cell>
          <cell r="T33">
            <v>10856</v>
          </cell>
          <cell r="U33">
            <v>41201.572602739725</v>
          </cell>
          <cell r="V33">
            <v>9548</v>
          </cell>
          <cell r="W33">
            <v>9788</v>
          </cell>
          <cell r="X33">
            <v>8956</v>
          </cell>
          <cell r="Y33">
            <v>8581</v>
          </cell>
          <cell r="Z33">
            <v>36873</v>
          </cell>
          <cell r="AA33">
            <v>8312</v>
          </cell>
          <cell r="AB33">
            <v>7576</v>
          </cell>
          <cell r="AC33">
            <v>7382</v>
          </cell>
          <cell r="AD33">
            <v>6402</v>
          </cell>
          <cell r="AE33">
            <v>29672</v>
          </cell>
          <cell r="AF33">
            <v>5975</v>
          </cell>
          <cell r="AG33">
            <v>6758</v>
          </cell>
          <cell r="AH33">
            <v>7570</v>
          </cell>
          <cell r="AI33">
            <v>7863</v>
          </cell>
          <cell r="AJ33">
            <v>28166</v>
          </cell>
          <cell r="AK33">
            <v>7867</v>
          </cell>
          <cell r="AL33">
            <v>8189</v>
          </cell>
          <cell r="AM33">
            <v>8655</v>
          </cell>
          <cell r="AN33">
            <v>9194</v>
          </cell>
          <cell r="AO33">
            <v>33905</v>
          </cell>
          <cell r="AP33">
            <v>9483</v>
          </cell>
          <cell r="AQ33">
            <v>10876</v>
          </cell>
          <cell r="AR33">
            <v>11737</v>
          </cell>
          <cell r="AS33">
            <v>12016</v>
          </cell>
          <cell r="AT33">
            <v>44112</v>
          </cell>
        </row>
        <row r="34">
          <cell r="A34" t="str">
            <v>Total Crude Oil (MBbls)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1286</v>
          </cell>
          <cell r="Q34">
            <v>333</v>
          </cell>
          <cell r="R34">
            <v>340</v>
          </cell>
          <cell r="S34">
            <v>324</v>
          </cell>
          <cell r="T34">
            <v>309</v>
          </cell>
          <cell r="U34">
            <v>1309.5780821917808</v>
          </cell>
          <cell r="V34">
            <v>331</v>
          </cell>
          <cell r="W34">
            <v>315</v>
          </cell>
          <cell r="X34">
            <v>288</v>
          </cell>
          <cell r="Y34">
            <v>296</v>
          </cell>
          <cell r="Z34">
            <v>1230</v>
          </cell>
          <cell r="AA34">
            <v>269</v>
          </cell>
          <cell r="AB34">
            <v>260</v>
          </cell>
          <cell r="AC34">
            <v>248</v>
          </cell>
          <cell r="AD34">
            <v>227</v>
          </cell>
          <cell r="AE34">
            <v>1003.9999999999998</v>
          </cell>
          <cell r="AF34">
            <v>215</v>
          </cell>
          <cell r="AG34">
            <v>213</v>
          </cell>
          <cell r="AH34">
            <v>207</v>
          </cell>
          <cell r="AI34">
            <v>203</v>
          </cell>
          <cell r="AJ34">
            <v>838</v>
          </cell>
          <cell r="AK34">
            <v>193</v>
          </cell>
          <cell r="AL34">
            <v>197</v>
          </cell>
          <cell r="AM34">
            <v>201</v>
          </cell>
          <cell r="AN34">
            <v>204</v>
          </cell>
          <cell r="AO34">
            <v>795</v>
          </cell>
          <cell r="AP34">
            <v>202</v>
          </cell>
          <cell r="AQ34">
            <v>211</v>
          </cell>
          <cell r="AR34">
            <v>207</v>
          </cell>
          <cell r="AS34">
            <v>215</v>
          </cell>
          <cell r="AT34">
            <v>834.99999999999989</v>
          </cell>
        </row>
        <row r="35">
          <cell r="A35" t="str">
            <v>Total Natural Gas Liquids (MBbls)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122</v>
          </cell>
          <cell r="Q35">
            <v>35</v>
          </cell>
          <cell r="R35">
            <v>47</v>
          </cell>
          <cell r="S35">
            <v>107</v>
          </cell>
          <cell r="T35">
            <v>75</v>
          </cell>
          <cell r="U35">
            <v>264.72328767123287</v>
          </cell>
          <cell r="V35">
            <v>83</v>
          </cell>
          <cell r="W35">
            <v>94</v>
          </cell>
          <cell r="X35">
            <v>98</v>
          </cell>
          <cell r="Y35">
            <v>98</v>
          </cell>
          <cell r="Z35">
            <v>372.99999999999994</v>
          </cell>
          <cell r="AA35">
            <v>71</v>
          </cell>
          <cell r="AB35">
            <v>71</v>
          </cell>
          <cell r="AC35">
            <v>79</v>
          </cell>
          <cell r="AD35">
            <v>67</v>
          </cell>
          <cell r="AE35">
            <v>288</v>
          </cell>
          <cell r="AF35">
            <v>48</v>
          </cell>
          <cell r="AG35">
            <v>58</v>
          </cell>
          <cell r="AH35">
            <v>70</v>
          </cell>
          <cell r="AI35">
            <v>83</v>
          </cell>
          <cell r="AJ35">
            <v>259</v>
          </cell>
          <cell r="AK35">
            <v>58</v>
          </cell>
          <cell r="AL35">
            <v>52</v>
          </cell>
          <cell r="AM35">
            <v>51</v>
          </cell>
          <cell r="AN35">
            <v>55</v>
          </cell>
          <cell r="AO35">
            <v>216</v>
          </cell>
          <cell r="AP35">
            <v>46</v>
          </cell>
          <cell r="AQ35">
            <v>57</v>
          </cell>
          <cell r="AR35">
            <v>50</v>
          </cell>
          <cell r="AS35">
            <v>38</v>
          </cell>
          <cell r="AT35">
            <v>190.99999999999997</v>
          </cell>
        </row>
        <row r="36">
          <cell r="A36" t="str">
            <v xml:space="preserve">     Total Production (MBOE)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9819.8333333333339</v>
          </cell>
          <cell r="Q36">
            <v>2156.833333333333</v>
          </cell>
          <cell r="R36">
            <v>2109.666666666667</v>
          </cell>
          <cell r="S36">
            <v>1958.3333333333333</v>
          </cell>
          <cell r="T36">
            <v>2193.333333333333</v>
          </cell>
          <cell r="U36">
            <v>8441.2301369863017</v>
          </cell>
          <cell r="V36">
            <v>2005.3333333333333</v>
          </cell>
          <cell r="W36">
            <v>2040.3333333333333</v>
          </cell>
          <cell r="X36">
            <v>1878.6666666666667</v>
          </cell>
          <cell r="Y36">
            <v>1824.1666666666667</v>
          </cell>
          <cell r="Z36">
            <v>7748.5</v>
          </cell>
          <cell r="AA36">
            <v>1725.3333333333333</v>
          </cell>
          <cell r="AB36">
            <v>1593.6666666666667</v>
          </cell>
          <cell r="AC36">
            <v>1557.3333333333333</v>
          </cell>
          <cell r="AD36">
            <v>1361</v>
          </cell>
          <cell r="AE36">
            <v>6237.333333333333</v>
          </cell>
          <cell r="AF36">
            <v>1258.8333333333335</v>
          </cell>
          <cell r="AG36">
            <v>1397.3333333333333</v>
          </cell>
          <cell r="AH36">
            <v>1538.6666666666667</v>
          </cell>
          <cell r="AI36">
            <v>1596.5</v>
          </cell>
          <cell r="AJ36">
            <v>5791.333333333333</v>
          </cell>
          <cell r="AK36">
            <v>1562.1666666666667</v>
          </cell>
          <cell r="AL36">
            <v>1613.8333333333333</v>
          </cell>
          <cell r="AM36">
            <v>1694.5</v>
          </cell>
          <cell r="AN36">
            <v>1791.3333333333333</v>
          </cell>
          <cell r="AO36">
            <v>6661.833333333333</v>
          </cell>
          <cell r="AP36">
            <v>1828.5</v>
          </cell>
          <cell r="AQ36">
            <v>2080.666666666667</v>
          </cell>
          <cell r="AR36">
            <v>2213.166666666667</v>
          </cell>
          <cell r="AS36">
            <v>2255.666666666667</v>
          </cell>
          <cell r="AT36">
            <v>8378</v>
          </cell>
        </row>
        <row r="37">
          <cell r="A37" t="str">
            <v xml:space="preserve">     Total Production (MBOE/d)</v>
          </cell>
          <cell r="B37" t="e">
            <v>#DIV/0!</v>
          </cell>
          <cell r="C37" t="e">
            <v>#DIV/0!</v>
          </cell>
          <cell r="D37" t="e">
            <v>#DIV/0!</v>
          </cell>
          <cell r="E37" t="e">
            <v>#DIV/0!</v>
          </cell>
          <cell r="F37" t="e">
            <v>#DIV/0!</v>
          </cell>
          <cell r="G37" t="e">
            <v>#DIV/0!</v>
          </cell>
          <cell r="H37" t="e">
            <v>#DIV/0!</v>
          </cell>
          <cell r="I37" t="e">
            <v>#DIV/0!</v>
          </cell>
          <cell r="J37" t="e">
            <v>#DIV/0!</v>
          </cell>
          <cell r="K37" t="e">
            <v>#DIV/0!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26.903652968036532</v>
          </cell>
          <cell r="Q37">
            <v>23.701465201465197</v>
          </cell>
          <cell r="R37">
            <v>23.183150183150186</v>
          </cell>
          <cell r="S37">
            <v>21.286231884057969</v>
          </cell>
          <cell r="T37">
            <v>23.840579710144926</v>
          </cell>
          <cell r="U37">
            <v>23.063470319634703</v>
          </cell>
          <cell r="V37">
            <v>22.281481481481482</v>
          </cell>
          <cell r="W37">
            <v>22.42124542124542</v>
          </cell>
          <cell r="X37">
            <v>20.420289855072465</v>
          </cell>
          <cell r="Y37">
            <v>19.827898550724637</v>
          </cell>
          <cell r="Z37">
            <v>21.228767123287671</v>
          </cell>
          <cell r="AA37">
            <v>19.170370370370371</v>
          </cell>
          <cell r="AB37">
            <v>17.512820512820515</v>
          </cell>
          <cell r="AC37">
            <v>16.927536231884059</v>
          </cell>
          <cell r="AD37">
            <v>14.793478260869565</v>
          </cell>
          <cell r="AE37">
            <v>17.088584474885845</v>
          </cell>
          <cell r="AF37">
            <v>13.987037037037039</v>
          </cell>
          <cell r="AG37">
            <v>15.355311355311354</v>
          </cell>
          <cell r="AH37">
            <v>16.724637681159422</v>
          </cell>
          <cell r="AI37">
            <v>17.353260869565219</v>
          </cell>
          <cell r="AJ37">
            <v>15.866666666666665</v>
          </cell>
          <cell r="AK37">
            <v>17.166666666666668</v>
          </cell>
          <cell r="AL37">
            <v>17.734432234432234</v>
          </cell>
          <cell r="AM37">
            <v>18.418478260869566</v>
          </cell>
          <cell r="AN37">
            <v>19.471014492753621</v>
          </cell>
          <cell r="AO37">
            <v>18.201730418943534</v>
          </cell>
          <cell r="AP37">
            <v>20.316666666666666</v>
          </cell>
          <cell r="AQ37">
            <v>22.864468864468869</v>
          </cell>
          <cell r="AR37">
            <v>24.056159420289859</v>
          </cell>
          <cell r="AS37">
            <v>24.518115942028988</v>
          </cell>
          <cell r="AT37">
            <v>22.953424657534246</v>
          </cell>
        </row>
        <row r="38">
          <cell r="A38" t="str">
            <v xml:space="preserve">     % Change</v>
          </cell>
          <cell r="G38" t="e">
            <v>#DIV/0!</v>
          </cell>
          <cell r="H38" t="e">
            <v>#DIV/0!</v>
          </cell>
          <cell r="I38" t="e">
            <v>#DIV/0!</v>
          </cell>
          <cell r="J38" t="e">
            <v>#DIV/0!</v>
          </cell>
          <cell r="K38" t="e">
            <v>#DIV/0!</v>
          </cell>
          <cell r="L38" t="e">
            <v>#DIV/0!</v>
          </cell>
          <cell r="M38" t="e">
            <v>#DIV/0!</v>
          </cell>
          <cell r="N38" t="e">
            <v>#DIV/0!</v>
          </cell>
          <cell r="O38" t="e">
            <v>#DIV/0!</v>
          </cell>
          <cell r="P38" t="e">
            <v>#DIV/0!</v>
          </cell>
          <cell r="Q38" t="e">
            <v>#DIV/0!</v>
          </cell>
          <cell r="R38" t="e">
            <v>#DIV/0!</v>
          </cell>
          <cell r="S38" t="e">
            <v>#DIV/0!</v>
          </cell>
          <cell r="T38" t="e">
            <v>#DIV/0!</v>
          </cell>
          <cell r="U38">
            <v>-0.14038967358716536</v>
          </cell>
          <cell r="V38">
            <v>-7.0241866934549035E-2</v>
          </cell>
          <cell r="W38">
            <v>-3.2864591562648315E-2</v>
          </cell>
          <cell r="X38">
            <v>-4.0680851063829682E-2</v>
          </cell>
          <cell r="Y38">
            <v>-0.16831306990881445</v>
          </cell>
          <cell r="Z38">
            <v>-8.2065069396819124E-2</v>
          </cell>
          <cell r="AA38">
            <v>-0.1396276595744681</v>
          </cell>
          <cell r="AB38">
            <v>-0.2189184773729782</v>
          </cell>
          <cell r="AC38">
            <v>-0.171043293115685</v>
          </cell>
          <cell r="AD38">
            <v>-0.25390589310187306</v>
          </cell>
          <cell r="AE38">
            <v>-0.19502699447204841</v>
          </cell>
          <cell r="AF38">
            <v>-0.27038253477588858</v>
          </cell>
          <cell r="AG38">
            <v>-0.12319598410374411</v>
          </cell>
          <cell r="AH38">
            <v>-1.1986301369862895E-2</v>
          </cell>
          <cell r="AI38">
            <v>0.1730345334313006</v>
          </cell>
          <cell r="AJ38">
            <v>-7.1504916631038862E-2</v>
          </cell>
          <cell r="AK38">
            <v>0.24096385542168663</v>
          </cell>
          <cell r="AL38">
            <v>0.15493797709923673</v>
          </cell>
          <cell r="AM38">
            <v>0.10127816291161174</v>
          </cell>
          <cell r="AN38">
            <v>0.12203779100114831</v>
          </cell>
          <cell r="AO38">
            <v>0.15031080925520901</v>
          </cell>
          <cell r="AP38">
            <v>0.17048970447028688</v>
          </cell>
          <cell r="AQ38">
            <v>0.28926985438397224</v>
          </cell>
          <cell r="AR38">
            <v>0.3060883249729518</v>
          </cell>
          <cell r="AS38">
            <v>0.25921101600297747</v>
          </cell>
          <cell r="AT38">
            <v>0.25761176853218593</v>
          </cell>
        </row>
        <row r="39">
          <cell r="A39" t="str">
            <v xml:space="preserve">     Total Production (Bcfe)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58.918999999999997</v>
          </cell>
          <cell r="Q39">
            <v>12.940999999999999</v>
          </cell>
          <cell r="R39">
            <v>12.658000000000001</v>
          </cell>
          <cell r="S39">
            <v>11.75</v>
          </cell>
          <cell r="T39">
            <v>13.159999999999998</v>
          </cell>
          <cell r="U39">
            <v>50.647380821917807</v>
          </cell>
          <cell r="V39">
            <v>12.032</v>
          </cell>
          <cell r="W39">
            <v>12.242000000000001</v>
          </cell>
          <cell r="X39">
            <v>11.272</v>
          </cell>
          <cell r="Y39">
            <v>10.945</v>
          </cell>
          <cell r="Z39">
            <v>46.491</v>
          </cell>
          <cell r="AA39">
            <v>10.352</v>
          </cell>
          <cell r="AB39">
            <v>9.5619999999999994</v>
          </cell>
          <cell r="AC39">
            <v>9.3439999999999994</v>
          </cell>
          <cell r="AD39">
            <v>8.1660000000000004</v>
          </cell>
          <cell r="AE39">
            <v>37.423999999999999</v>
          </cell>
          <cell r="AF39">
            <v>7.5530000000000008</v>
          </cell>
          <cell r="AG39">
            <v>8.3840000000000003</v>
          </cell>
          <cell r="AH39">
            <v>9.2319999999999993</v>
          </cell>
          <cell r="AI39">
            <v>9.5790000000000006</v>
          </cell>
          <cell r="AJ39">
            <v>34.747999999999998</v>
          </cell>
          <cell r="AK39">
            <v>9.3729999999999993</v>
          </cell>
          <cell r="AL39">
            <v>9.6829999999999998</v>
          </cell>
          <cell r="AM39">
            <v>10.167</v>
          </cell>
          <cell r="AN39">
            <v>10.747999999999999</v>
          </cell>
          <cell r="AO39">
            <v>39.970999999999997</v>
          </cell>
          <cell r="AP39">
            <v>10.971</v>
          </cell>
          <cell r="AQ39">
            <v>12.484000000000002</v>
          </cell>
          <cell r="AR39">
            <v>13.279000000000002</v>
          </cell>
          <cell r="AS39">
            <v>13.534000000000002</v>
          </cell>
          <cell r="AT39">
            <v>50.268000000000001</v>
          </cell>
        </row>
        <row r="40">
          <cell r="A40" t="str">
            <v xml:space="preserve">     Total Production (Bcfe/d)</v>
          </cell>
          <cell r="B40" t="e">
            <v>#DIV/0!</v>
          </cell>
          <cell r="C40" t="e">
            <v>#DIV/0!</v>
          </cell>
          <cell r="D40" t="e">
            <v>#DIV/0!</v>
          </cell>
          <cell r="E40" t="e">
            <v>#DIV/0!</v>
          </cell>
          <cell r="F40" t="e">
            <v>#DIV/0!</v>
          </cell>
          <cell r="G40" t="e">
            <v>#DIV/0!</v>
          </cell>
          <cell r="H40" t="e">
            <v>#DIV/0!</v>
          </cell>
          <cell r="I40" t="e">
            <v>#DIV/0!</v>
          </cell>
          <cell r="J40" t="e">
            <v>#DIV/0!</v>
          </cell>
          <cell r="K40" t="e">
            <v>#DIV/0!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0.16142191780821916</v>
          </cell>
          <cell r="Q40">
            <v>0.14220879120879121</v>
          </cell>
          <cell r="R40">
            <v>0.13909890109890111</v>
          </cell>
          <cell r="S40">
            <v>0.12771739130434784</v>
          </cell>
          <cell r="T40">
            <v>0.14304347826086955</v>
          </cell>
          <cell r="U40">
            <v>0.13838082191780821</v>
          </cell>
          <cell r="V40">
            <v>0.13368888888888888</v>
          </cell>
          <cell r="W40">
            <v>0.13452747252747255</v>
          </cell>
          <cell r="X40">
            <v>0.12252173913043478</v>
          </cell>
          <cell r="Y40">
            <v>0.11896739130434783</v>
          </cell>
          <cell r="Z40">
            <v>0.12737260273972603</v>
          </cell>
          <cell r="AA40">
            <v>0.11502222222222222</v>
          </cell>
          <cell r="AB40">
            <v>0.10507692307692307</v>
          </cell>
          <cell r="AC40">
            <v>0.10156521739130434</v>
          </cell>
          <cell r="AD40">
            <v>8.8760869565217393E-2</v>
          </cell>
          <cell r="AE40">
            <v>0.10253150684931507</v>
          </cell>
          <cell r="AF40">
            <v>8.3922222222222231E-2</v>
          </cell>
          <cell r="AG40">
            <v>9.2131868131868133E-2</v>
          </cell>
          <cell r="AH40">
            <v>0.10034782608695651</v>
          </cell>
          <cell r="AI40">
            <v>0.10411956521739131</v>
          </cell>
          <cell r="AJ40">
            <v>9.5199999999999993E-2</v>
          </cell>
          <cell r="AK40">
            <v>0.10299999999999999</v>
          </cell>
          <cell r="AL40">
            <v>0.10640659340659341</v>
          </cell>
          <cell r="AM40">
            <v>0.11051086956521738</v>
          </cell>
          <cell r="AN40">
            <v>0.11682608695652173</v>
          </cell>
          <cell r="AO40">
            <v>0.10921038251366119</v>
          </cell>
          <cell r="AP40">
            <v>0.12189999999999999</v>
          </cell>
          <cell r="AQ40">
            <v>0.13718681318681319</v>
          </cell>
          <cell r="AR40">
            <v>0.14433695652173914</v>
          </cell>
          <cell r="AS40">
            <v>0.14710869565217394</v>
          </cell>
          <cell r="AT40">
            <v>0.13772054794520547</v>
          </cell>
        </row>
        <row r="41">
          <cell r="A41" t="str">
            <v xml:space="preserve">     Days</v>
          </cell>
          <cell r="L41">
            <v>90</v>
          </cell>
          <cell r="M41">
            <v>91</v>
          </cell>
          <cell r="N41">
            <v>92</v>
          </cell>
          <cell r="O41">
            <v>92</v>
          </cell>
          <cell r="P41">
            <v>365</v>
          </cell>
          <cell r="Q41">
            <v>91</v>
          </cell>
          <cell r="R41">
            <v>91</v>
          </cell>
          <cell r="S41">
            <v>92</v>
          </cell>
          <cell r="T41">
            <v>92</v>
          </cell>
          <cell r="U41">
            <v>366</v>
          </cell>
          <cell r="V41">
            <v>90</v>
          </cell>
          <cell r="W41">
            <v>91</v>
          </cell>
          <cell r="X41">
            <v>92</v>
          </cell>
          <cell r="Y41">
            <v>92</v>
          </cell>
          <cell r="Z41">
            <v>365</v>
          </cell>
          <cell r="AA41">
            <v>90</v>
          </cell>
          <cell r="AB41">
            <v>91</v>
          </cell>
          <cell r="AC41">
            <v>92</v>
          </cell>
          <cell r="AD41">
            <v>92</v>
          </cell>
          <cell r="AE41">
            <v>365</v>
          </cell>
          <cell r="AF41">
            <v>90</v>
          </cell>
          <cell r="AG41">
            <v>91</v>
          </cell>
          <cell r="AH41">
            <v>92</v>
          </cell>
          <cell r="AI41">
            <v>92</v>
          </cell>
          <cell r="AJ41">
            <v>365</v>
          </cell>
          <cell r="AK41">
            <v>91</v>
          </cell>
          <cell r="AL41">
            <v>91</v>
          </cell>
          <cell r="AM41">
            <v>92</v>
          </cell>
          <cell r="AN41">
            <v>92</v>
          </cell>
          <cell r="AO41">
            <v>366</v>
          </cell>
          <cell r="AP41">
            <v>90</v>
          </cell>
          <cell r="AQ41">
            <v>91</v>
          </cell>
          <cell r="AR41">
            <v>92</v>
          </cell>
          <cell r="AS41">
            <v>92</v>
          </cell>
          <cell r="AT41">
            <v>365</v>
          </cell>
        </row>
        <row r="43">
          <cell r="A43" t="str">
            <v>Breakdown:  Gas</v>
          </cell>
          <cell r="B43" t="e">
            <v>#DIV/0!</v>
          </cell>
          <cell r="C43" t="e">
            <v>#DIV/0!</v>
          </cell>
          <cell r="D43" t="e">
            <v>#DIV/0!</v>
          </cell>
          <cell r="E43" t="e">
            <v>#DIV/0!</v>
          </cell>
          <cell r="F43" t="e">
            <v>#DIV/0!</v>
          </cell>
          <cell r="G43" t="e">
            <v>#DIV/0!</v>
          </cell>
          <cell r="H43" t="e">
            <v>#DIV/0!</v>
          </cell>
          <cell r="I43" t="e">
            <v>#DIV/0!</v>
          </cell>
          <cell r="J43" t="e">
            <v>#DIV/0!</v>
          </cell>
          <cell r="K43" t="e">
            <v>#DIV/0!</v>
          </cell>
          <cell r="L43" t="e">
            <v>#DIV/0!</v>
          </cell>
          <cell r="M43" t="e">
            <v>#DIV/0!</v>
          </cell>
          <cell r="N43" t="e">
            <v>#DIV/0!</v>
          </cell>
          <cell r="O43" t="e">
            <v>#DIV/0!</v>
          </cell>
          <cell r="P43">
            <v>0.85661671107792059</v>
          </cell>
          <cell r="Q43">
            <v>0.82937949153852109</v>
          </cell>
          <cell r="R43">
            <v>0.81655869805656489</v>
          </cell>
          <cell r="S43">
            <v>0.77991489361702127</v>
          </cell>
          <cell r="T43">
            <v>0.82492401215805478</v>
          </cell>
          <cell r="U43">
            <v>0.81349858441069911</v>
          </cell>
          <cell r="V43">
            <v>0.79355053191489366</v>
          </cell>
          <cell r="W43">
            <v>0.79954255840548927</v>
          </cell>
          <cell r="X43">
            <v>0.7945351312987935</v>
          </cell>
          <cell r="Y43">
            <v>0.78401096391046143</v>
          </cell>
          <cell r="Z43">
            <v>0.79312124927405303</v>
          </cell>
          <cell r="AA43">
            <v>0.80293663060278209</v>
          </cell>
          <cell r="AB43">
            <v>0.79230286550930773</v>
          </cell>
          <cell r="AC43">
            <v>0.79002568493150682</v>
          </cell>
          <cell r="AD43">
            <v>0.78398236590742099</v>
          </cell>
          <cell r="AE43">
            <v>0.79286019666524155</v>
          </cell>
          <cell r="AF43">
            <v>0.79107639348603198</v>
          </cell>
          <cell r="AG43">
            <v>0.80605916030534353</v>
          </cell>
          <cell r="AH43">
            <v>0.81997400346620453</v>
          </cell>
          <cell r="AI43">
            <v>0.82085812715314754</v>
          </cell>
          <cell r="AJ43">
            <v>0.8105790261310003</v>
          </cell>
          <cell r="AK43">
            <v>0.83932572282086848</v>
          </cell>
          <cell r="AL43">
            <v>0.84570897449137661</v>
          </cell>
          <cell r="AM43">
            <v>0.85128356447329601</v>
          </cell>
          <cell r="AN43">
            <v>0.85541496092296243</v>
          </cell>
          <cell r="AO43">
            <v>0.84823997398113626</v>
          </cell>
          <cell r="AP43">
            <v>0.8643697019414821</v>
          </cell>
          <cell r="AQ43">
            <v>0.87119512976610047</v>
          </cell>
          <cell r="AR43">
            <v>0.88387679795165286</v>
          </cell>
          <cell r="AS43">
            <v>0.88783803753509671</v>
          </cell>
          <cell r="AT43">
            <v>0.87753640486989737</v>
          </cell>
        </row>
        <row r="44">
          <cell r="A44" t="str">
            <v xml:space="preserve">                      NGL</v>
          </cell>
          <cell r="B44" t="e">
            <v>#DIV/0!</v>
          </cell>
          <cell r="C44" t="e">
            <v>#DIV/0!</v>
          </cell>
          <cell r="D44" t="e">
            <v>#DIV/0!</v>
          </cell>
          <cell r="E44" t="e">
            <v>#DIV/0!</v>
          </cell>
          <cell r="F44" t="e">
            <v>#DIV/0!</v>
          </cell>
          <cell r="G44" t="e">
            <v>#DIV/0!</v>
          </cell>
          <cell r="H44" t="e">
            <v>#DIV/0!</v>
          </cell>
          <cell r="I44" t="e">
            <v>#DIV/0!</v>
          </cell>
          <cell r="J44" t="e">
            <v>#DIV/0!</v>
          </cell>
          <cell r="K44" t="e">
            <v>#DIV/0!</v>
          </cell>
          <cell r="L44" t="e">
            <v>#DIV/0!</v>
          </cell>
          <cell r="M44" t="e">
            <v>#DIV/0!</v>
          </cell>
          <cell r="N44" t="e">
            <v>#DIV/0!</v>
          </cell>
          <cell r="O44" t="e">
            <v>#DIV/0!</v>
          </cell>
          <cell r="P44">
            <v>1.2423836113986998E-2</v>
          </cell>
          <cell r="Q44">
            <v>1.6227494011281974E-2</v>
          </cell>
          <cell r="R44">
            <v>2.22784010112182E-2</v>
          </cell>
          <cell r="S44">
            <v>5.4638297872340424E-2</v>
          </cell>
          <cell r="T44">
            <v>3.4194528875379944E-2</v>
          </cell>
          <cell r="U44">
            <v>3.1360747589538496E-2</v>
          </cell>
          <cell r="V44">
            <v>4.138962765957447E-2</v>
          </cell>
          <cell r="W44">
            <v>4.6070903447149161E-2</v>
          </cell>
          <cell r="X44">
            <v>5.2164655784244146E-2</v>
          </cell>
          <cell r="Y44">
            <v>5.3723161260849701E-2</v>
          </cell>
          <cell r="Z44">
            <v>4.8138349357940237E-2</v>
          </cell>
          <cell r="AA44">
            <v>4.1151468315301393E-2</v>
          </cell>
          <cell r="AB44">
            <v>4.4551349090148504E-2</v>
          </cell>
          <cell r="AC44">
            <v>5.0727739726027399E-2</v>
          </cell>
          <cell r="AD44">
            <v>4.9228508449669361E-2</v>
          </cell>
          <cell r="AE44">
            <v>4.6173578452330055E-2</v>
          </cell>
          <cell r="AF44">
            <v>3.8130544154640539E-2</v>
          </cell>
          <cell r="AG44">
            <v>4.1507633587786259E-2</v>
          </cell>
          <cell r="AH44">
            <v>4.5493934142114383E-2</v>
          </cell>
          <cell r="AI44">
            <v>5.1988725336673973E-2</v>
          </cell>
          <cell r="AJ44">
            <v>4.472199838839646E-2</v>
          </cell>
          <cell r="AK44">
            <v>3.7127920623066253E-2</v>
          </cell>
          <cell r="AL44">
            <v>3.222141898172054E-2</v>
          </cell>
          <cell r="AM44">
            <v>3.0097373856594865E-2</v>
          </cell>
          <cell r="AN44">
            <v>3.0703386676590994E-2</v>
          </cell>
          <cell r="AO44">
            <v>3.2423507042605888E-2</v>
          </cell>
          <cell r="AP44">
            <v>2.5157232704402517E-2</v>
          </cell>
          <cell r="AQ44">
            <v>2.7395065684075612E-2</v>
          </cell>
          <cell r="AR44">
            <v>2.2592062655320426E-2</v>
          </cell>
          <cell r="AS44">
            <v>1.6846460765479531E-2</v>
          </cell>
          <cell r="AT44">
            <v>2.279780377178324E-2</v>
          </cell>
        </row>
        <row r="45">
          <cell r="A45" t="str">
            <v xml:space="preserve">                      Oil</v>
          </cell>
          <cell r="B45" t="e">
            <v>#DIV/0!</v>
          </cell>
          <cell r="C45" t="e">
            <v>#DIV/0!</v>
          </cell>
          <cell r="D45" t="e">
            <v>#DIV/0!</v>
          </cell>
          <cell r="E45" t="e">
            <v>#DIV/0!</v>
          </cell>
          <cell r="F45" t="e">
            <v>#DIV/0!</v>
          </cell>
          <cell r="G45" t="e">
            <v>#DIV/0!</v>
          </cell>
          <cell r="H45" t="e">
            <v>#DIV/0!</v>
          </cell>
          <cell r="I45" t="e">
            <v>#DIV/0!</v>
          </cell>
          <cell r="J45" t="e">
            <v>#DIV/0!</v>
          </cell>
          <cell r="K45" t="e">
            <v>#DIV/0!</v>
          </cell>
          <cell r="L45" t="e">
            <v>#DIV/0!</v>
          </cell>
          <cell r="M45" t="e">
            <v>#DIV/0!</v>
          </cell>
          <cell r="N45" t="e">
            <v>#DIV/0!</v>
          </cell>
          <cell r="O45" t="e">
            <v>#DIV/0!</v>
          </cell>
          <cell r="P45">
            <v>0.13095945280809246</v>
          </cell>
          <cell r="Q45">
            <v>0.15439301445019707</v>
          </cell>
          <cell r="R45">
            <v>0.16116290093221675</v>
          </cell>
          <cell r="S45">
            <v>0.16544680851063831</v>
          </cell>
          <cell r="T45">
            <v>0.14088145896656537</v>
          </cell>
          <cell r="U45">
            <v>0.15514066799976242</v>
          </cell>
          <cell r="V45">
            <v>0.16505984042553193</v>
          </cell>
          <cell r="W45">
            <v>0.15438653814736156</v>
          </cell>
          <cell r="X45">
            <v>0.15330021291696239</v>
          </cell>
          <cell r="Y45">
            <v>0.1622658748286889</v>
          </cell>
          <cell r="Z45">
            <v>0.15874040136800671</v>
          </cell>
          <cell r="AA45">
            <v>0.15591190108191655</v>
          </cell>
          <cell r="AB45">
            <v>0.16314578540054381</v>
          </cell>
          <cell r="AC45">
            <v>0.15924657534246575</v>
          </cell>
          <cell r="AD45">
            <v>0.16678912564290962</v>
          </cell>
          <cell r="AE45">
            <v>0.16096622488242837</v>
          </cell>
          <cell r="AF45">
            <v>0.1707930623593274</v>
          </cell>
          <cell r="AG45">
            <v>0.15243320610687025</v>
          </cell>
          <cell r="AH45">
            <v>0.13453206239168111</v>
          </cell>
          <cell r="AI45">
            <v>0.1271531475101785</v>
          </cell>
          <cell r="AJ45">
            <v>0.1446989754806032</v>
          </cell>
          <cell r="AK45">
            <v>0.12354635655606529</v>
          </cell>
          <cell r="AL45">
            <v>0.12206960652690282</v>
          </cell>
          <cell r="AM45">
            <v>0.11861906167010917</v>
          </cell>
          <cell r="AN45">
            <v>0.11388165240044661</v>
          </cell>
          <cell r="AO45">
            <v>0.11933651897625779</v>
          </cell>
          <cell r="AP45">
            <v>0.1104730653541154</v>
          </cell>
          <cell r="AQ45">
            <v>0.10140980454982376</v>
          </cell>
          <cell r="AR45">
            <v>9.3531139393026569E-2</v>
          </cell>
          <cell r="AS45">
            <v>9.5315501699423655E-2</v>
          </cell>
          <cell r="AT45">
            <v>9.9665791358319392E-2</v>
          </cell>
        </row>
        <row r="47">
          <cell r="A47" t="str">
            <v>Realized Prices</v>
          </cell>
        </row>
        <row r="48">
          <cell r="A48" t="str">
            <v>U.S. Gas ($/Mcf)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2.1800000000000002</v>
          </cell>
          <cell r="Q48">
            <v>2.5299999999999998</v>
          </cell>
          <cell r="R48">
            <v>3.37</v>
          </cell>
          <cell r="S48">
            <v>3.94</v>
          </cell>
          <cell r="T48">
            <v>5.1100000000000003</v>
          </cell>
          <cell r="U48">
            <v>3.7374268052276771</v>
          </cell>
          <cell r="V48">
            <v>4.97</v>
          </cell>
          <cell r="W48">
            <v>4.1399999999999997</v>
          </cell>
          <cell r="X48">
            <v>3.49</v>
          </cell>
          <cell r="Y48">
            <v>2.88</v>
          </cell>
          <cell r="Z48">
            <v>3.9038212242019905</v>
          </cell>
          <cell r="AA48">
            <v>2.88</v>
          </cell>
          <cell r="AB48">
            <v>3.27</v>
          </cell>
          <cell r="AC48">
            <v>3.26</v>
          </cell>
          <cell r="AD48">
            <v>3.7</v>
          </cell>
          <cell r="AE48">
            <v>3.2510380156376382</v>
          </cell>
          <cell r="AF48">
            <v>5.51</v>
          </cell>
          <cell r="AG48">
            <v>4.8099999999999996</v>
          </cell>
          <cell r="AH48">
            <v>4.6100000000000003</v>
          </cell>
          <cell r="AI48">
            <v>4.3899999999999997</v>
          </cell>
          <cell r="AJ48">
            <v>4.6405062841724058</v>
          </cell>
          <cell r="AK48">
            <v>5.61</v>
          </cell>
          <cell r="AL48">
            <v>5.44</v>
          </cell>
          <cell r="AM48">
            <v>5.26</v>
          </cell>
          <cell r="AN48">
            <v>6.11</v>
          </cell>
          <cell r="AO48">
            <v>5.4854053974340076</v>
          </cell>
          <cell r="AP48">
            <v>6.06</v>
          </cell>
          <cell r="AQ48">
            <v>6.3</v>
          </cell>
          <cell r="AR48">
            <v>7.75</v>
          </cell>
          <cell r="AS48">
            <v>8.91</v>
          </cell>
          <cell r="AT48">
            <v>7.2940953970313309</v>
          </cell>
        </row>
        <row r="49">
          <cell r="A49" t="str">
            <v xml:space="preserve">    % Change</v>
          </cell>
          <cell r="G49" t="e">
            <v>#DIV/0!</v>
          </cell>
          <cell r="H49" t="e">
            <v>#DIV/0!</v>
          </cell>
          <cell r="I49" t="e">
            <v>#DIV/0!</v>
          </cell>
          <cell r="J49" t="e">
            <v>#DIV/0!</v>
          </cell>
          <cell r="K49" t="e">
            <v>#DIV/0!</v>
          </cell>
          <cell r="L49" t="e">
            <v>#DIV/0!</v>
          </cell>
          <cell r="M49" t="e">
            <v>#DIV/0!</v>
          </cell>
          <cell r="N49" t="e">
            <v>#DIV/0!</v>
          </cell>
          <cell r="O49" t="e">
            <v>#DIV/0!</v>
          </cell>
          <cell r="P49">
            <v>4.8076923076923128E-2</v>
          </cell>
          <cell r="Q49" t="e">
            <v>#DIV/0!</v>
          </cell>
          <cell r="R49" t="e">
            <v>#DIV/0!</v>
          </cell>
          <cell r="S49" t="e">
            <v>#DIV/0!</v>
          </cell>
          <cell r="T49" t="e">
            <v>#DIV/0!</v>
          </cell>
          <cell r="U49">
            <v>0.71441596570076915</v>
          </cell>
          <cell r="V49">
            <v>0.96442687747035571</v>
          </cell>
          <cell r="W49">
            <v>0.22848664688427278</v>
          </cell>
          <cell r="X49">
            <v>-0.1142131979695431</v>
          </cell>
          <cell r="Y49">
            <v>-0.43639921722113506</v>
          </cell>
          <cell r="Z49">
            <v>4.4521117775891073E-2</v>
          </cell>
          <cell r="AA49">
            <v>-0.42052313883299797</v>
          </cell>
          <cell r="AB49">
            <v>-0.21014492753623182</v>
          </cell>
          <cell r="AC49">
            <v>-6.5902578796561695E-2</v>
          </cell>
          <cell r="AD49">
            <v>0.28472222222222232</v>
          </cell>
          <cell r="AE49">
            <v>-0.16721647100983539</v>
          </cell>
          <cell r="AF49">
            <v>0.91319444444444442</v>
          </cell>
          <cell r="AG49">
            <v>0.47094801223241567</v>
          </cell>
          <cell r="AH49">
            <v>0.41411042944785303</v>
          </cell>
          <cell r="AI49">
            <v>0.18648648648648636</v>
          </cell>
          <cell r="AJ49">
            <v>0.42739219346293811</v>
          </cell>
          <cell r="AK49">
            <v>1.8148820326678861E-2</v>
          </cell>
          <cell r="AL49">
            <v>0.13097713097713104</v>
          </cell>
          <cell r="AM49">
            <v>0.14099783080260297</v>
          </cell>
          <cell r="AN49">
            <v>0.39179954441913467</v>
          </cell>
          <cell r="AO49">
            <v>0.18207045988566795</v>
          </cell>
          <cell r="AP49">
            <v>8.0213903743315385E-2</v>
          </cell>
          <cell r="AQ49">
            <v>0.15808823529411753</v>
          </cell>
          <cell r="AR49">
            <v>0.47338403041825106</v>
          </cell>
          <cell r="AS49">
            <v>0.45826513911620292</v>
          </cell>
          <cell r="AT49">
            <v>0.32972768073685166</v>
          </cell>
        </row>
        <row r="51">
          <cell r="A51" t="str">
            <v>U.S. Oil ($/Bbl)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16.04</v>
          </cell>
          <cell r="Q51">
            <v>25.84</v>
          </cell>
          <cell r="R51">
            <v>25.75</v>
          </cell>
          <cell r="S51">
            <v>29.27</v>
          </cell>
          <cell r="T51">
            <v>28.67</v>
          </cell>
          <cell r="U51">
            <v>27.337082695252679</v>
          </cell>
          <cell r="V51">
            <v>23.54</v>
          </cell>
          <cell r="W51">
            <v>21.2</v>
          </cell>
          <cell r="X51">
            <v>21.77</v>
          </cell>
          <cell r="Y51">
            <v>15.86</v>
          </cell>
          <cell r="Z51">
            <v>20.678097560975608</v>
          </cell>
          <cell r="AA51">
            <v>17.7</v>
          </cell>
          <cell r="AB51">
            <v>20.45</v>
          </cell>
          <cell r="AC51">
            <v>22.35</v>
          </cell>
          <cell r="AD51">
            <v>21.89</v>
          </cell>
          <cell r="AE51">
            <v>20.508097609561759</v>
          </cell>
          <cell r="AF51">
            <v>27.48</v>
          </cell>
          <cell r="AG51">
            <v>23.97</v>
          </cell>
          <cell r="AH51">
            <v>25.36</v>
          </cell>
          <cell r="AI51">
            <v>24.49</v>
          </cell>
          <cell r="AJ51">
            <v>25.339856801909306</v>
          </cell>
          <cell r="AK51">
            <v>27.1</v>
          </cell>
          <cell r="AL51">
            <v>28.16</v>
          </cell>
          <cell r="AM51">
            <v>32.19</v>
          </cell>
          <cell r="AN51">
            <v>34.42</v>
          </cell>
          <cell r="AO51">
            <v>30.527911949685535</v>
          </cell>
          <cell r="AP51">
            <v>38.130000000000003</v>
          </cell>
          <cell r="AQ51">
            <v>40.64</v>
          </cell>
          <cell r="AR51">
            <v>44.99</v>
          </cell>
          <cell r="AS51">
            <v>40.24</v>
          </cell>
          <cell r="AT51">
            <v>40.895327893663229</v>
          </cell>
        </row>
        <row r="52">
          <cell r="A52" t="str">
            <v xml:space="preserve">    % Change</v>
          </cell>
          <cell r="G52" t="e">
            <v>#DIV/0!</v>
          </cell>
          <cell r="H52" t="e">
            <v>#DIV/0!</v>
          </cell>
          <cell r="I52" t="e">
            <v>#DIV/0!</v>
          </cell>
          <cell r="J52" t="e">
            <v>#DIV/0!</v>
          </cell>
          <cell r="K52" t="e">
            <v>#DIV/0!</v>
          </cell>
          <cell r="L52" t="e">
            <v>#DIV/0!</v>
          </cell>
          <cell r="M52" t="e">
            <v>#DIV/0!</v>
          </cell>
          <cell r="N52" t="e">
            <v>#DIV/0!</v>
          </cell>
          <cell r="O52" t="e">
            <v>#DIV/0!</v>
          </cell>
          <cell r="P52">
            <v>0.40578439964943014</v>
          </cell>
          <cell r="Q52" t="e">
            <v>#DIV/0!</v>
          </cell>
          <cell r="R52" t="e">
            <v>#DIV/0!</v>
          </cell>
          <cell r="S52" t="e">
            <v>#DIV/0!</v>
          </cell>
          <cell r="T52" t="e">
            <v>#DIV/0!</v>
          </cell>
          <cell r="U52">
            <v>0.70430690120029182</v>
          </cell>
          <cell r="V52">
            <v>-8.9009287925696623E-2</v>
          </cell>
          <cell r="W52">
            <v>-0.1766990291262136</v>
          </cell>
          <cell r="X52">
            <v>-0.25623505295524429</v>
          </cell>
          <cell r="Y52">
            <v>-0.44680851063829796</v>
          </cell>
          <cell r="Z52">
            <v>-0.24358799395348285</v>
          </cell>
          <cell r="AA52">
            <v>-0.24808836023789294</v>
          </cell>
          <cell r="AB52">
            <v>-3.5377358490566002E-2</v>
          </cell>
          <cell r="AC52">
            <v>2.6642168121267851E-2</v>
          </cell>
          <cell r="AD52">
            <v>0.38020176544766726</v>
          </cell>
          <cell r="AE52">
            <v>-0.12879789254198137</v>
          </cell>
          <cell r="AF52">
            <v>0.5525423728813561</v>
          </cell>
          <cell r="AG52">
            <v>0.17212713936430313</v>
          </cell>
          <cell r="AH52">
            <v>0.13467561521252791</v>
          </cell>
          <cell r="AI52">
            <v>0.11877569666514387</v>
          </cell>
          <cell r="AJ52">
            <v>0.23560250610933187</v>
          </cell>
          <cell r="AK52">
            <v>-1.3828238719068353E-2</v>
          </cell>
          <cell r="AL52">
            <v>0.17480183562786822</v>
          </cell>
          <cell r="AM52">
            <v>0.26932176656151419</v>
          </cell>
          <cell r="AN52">
            <v>0.40547162106982459</v>
          </cell>
          <cell r="AO52">
            <v>0.20473892920284054</v>
          </cell>
          <cell r="AP52">
            <v>0.40701107011070103</v>
          </cell>
          <cell r="AQ52">
            <v>0.44318181818181812</v>
          </cell>
          <cell r="AR52">
            <v>0.39763901832867377</v>
          </cell>
          <cell r="AS52">
            <v>0.16908773968622892</v>
          </cell>
          <cell r="AT52">
            <v>0.33960448919876063</v>
          </cell>
        </row>
        <row r="54">
          <cell r="A54" t="str">
            <v>U.S. NGL ($/Bbl)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11.25</v>
          </cell>
          <cell r="Q54">
            <v>15.17</v>
          </cell>
          <cell r="R54">
            <v>14.17</v>
          </cell>
          <cell r="S54">
            <v>11.13</v>
          </cell>
          <cell r="T54">
            <v>15.14</v>
          </cell>
          <cell r="U54">
            <v>13.309558184302038</v>
          </cell>
          <cell r="V54">
            <v>17.829999999999998</v>
          </cell>
          <cell r="W54">
            <v>14.47</v>
          </cell>
          <cell r="X54">
            <v>12.46</v>
          </cell>
          <cell r="Y54">
            <v>10.87</v>
          </cell>
          <cell r="Z54">
            <v>13.743726541554963</v>
          </cell>
          <cell r="AA54">
            <v>9.0299999999999994</v>
          </cell>
          <cell r="AB54">
            <v>10.1</v>
          </cell>
          <cell r="AC54">
            <v>9.57</v>
          </cell>
          <cell r="AD54">
            <v>11.69</v>
          </cell>
          <cell r="AE54">
            <v>10.060729166666667</v>
          </cell>
          <cell r="AF54">
            <v>17.27</v>
          </cell>
          <cell r="AG54">
            <v>14.15</v>
          </cell>
          <cell r="AH54">
            <v>13.78</v>
          </cell>
          <cell r="AI54">
            <v>14.04</v>
          </cell>
          <cell r="AJ54">
            <v>14.592972972972975</v>
          </cell>
          <cell r="AK54">
            <v>16.96</v>
          </cell>
          <cell r="AL54">
            <v>17.23</v>
          </cell>
          <cell r="AM54">
            <v>18.52</v>
          </cell>
          <cell r="AN54">
            <v>23.58</v>
          </cell>
          <cell r="AO54">
            <v>19.131252663622526</v>
          </cell>
          <cell r="AP54">
            <v>24.07</v>
          </cell>
          <cell r="AQ54">
            <v>21.65</v>
          </cell>
          <cell r="AR54">
            <v>27.55</v>
          </cell>
          <cell r="AS54">
            <v>45.08</v>
          </cell>
          <cell r="AT54">
            <v>28.367795869052422</v>
          </cell>
        </row>
        <row r="55">
          <cell r="A55" t="str">
            <v xml:space="preserve">    % Change</v>
          </cell>
          <cell r="G55" t="e">
            <v>#DIV/0!</v>
          </cell>
          <cell r="H55" t="e">
            <v>#DIV/0!</v>
          </cell>
          <cell r="I55" t="e">
            <v>#DIV/0!</v>
          </cell>
          <cell r="J55" t="e">
            <v>#DIV/0!</v>
          </cell>
          <cell r="K55" t="e">
            <v>#DIV/0!</v>
          </cell>
          <cell r="L55" t="e">
            <v>#DIV/0!</v>
          </cell>
          <cell r="M55" t="e">
            <v>#DIV/0!</v>
          </cell>
          <cell r="N55" t="e">
            <v>#DIV/0!</v>
          </cell>
          <cell r="O55" t="e">
            <v>#DIV/0!</v>
          </cell>
          <cell r="P55">
            <v>0.41866330390920559</v>
          </cell>
          <cell r="Q55" t="e">
            <v>#DIV/0!</v>
          </cell>
          <cell r="R55" t="e">
            <v>#DIV/0!</v>
          </cell>
          <cell r="S55" t="e">
            <v>#DIV/0!</v>
          </cell>
          <cell r="T55" t="e">
            <v>#DIV/0!</v>
          </cell>
          <cell r="U55">
            <v>0.1830718386046255</v>
          </cell>
          <cell r="V55">
            <v>0.17534607778510214</v>
          </cell>
          <cell r="W55">
            <v>2.117148906139743E-2</v>
          </cell>
          <cell r="X55">
            <v>0.11949685534591192</v>
          </cell>
          <cell r="Y55">
            <v>-0.28203434610303835</v>
          </cell>
          <cell r="Z55">
            <v>3.2620794112084406E-2</v>
          </cell>
          <cell r="AA55">
            <v>-0.49355019629837349</v>
          </cell>
          <cell r="AB55">
            <v>-0.30200414651002083</v>
          </cell>
          <cell r="AC55">
            <v>-0.2319422150882825</v>
          </cell>
          <cell r="AD55">
            <v>7.5436982520699303E-2</v>
          </cell>
          <cell r="AE55">
            <v>-0.4357414937371471</v>
          </cell>
          <cell r="AF55">
            <v>0.91251384274640102</v>
          </cell>
          <cell r="AG55">
            <v>0.40099009900990112</v>
          </cell>
          <cell r="AH55">
            <v>0.43991640543364663</v>
          </cell>
          <cell r="AI55">
            <v>0.20102651839178787</v>
          </cell>
          <cell r="AJ55">
            <v>0.45048860089809351</v>
          </cell>
          <cell r="AK55">
            <v>-1.7950202663578385E-2</v>
          </cell>
          <cell r="AL55">
            <v>0.21766784452296828</v>
          </cell>
          <cell r="AM55">
            <v>0.34397677793904213</v>
          </cell>
          <cell r="AN55">
            <v>0.67948717948717952</v>
          </cell>
          <cell r="AO55">
            <v>0.31099075555438271</v>
          </cell>
          <cell r="AP55">
            <v>0.41922169811320753</v>
          </cell>
          <cell r="AQ55">
            <v>0.25652930934416696</v>
          </cell>
          <cell r="AR55">
            <v>0.48758099352051842</v>
          </cell>
          <cell r="AS55">
            <v>0.91178965224766761</v>
          </cell>
          <cell r="AT55">
            <v>0.4827986628911598</v>
          </cell>
        </row>
        <row r="57">
          <cell r="A57" t="str">
            <v>Benchmark Commodity Prices</v>
          </cell>
        </row>
        <row r="58">
          <cell r="A58" t="str">
            <v>Natural Gas Composite Spot ($/Mcf)</v>
          </cell>
          <cell r="L58">
            <v>1.7</v>
          </cell>
          <cell r="M58">
            <v>2.15</v>
          </cell>
          <cell r="N58">
            <v>2.2999999999999998</v>
          </cell>
          <cell r="O58">
            <v>2.6</v>
          </cell>
          <cell r="P58">
            <v>2.1974999999999998</v>
          </cell>
          <cell r="Q58">
            <v>2.46</v>
          </cell>
          <cell r="R58">
            <v>3.5</v>
          </cell>
          <cell r="S58">
            <v>4.4000000000000004</v>
          </cell>
          <cell r="T58">
            <v>6.09</v>
          </cell>
          <cell r="U58">
            <v>4.1124999999999998</v>
          </cell>
          <cell r="V58">
            <v>6.4</v>
          </cell>
          <cell r="W58">
            <v>4.5999999999999996</v>
          </cell>
          <cell r="X58">
            <v>3</v>
          </cell>
          <cell r="Y58">
            <v>2.39</v>
          </cell>
          <cell r="Z58">
            <v>4.0875000000000004</v>
          </cell>
          <cell r="AA58">
            <v>2.4500000000000002</v>
          </cell>
          <cell r="AB58">
            <v>3.3</v>
          </cell>
          <cell r="AC58">
            <v>2.97</v>
          </cell>
          <cell r="AD58">
            <v>3.97</v>
          </cell>
          <cell r="AE58">
            <v>3.1725000000000003</v>
          </cell>
          <cell r="AF58">
            <v>6</v>
          </cell>
          <cell r="AG58">
            <v>5.65</v>
          </cell>
          <cell r="AH58">
            <v>4.8499999999999996</v>
          </cell>
          <cell r="AI58">
            <v>4.54</v>
          </cell>
          <cell r="AJ58">
            <v>5.25</v>
          </cell>
          <cell r="AK58">
            <v>5.44</v>
          </cell>
          <cell r="AL58">
            <v>5.88</v>
          </cell>
          <cell r="AM58">
            <v>5.36</v>
          </cell>
          <cell r="AN58">
            <v>6.1</v>
          </cell>
          <cell r="AO58">
            <v>5.6950000000000003</v>
          </cell>
          <cell r="AP58">
            <v>6.34</v>
          </cell>
          <cell r="AQ58">
            <v>6.68</v>
          </cell>
          <cell r="AR58">
            <v>9.4499999999999993</v>
          </cell>
          <cell r="AS58">
            <v>11.27</v>
          </cell>
          <cell r="AT58">
            <v>8.4249999999999989</v>
          </cell>
        </row>
        <row r="59">
          <cell r="A59" t="str">
            <v xml:space="preserve">    % Change</v>
          </cell>
          <cell r="G59" t="e">
            <v>#DIV/0!</v>
          </cell>
          <cell r="H59" t="e">
            <v>#DIV/0!</v>
          </cell>
          <cell r="I59" t="e">
            <v>#DIV/0!</v>
          </cell>
          <cell r="J59" t="e">
            <v>#DIV/0!</v>
          </cell>
          <cell r="K59" t="e">
            <v>#DIV/0!</v>
          </cell>
          <cell r="L59" t="e">
            <v>#DIV/0!</v>
          </cell>
          <cell r="M59" t="e">
            <v>#DIV/0!</v>
          </cell>
          <cell r="N59" t="e">
            <v>#DIV/0!</v>
          </cell>
          <cell r="O59" t="e">
            <v>#DIV/0!</v>
          </cell>
          <cell r="P59" t="e">
            <v>#DIV/0!</v>
          </cell>
          <cell r="Q59">
            <v>0.44705882352941173</v>
          </cell>
          <cell r="R59">
            <v>0.62790697674418605</v>
          </cell>
          <cell r="S59">
            <v>0.91304347826086985</v>
          </cell>
          <cell r="T59">
            <v>1.342307692307692</v>
          </cell>
          <cell r="U59">
            <v>0.87144482366325371</v>
          </cell>
          <cell r="V59">
            <v>1.601626016260163</v>
          </cell>
          <cell r="W59">
            <v>0.31428571428571428</v>
          </cell>
          <cell r="X59">
            <v>-0.31818181818181823</v>
          </cell>
          <cell r="Y59">
            <v>-0.60755336617405575</v>
          </cell>
          <cell r="Z59">
            <v>-6.0790273556229346E-3</v>
          </cell>
          <cell r="AA59">
            <v>-0.6171875</v>
          </cell>
          <cell r="AB59">
            <v>-0.28260869565217395</v>
          </cell>
          <cell r="AC59">
            <v>-9.9999999999998979E-3</v>
          </cell>
          <cell r="AD59">
            <v>0.66108786610878667</v>
          </cell>
          <cell r="AE59">
            <v>-0.50429687499999998</v>
          </cell>
          <cell r="AF59">
            <v>1.4489795918367343</v>
          </cell>
          <cell r="AG59">
            <v>0.71212121212121238</v>
          </cell>
          <cell r="AH59">
            <v>0.63299663299663278</v>
          </cell>
          <cell r="AI59">
            <v>0.14357682619647361</v>
          </cell>
          <cell r="AJ59">
            <v>0.65484633569739925</v>
          </cell>
          <cell r="AK59">
            <v>-9.3333333333333268E-2</v>
          </cell>
          <cell r="AL59">
            <v>4.0707964601769842E-2</v>
          </cell>
          <cell r="AM59">
            <v>0.1051546391752578</v>
          </cell>
          <cell r="AN59">
            <v>0.34361233480176212</v>
          </cell>
          <cell r="AO59">
            <v>8.4761904761904816E-2</v>
          </cell>
          <cell r="AP59">
            <v>0.16544117647058809</v>
          </cell>
          <cell r="AQ59">
            <v>0.13605442176870741</v>
          </cell>
          <cell r="AR59">
            <v>0.7630597014925371</v>
          </cell>
          <cell r="AS59">
            <v>0.8475409836065575</v>
          </cell>
          <cell r="AT59">
            <v>0.47936786654960462</v>
          </cell>
        </row>
        <row r="61">
          <cell r="A61" t="str">
            <v>WTI Oil ($/Bbl)</v>
          </cell>
          <cell r="L61">
            <v>13.16</v>
          </cell>
          <cell r="M61">
            <v>17.5</v>
          </cell>
          <cell r="N61">
            <v>19.899999999999999</v>
          </cell>
          <cell r="O61">
            <v>23</v>
          </cell>
          <cell r="P61">
            <v>18.37</v>
          </cell>
          <cell r="Q61">
            <v>28.87</v>
          </cell>
          <cell r="R61">
            <v>28.95</v>
          </cell>
          <cell r="S61">
            <v>31.64</v>
          </cell>
          <cell r="T61">
            <v>32</v>
          </cell>
          <cell r="U61">
            <v>30.365000000000002</v>
          </cell>
          <cell r="V61">
            <v>28.93</v>
          </cell>
          <cell r="W61">
            <v>27.93</v>
          </cell>
          <cell r="X61">
            <v>27.47</v>
          </cell>
          <cell r="Y61">
            <v>20.45</v>
          </cell>
          <cell r="Z61">
            <v>26.195</v>
          </cell>
          <cell r="AA61">
            <v>21.57</v>
          </cell>
          <cell r="AB61">
            <v>26.29</v>
          </cell>
          <cell r="AC61">
            <v>28.27</v>
          </cell>
          <cell r="AD61">
            <v>28.23</v>
          </cell>
          <cell r="AE61">
            <v>26.09</v>
          </cell>
          <cell r="AF61">
            <v>33.92</v>
          </cell>
          <cell r="AG61">
            <v>29.03</v>
          </cell>
          <cell r="AH61">
            <v>30.24</v>
          </cell>
          <cell r="AI61">
            <v>31.13</v>
          </cell>
          <cell r="AJ61">
            <v>31.08</v>
          </cell>
          <cell r="AK61">
            <v>35.33</v>
          </cell>
          <cell r="AL61">
            <v>38.32</v>
          </cell>
          <cell r="AM61">
            <v>43.91</v>
          </cell>
          <cell r="AN61">
            <v>48.2</v>
          </cell>
          <cell r="AO61">
            <v>41.44</v>
          </cell>
          <cell r="AP61">
            <v>49.57</v>
          </cell>
          <cell r="AQ61">
            <v>53.09</v>
          </cell>
          <cell r="AR61">
            <v>63.18</v>
          </cell>
          <cell r="AS61">
            <v>59.97</v>
          </cell>
          <cell r="AT61">
            <v>56.452500000000001</v>
          </cell>
        </row>
        <row r="62">
          <cell r="A62" t="str">
            <v xml:space="preserve">    % Change</v>
          </cell>
          <cell r="G62" t="e">
            <v>#DIV/0!</v>
          </cell>
          <cell r="H62" t="e">
            <v>#DIV/0!</v>
          </cell>
          <cell r="I62" t="e">
            <v>#DIV/0!</v>
          </cell>
          <cell r="J62" t="e">
            <v>#DIV/0!</v>
          </cell>
          <cell r="K62" t="e">
            <v>#DIV/0!</v>
          </cell>
          <cell r="L62" t="e">
            <v>#DIV/0!</v>
          </cell>
          <cell r="M62" t="e">
            <v>#DIV/0!</v>
          </cell>
          <cell r="N62" t="e">
            <v>#DIV/0!</v>
          </cell>
          <cell r="O62" t="e">
            <v>#DIV/0!</v>
          </cell>
          <cell r="P62" t="e">
            <v>#DIV/0!</v>
          </cell>
          <cell r="Q62">
            <v>1.1937689969604866</v>
          </cell>
          <cell r="R62">
            <v>0.65428571428571414</v>
          </cell>
          <cell r="S62">
            <v>0.58994974874371864</v>
          </cell>
          <cell r="T62">
            <v>0.39130434782608692</v>
          </cell>
          <cell r="U62">
            <v>0.65296679368535648</v>
          </cell>
          <cell r="V62">
            <v>2.0782819535849484E-3</v>
          </cell>
          <cell r="W62">
            <v>-3.5233160621761628E-2</v>
          </cell>
          <cell r="X62">
            <v>-0.13179519595448808</v>
          </cell>
          <cell r="Y62">
            <v>-0.36093750000000002</v>
          </cell>
          <cell r="Z62">
            <v>-0.13732916186398814</v>
          </cell>
          <cell r="AA62">
            <v>-0.25440718976840648</v>
          </cell>
          <cell r="AB62">
            <v>-5.8718224131757979E-2</v>
          </cell>
          <cell r="AC62">
            <v>2.9122679286494479E-2</v>
          </cell>
          <cell r="AD62">
            <v>0.38044009779951105</v>
          </cell>
          <cell r="AE62">
            <v>-4.0083985493415408E-3</v>
          </cell>
          <cell r="AF62">
            <v>0.57255447380621249</v>
          </cell>
          <cell r="AG62">
            <v>0.10422213769494104</v>
          </cell>
          <cell r="AH62">
            <v>6.9685178634594891E-2</v>
          </cell>
          <cell r="AI62">
            <v>0.10272759475735027</v>
          </cell>
          <cell r="AJ62">
            <v>0.19126101954771935</v>
          </cell>
          <cell r="AK62">
            <v>4.1568396226415061E-2</v>
          </cell>
          <cell r="AL62">
            <v>0.32001377884946614</v>
          </cell>
          <cell r="AM62">
            <v>0.45205026455026442</v>
          </cell>
          <cell r="AN62">
            <v>0.54834564728557678</v>
          </cell>
          <cell r="AO62">
            <v>0.33333333333333326</v>
          </cell>
          <cell r="AP62">
            <v>0.4030568921596378</v>
          </cell>
          <cell r="AQ62">
            <v>0.38543841336116924</v>
          </cell>
          <cell r="AR62">
            <v>0.43885219767706674</v>
          </cell>
          <cell r="AS62">
            <v>0.2441908713692944</v>
          </cell>
          <cell r="AT62">
            <v>0.36227075289575295</v>
          </cell>
        </row>
        <row r="64">
          <cell r="A64" t="str">
            <v>Source: Company reports; Friedman, Billings, Ramsey &amp; Co. Inc. estimates.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odel Introduction"/>
      <sheetName val="One page summary"/>
      <sheetName val="Main"/>
      <sheetName val="E&amp;P"/>
      <sheetName val="PAA Model"/>
      <sheetName val="Rpt. chts"/>
      <sheetName val="MLP"/>
      <sheetName val="PAA Acq Scenarios"/>
      <sheetName val="PAA Template"/>
      <sheetName val="Price-Normalized Data"/>
      <sheetName val="Cmdty scenarios"/>
      <sheetName val="15% Returns"/>
      <sheetName val="Sensitivities"/>
      <sheetName val="Ownership"/>
      <sheetName val="Prod. Rep."/>
      <sheetName val="Rough capex"/>
      <sheetName val="F&amp;D"/>
      <sheetName val="Fundamentals"/>
      <sheetName val="Commodity Scenarios"/>
      <sheetName val="NAV rough"/>
      <sheetName val="Debt"/>
      <sheetName val="Acquisitions"/>
      <sheetName val="Reserves"/>
      <sheetName val="GP Distribution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1">
          <cell r="AU11">
            <v>0.5858288219204979</v>
          </cell>
          <cell r="AV11">
            <v>2.4857685694929637</v>
          </cell>
        </row>
        <row r="12">
          <cell r="AH12" t="str">
            <v>Plains Resources (NYSE: PLX)</v>
          </cell>
        </row>
        <row r="13">
          <cell r="AH13" t="str">
            <v>2003E</v>
          </cell>
          <cell r="AV13" t="str">
            <v>JPM</v>
          </cell>
        </row>
        <row r="14">
          <cell r="AH14">
            <v>37581.706335300929</v>
          </cell>
          <cell r="AO14" t="str">
            <v>"Mid-cycle"</v>
          </cell>
        </row>
        <row r="15">
          <cell r="AH15" t="str">
            <v>WTI</v>
          </cell>
          <cell r="AJ15">
            <v>13.5</v>
          </cell>
          <cell r="AK15">
            <v>15</v>
          </cell>
          <cell r="AL15">
            <v>16.5</v>
          </cell>
          <cell r="AM15">
            <v>18</v>
          </cell>
          <cell r="AN15">
            <v>19.5</v>
          </cell>
          <cell r="AO15">
            <v>21</v>
          </cell>
          <cell r="AP15">
            <v>21</v>
          </cell>
          <cell r="AQ15">
            <v>24</v>
          </cell>
          <cell r="AR15">
            <v>25.5</v>
          </cell>
          <cell r="AS15">
            <v>27</v>
          </cell>
          <cell r="AT15">
            <v>28.5</v>
          </cell>
          <cell r="AV15">
            <v>26.2</v>
          </cell>
        </row>
        <row r="16">
          <cell r="AH16" t="str">
            <v>Hhub</v>
          </cell>
          <cell r="AJ16">
            <v>1.75</v>
          </cell>
          <cell r="AK16">
            <v>2</v>
          </cell>
          <cell r="AL16">
            <v>2.25</v>
          </cell>
          <cell r="AM16">
            <v>2.5</v>
          </cell>
          <cell r="AN16">
            <v>2.75</v>
          </cell>
          <cell r="AO16">
            <v>3</v>
          </cell>
          <cell r="AP16">
            <v>3.5</v>
          </cell>
          <cell r="AQ16">
            <v>3.5</v>
          </cell>
          <cell r="AR16">
            <v>3.75</v>
          </cell>
          <cell r="AS16">
            <v>4</v>
          </cell>
          <cell r="AT16">
            <v>4.25</v>
          </cell>
          <cell r="AV16">
            <v>3.5</v>
          </cell>
        </row>
        <row r="18">
          <cell r="AH18" t="str">
            <v>EBITDAx</v>
          </cell>
          <cell r="AJ18">
            <v>71.060253848231298</v>
          </cell>
          <cell r="AK18">
            <v>77.805028848231288</v>
          </cell>
          <cell r="AL18">
            <v>84.549803848231278</v>
          </cell>
          <cell r="AM18">
            <v>91.294578848231282</v>
          </cell>
          <cell r="AN18">
            <v>98.039353848231301</v>
          </cell>
          <cell r="AO18">
            <v>104.78412884823129</v>
          </cell>
          <cell r="AP18">
            <v>106.46312884823129</v>
          </cell>
          <cell r="AQ18">
            <v>119.73367884823131</v>
          </cell>
          <cell r="AR18">
            <v>127.57345384823131</v>
          </cell>
          <cell r="AS18">
            <v>135.41322884823131</v>
          </cell>
          <cell r="AT18">
            <v>144.31880384823128</v>
          </cell>
          <cell r="AV18">
            <v>127.18507820781288</v>
          </cell>
        </row>
        <row r="19">
          <cell r="AH19" t="str">
            <v>Average Net Debt</v>
          </cell>
          <cell r="AJ19">
            <v>282.79942318188705</v>
          </cell>
          <cell r="AK19">
            <v>276.81982380338701</v>
          </cell>
          <cell r="AL19">
            <v>270.84022442488703</v>
          </cell>
          <cell r="AM19">
            <v>264.8606250463871</v>
          </cell>
          <cell r="AN19">
            <v>258.88102566788706</v>
          </cell>
          <cell r="AO19">
            <v>252.54741028938705</v>
          </cell>
          <cell r="AP19">
            <v>250.740090989387</v>
          </cell>
          <cell r="AQ19">
            <v>238.66261353238704</v>
          </cell>
          <cell r="AR19">
            <v>231.50432765388697</v>
          </cell>
          <cell r="AS19">
            <v>224.34604177538708</v>
          </cell>
          <cell r="AT19">
            <v>216.55736439688701</v>
          </cell>
          <cell r="AV19">
            <v>235.66034374394602</v>
          </cell>
        </row>
        <row r="20">
          <cell r="AH20" t="str">
            <v>Cash Flow</v>
          </cell>
          <cell r="AJ20">
            <v>53.272311236871971</v>
          </cell>
          <cell r="AK20">
            <v>59.679847486871971</v>
          </cell>
          <cell r="AL20">
            <v>66.087383736871985</v>
          </cell>
          <cell r="AM20">
            <v>72.494919986871977</v>
          </cell>
          <cell r="AN20">
            <v>78.902456236871984</v>
          </cell>
          <cell r="AO20">
            <v>85.309992486871963</v>
          </cell>
          <cell r="AP20">
            <v>86.905042486871992</v>
          </cell>
          <cell r="AQ20">
            <v>99.512064986871991</v>
          </cell>
          <cell r="AR20">
            <v>106.95985123687197</v>
          </cell>
          <cell r="AS20">
            <v>114.40763748687201</v>
          </cell>
          <cell r="AT20">
            <v>122.86793373687196</v>
          </cell>
          <cell r="AV20">
            <v>114.86805877569097</v>
          </cell>
        </row>
        <row r="21">
          <cell r="AH21" t="str">
            <v>CFPS</v>
          </cell>
          <cell r="AJ21">
            <v>2.135662486842469</v>
          </cell>
          <cell r="AK21">
            <v>2.3925376718022831</v>
          </cell>
          <cell r="AL21">
            <v>2.6494128567620976</v>
          </cell>
          <cell r="AM21">
            <v>2.9062880417219112</v>
          </cell>
          <cell r="AN21">
            <v>3.1631632266817253</v>
          </cell>
          <cell r="AO21">
            <v>3.420038411641539</v>
          </cell>
          <cell r="AP21">
            <v>3.483983233455096</v>
          </cell>
          <cell r="AQ21">
            <v>3.9893929744425209</v>
          </cell>
          <cell r="AR21">
            <v>4.2879713040633494</v>
          </cell>
          <cell r="AS21">
            <v>4.5865496336841796</v>
          </cell>
          <cell r="AT21">
            <v>4.9257190241083944</v>
          </cell>
          <cell r="AV21">
            <v>4.6214310563354326</v>
          </cell>
        </row>
        <row r="23">
          <cell r="AH23" t="str">
            <v>Current Share Price</v>
          </cell>
          <cell r="AJ23">
            <v>20.86</v>
          </cell>
        </row>
        <row r="24">
          <cell r="AH24" t="str">
            <v>Shares Outstanding (MM)</v>
          </cell>
          <cell r="AJ24">
            <v>25.389500000000002</v>
          </cell>
        </row>
        <row r="26">
          <cell r="AH26" t="str">
            <v>Implied Share Prices</v>
          </cell>
        </row>
        <row r="27">
          <cell r="AI27" t="str">
            <v>P / CF</v>
          </cell>
        </row>
        <row r="28">
          <cell r="AI28">
            <v>3</v>
          </cell>
          <cell r="AJ28">
            <v>6.4069874605274073</v>
          </cell>
          <cell r="AK28">
            <v>7.1776130154068492</v>
          </cell>
          <cell r="AL28">
            <v>7.9482385702862928</v>
          </cell>
          <cell r="AM28">
            <v>8.7188641251657337</v>
          </cell>
          <cell r="AN28">
            <v>9.4894896800451765</v>
          </cell>
          <cell r="AO28">
            <v>10.260115234924617</v>
          </cell>
          <cell r="AP28">
            <v>10.451949700365288</v>
          </cell>
          <cell r="AQ28">
            <v>11.968178923327564</v>
          </cell>
          <cell r="AR28">
            <v>12.863913912190048</v>
          </cell>
          <cell r="AS28">
            <v>13.75964890105254</v>
          </cell>
          <cell r="AT28">
            <v>14.777157072325183</v>
          </cell>
          <cell r="AV28">
            <v>13.864293169006299</v>
          </cell>
        </row>
        <row r="29">
          <cell r="AI29">
            <v>3.5</v>
          </cell>
          <cell r="AJ29">
            <v>7.4748187039486416</v>
          </cell>
          <cell r="AK29">
            <v>8.3738818513079902</v>
          </cell>
          <cell r="AL29">
            <v>9.2729449986673416</v>
          </cell>
          <cell r="AM29">
            <v>10.172008146026689</v>
          </cell>
          <cell r="AN29">
            <v>11.071071293386039</v>
          </cell>
          <cell r="AO29">
            <v>11.970134440745387</v>
          </cell>
          <cell r="AP29">
            <v>12.193941317092836</v>
          </cell>
          <cell r="AQ29">
            <v>13.962875410548824</v>
          </cell>
          <cell r="AR29">
            <v>15.007899564221724</v>
          </cell>
          <cell r="AS29">
            <v>16.052923717894629</v>
          </cell>
          <cell r="AT29">
            <v>17.240016584379379</v>
          </cell>
          <cell r="AV29">
            <v>16.175008697174015</v>
          </cell>
        </row>
        <row r="30">
          <cell r="AI30">
            <v>4</v>
          </cell>
          <cell r="AJ30">
            <v>8.5426499473698758</v>
          </cell>
          <cell r="AK30">
            <v>9.5701506872091322</v>
          </cell>
          <cell r="AL30">
            <v>10.59765142704839</v>
          </cell>
          <cell r="AM30">
            <v>11.625152166887645</v>
          </cell>
          <cell r="AN30">
            <v>12.652652906726901</v>
          </cell>
          <cell r="AO30">
            <v>13.680153646566156</v>
          </cell>
          <cell r="AP30">
            <v>13.935932933820384</v>
          </cell>
          <cell r="AQ30">
            <v>15.957571897770084</v>
          </cell>
          <cell r="AR30">
            <v>17.151885216253397</v>
          </cell>
          <cell r="AS30">
            <v>18.346198534736718</v>
          </cell>
          <cell r="AT30">
            <v>19.702876096433577</v>
          </cell>
          <cell r="AV30">
            <v>18.48572422534173</v>
          </cell>
        </row>
        <row r="31">
          <cell r="AI31">
            <v>4.5</v>
          </cell>
          <cell r="AJ31">
            <v>9.610481190791111</v>
          </cell>
          <cell r="AK31">
            <v>10.766419523110274</v>
          </cell>
          <cell r="AL31">
            <v>11.922357855429439</v>
          </cell>
          <cell r="AM31">
            <v>13.078296187748601</v>
          </cell>
          <cell r="AN31">
            <v>14.234234520067764</v>
          </cell>
          <cell r="AO31">
            <v>15.390172852386925</v>
          </cell>
          <cell r="AP31">
            <v>15.677924550547932</v>
          </cell>
          <cell r="AQ31">
            <v>17.952268384991346</v>
          </cell>
          <cell r="AR31">
            <v>19.295870868285071</v>
          </cell>
          <cell r="AS31">
            <v>20.639473351578808</v>
          </cell>
          <cell r="AT31">
            <v>22.165735608487775</v>
          </cell>
          <cell r="AV31">
            <v>20.796439753509446</v>
          </cell>
        </row>
        <row r="32">
          <cell r="AI32">
            <v>5</v>
          </cell>
          <cell r="AJ32">
            <v>10.678312434212344</v>
          </cell>
          <cell r="AK32">
            <v>11.962688359011416</v>
          </cell>
          <cell r="AL32">
            <v>13.247064283810488</v>
          </cell>
          <cell r="AM32">
            <v>14.531440208609556</v>
          </cell>
          <cell r="AN32">
            <v>15.815816133408626</v>
          </cell>
          <cell r="AO32">
            <v>17.100192058207696</v>
          </cell>
          <cell r="AP32">
            <v>17.419916167275481</v>
          </cell>
          <cell r="AQ32">
            <v>19.946964872212604</v>
          </cell>
          <cell r="AR32">
            <v>21.439856520316745</v>
          </cell>
          <cell r="AS32">
            <v>22.932748168420897</v>
          </cell>
          <cell r="AT32">
            <v>24.628595120541974</v>
          </cell>
          <cell r="AV32">
            <v>23.107155281677162</v>
          </cell>
        </row>
        <row r="33">
          <cell r="AI33">
            <v>5.5</v>
          </cell>
          <cell r="AJ33">
            <v>11.746143677633579</v>
          </cell>
          <cell r="AK33">
            <v>13.158957194912556</v>
          </cell>
          <cell r="AL33">
            <v>14.571770712191537</v>
          </cell>
          <cell r="AM33">
            <v>15.984584229470512</v>
          </cell>
          <cell r="AN33">
            <v>17.39739774674949</v>
          </cell>
          <cell r="AO33">
            <v>18.810211264028464</v>
          </cell>
          <cell r="AP33">
            <v>19.161907784003027</v>
          </cell>
          <cell r="AQ33">
            <v>21.941661359433866</v>
          </cell>
          <cell r="AR33">
            <v>23.583842172348422</v>
          </cell>
          <cell r="AS33">
            <v>25.226022985262986</v>
          </cell>
          <cell r="AT33">
            <v>27.091454632596168</v>
          </cell>
          <cell r="AV33">
            <v>25.417870809844878</v>
          </cell>
        </row>
        <row r="34">
          <cell r="AI34">
            <v>6</v>
          </cell>
          <cell r="AJ34">
            <v>12.813974921054815</v>
          </cell>
          <cell r="AK34">
            <v>14.355226030813698</v>
          </cell>
          <cell r="AL34">
            <v>15.896477140572586</v>
          </cell>
          <cell r="AM34">
            <v>17.437728250331467</v>
          </cell>
          <cell r="AN34">
            <v>18.978979360090353</v>
          </cell>
          <cell r="AO34">
            <v>20.520230469849235</v>
          </cell>
          <cell r="AP34">
            <v>20.903899400730577</v>
          </cell>
          <cell r="AQ34">
            <v>23.936357846655127</v>
          </cell>
          <cell r="AR34">
            <v>25.727827824380096</v>
          </cell>
          <cell r="AS34">
            <v>27.519297802105079</v>
          </cell>
          <cell r="AT34">
            <v>29.554314144650366</v>
          </cell>
          <cell r="AV34">
            <v>27.728586338012597</v>
          </cell>
        </row>
        <row r="35">
          <cell r="AI35">
            <v>6.5</v>
          </cell>
          <cell r="AJ35">
            <v>13.881806164476048</v>
          </cell>
          <cell r="AK35">
            <v>15.55149486671484</v>
          </cell>
          <cell r="AL35">
            <v>17.221183568953634</v>
          </cell>
          <cell r="AM35">
            <v>18.890872271192421</v>
          </cell>
          <cell r="AN35">
            <v>20.560560973431215</v>
          </cell>
          <cell r="AO35">
            <v>22.230249675670002</v>
          </cell>
          <cell r="AP35">
            <v>22.645891017458123</v>
          </cell>
          <cell r="AQ35">
            <v>25.931054333876386</v>
          </cell>
          <cell r="AR35">
            <v>27.87181347641177</v>
          </cell>
          <cell r="AS35">
            <v>29.812572618947168</v>
          </cell>
          <cell r="AT35">
            <v>32.017173656704564</v>
          </cell>
          <cell r="AV35">
            <v>30.039301866180313</v>
          </cell>
        </row>
        <row r="36">
          <cell r="AI36">
            <v>7</v>
          </cell>
          <cell r="AJ36">
            <v>14.949637407897283</v>
          </cell>
          <cell r="AK36">
            <v>16.74776370261598</v>
          </cell>
          <cell r="AL36">
            <v>18.545889997334683</v>
          </cell>
          <cell r="AM36">
            <v>20.344016292053379</v>
          </cell>
          <cell r="AN36">
            <v>22.142142586772078</v>
          </cell>
          <cell r="AO36">
            <v>23.940268881490773</v>
          </cell>
          <cell r="AP36">
            <v>24.387882634185672</v>
          </cell>
          <cell r="AQ36">
            <v>27.925750821097648</v>
          </cell>
          <cell r="AR36">
            <v>30.015799128443447</v>
          </cell>
          <cell r="AS36">
            <v>32.105847435789258</v>
          </cell>
          <cell r="AT36">
            <v>34.480033168758759</v>
          </cell>
          <cell r="AV36">
            <v>32.350017394348029</v>
          </cell>
        </row>
        <row r="37">
          <cell r="AI37">
            <v>7.5</v>
          </cell>
          <cell r="AJ37">
            <v>16.017468651318516</v>
          </cell>
          <cell r="AK37">
            <v>17.944032538517124</v>
          </cell>
          <cell r="AL37">
            <v>19.870596425715732</v>
          </cell>
          <cell r="AM37">
            <v>21.797160312914336</v>
          </cell>
          <cell r="AN37">
            <v>23.72372420011294</v>
          </cell>
          <cell r="AO37">
            <v>25.650288087311541</v>
          </cell>
          <cell r="AP37">
            <v>26.129874250913218</v>
          </cell>
          <cell r="AQ37">
            <v>29.920447308318906</v>
          </cell>
          <cell r="AR37">
            <v>32.159784780475121</v>
          </cell>
          <cell r="AS37">
            <v>34.399122252631344</v>
          </cell>
          <cell r="AT37">
            <v>36.94289268081296</v>
          </cell>
          <cell r="AV37">
            <v>34.660732922515741</v>
          </cell>
        </row>
        <row r="38">
          <cell r="AI38">
            <v>8</v>
          </cell>
          <cell r="AJ38">
            <v>17.085299894739752</v>
          </cell>
          <cell r="AK38">
            <v>19.140301374418264</v>
          </cell>
          <cell r="AL38">
            <v>21.195302854096781</v>
          </cell>
          <cell r="AM38">
            <v>23.25030433377529</v>
          </cell>
          <cell r="AN38">
            <v>25.305305813453803</v>
          </cell>
          <cell r="AO38">
            <v>27.360307293132312</v>
          </cell>
          <cell r="AP38">
            <v>27.871865867640768</v>
          </cell>
          <cell r="AQ38">
            <v>31.915143795540168</v>
          </cell>
          <cell r="AR38">
            <v>34.303770432506795</v>
          </cell>
          <cell r="AS38">
            <v>36.692397069473436</v>
          </cell>
          <cell r="AT38">
            <v>39.405752192867155</v>
          </cell>
          <cell r="AV38">
            <v>36.971448450683461</v>
          </cell>
        </row>
        <row r="40">
          <cell r="AH40" t="str">
            <v>Implied FV / EBITDAx</v>
          </cell>
          <cell r="AJ40">
            <v>6.2689000838973987</v>
          </cell>
          <cell r="AK40">
            <v>5.9000791626657785</v>
          </cell>
          <cell r="AL40">
            <v>5.590102000160444</v>
          </cell>
          <cell r="AM40">
            <v>5.325926598123548</v>
          </cell>
          <cell r="AN40">
            <v>5.0980999392664916</v>
          </cell>
          <cell r="AO40">
            <v>4.8962243775448027</v>
          </cell>
          <cell r="AP40">
            <v>4.8477803864148399</v>
          </cell>
          <cell r="AQ40">
            <v>4.5311285640349839</v>
          </cell>
          <cell r="AR40">
            <v>4.3748338944511058</v>
          </cell>
          <cell r="AS40">
            <v>4.2366366449444115</v>
          </cell>
          <cell r="AT40">
            <v>4.1002418126121363</v>
          </cell>
        </row>
        <row r="41">
          <cell r="AJ41">
            <v>6.6504312477565648</v>
          </cell>
          <cell r="AK41">
            <v>6.2904481151451588</v>
          </cell>
          <cell r="AL41">
            <v>5.9878987108867481</v>
          </cell>
          <cell r="AM41">
            <v>5.7300535526821887</v>
          </cell>
          <cell r="AN41">
            <v>5.5076861390498983</v>
          </cell>
          <cell r="AO41">
            <v>5.3105670180134812</v>
          </cell>
          <cell r="AP41">
            <v>5.2632133783941919</v>
          </cell>
          <cell r="AQ41">
            <v>4.9541035110129226</v>
          </cell>
          <cell r="AR41">
            <v>4.801527082338116</v>
          </cell>
          <cell r="AS41">
            <v>4.6666175371914305</v>
          </cell>
          <cell r="AT41">
            <v>4.5335240316572634</v>
          </cell>
        </row>
        <row r="42">
          <cell r="AJ42">
            <v>7.03196241161573</v>
          </cell>
          <cell r="AK42">
            <v>6.68081706762454</v>
          </cell>
          <cell r="AL42">
            <v>6.3856954216130521</v>
          </cell>
          <cell r="AM42">
            <v>6.134180507240826</v>
          </cell>
          <cell r="AN42">
            <v>5.9172723388333059</v>
          </cell>
          <cell r="AO42">
            <v>5.7249096584821606</v>
          </cell>
          <cell r="AP42">
            <v>5.6786463703735448</v>
          </cell>
          <cell r="AQ42">
            <v>5.3770784579908613</v>
          </cell>
          <cell r="AR42">
            <v>5.228220270225127</v>
          </cell>
          <cell r="AS42">
            <v>5.0965984294384494</v>
          </cell>
          <cell r="AT42">
            <v>4.9668062507023905</v>
          </cell>
        </row>
        <row r="43">
          <cell r="AJ43">
            <v>7.4134935754748961</v>
          </cell>
          <cell r="AK43">
            <v>7.0711860201039203</v>
          </cell>
          <cell r="AL43">
            <v>6.7834921323393571</v>
          </cell>
          <cell r="AM43">
            <v>6.538307461799465</v>
          </cell>
          <cell r="AN43">
            <v>6.3268585386167144</v>
          </cell>
          <cell r="AO43">
            <v>6.1392522989508391</v>
          </cell>
          <cell r="AP43">
            <v>6.0940793623528968</v>
          </cell>
          <cell r="AQ43">
            <v>5.8000534049688008</v>
          </cell>
          <cell r="AR43">
            <v>5.6549134581121372</v>
          </cell>
          <cell r="AS43">
            <v>5.5265793216854684</v>
          </cell>
          <cell r="AT43">
            <v>5.4000884697475175</v>
          </cell>
        </row>
        <row r="44">
          <cell r="AJ44">
            <v>7.7950247393340613</v>
          </cell>
          <cell r="AK44">
            <v>7.4615549725833015</v>
          </cell>
          <cell r="AL44">
            <v>7.1812888430656621</v>
          </cell>
          <cell r="AM44">
            <v>6.942434416358104</v>
          </cell>
          <cell r="AN44">
            <v>6.7364447384001211</v>
          </cell>
          <cell r="AO44">
            <v>6.5535949394195185</v>
          </cell>
          <cell r="AP44">
            <v>6.5095123543322515</v>
          </cell>
          <cell r="AQ44">
            <v>6.2230283519467395</v>
          </cell>
          <cell r="AR44">
            <v>6.0816066459991474</v>
          </cell>
          <cell r="AS44">
            <v>5.9565602139324865</v>
          </cell>
          <cell r="AT44">
            <v>5.8333706887926446</v>
          </cell>
        </row>
        <row r="45">
          <cell r="AJ45">
            <v>8.1765559031932256</v>
          </cell>
          <cell r="AK45">
            <v>7.8519239250626818</v>
          </cell>
          <cell r="AL45">
            <v>7.5790855537919661</v>
          </cell>
          <cell r="AM45">
            <v>7.346561370916743</v>
          </cell>
          <cell r="AN45">
            <v>7.1460309381835296</v>
          </cell>
          <cell r="AO45">
            <v>6.9679375798881971</v>
          </cell>
          <cell r="AP45">
            <v>6.9249453463116035</v>
          </cell>
          <cell r="AQ45">
            <v>6.6460032989246782</v>
          </cell>
          <cell r="AR45">
            <v>6.5082998338861584</v>
          </cell>
          <cell r="AS45">
            <v>6.3865411061795054</v>
          </cell>
          <cell r="AT45">
            <v>6.2666529078377717</v>
          </cell>
        </row>
        <row r="46">
          <cell r="AJ46">
            <v>8.5580870670523925</v>
          </cell>
          <cell r="AK46">
            <v>8.2422928775420612</v>
          </cell>
          <cell r="AL46">
            <v>7.976882264518272</v>
          </cell>
          <cell r="AM46">
            <v>7.750688325475382</v>
          </cell>
          <cell r="AN46">
            <v>7.5556171379669363</v>
          </cell>
          <cell r="AO46">
            <v>7.3822802203568756</v>
          </cell>
          <cell r="AP46">
            <v>7.3403783382909573</v>
          </cell>
          <cell r="AQ46">
            <v>7.0689782459026169</v>
          </cell>
          <cell r="AR46">
            <v>6.9349930217731686</v>
          </cell>
          <cell r="AS46">
            <v>6.8165219984265244</v>
          </cell>
          <cell r="AT46">
            <v>6.6999351268828979</v>
          </cell>
        </row>
        <row r="47">
          <cell r="AJ47">
            <v>8.9396182309115577</v>
          </cell>
          <cell r="AK47">
            <v>8.6326618300214442</v>
          </cell>
          <cell r="AL47">
            <v>8.3746789752445743</v>
          </cell>
          <cell r="AM47">
            <v>8.1548152800340201</v>
          </cell>
          <cell r="AN47">
            <v>7.9652033377503431</v>
          </cell>
          <cell r="AO47">
            <v>7.7966228608255541</v>
          </cell>
          <cell r="AP47">
            <v>7.7558113302703093</v>
          </cell>
          <cell r="AQ47">
            <v>7.4919531928805547</v>
          </cell>
          <cell r="AR47">
            <v>7.3616862096601787</v>
          </cell>
          <cell r="AS47">
            <v>7.2465028906735443</v>
          </cell>
          <cell r="AT47">
            <v>7.133217345928025</v>
          </cell>
        </row>
        <row r="48">
          <cell r="AJ48">
            <v>9.3211493947707247</v>
          </cell>
          <cell r="AK48">
            <v>9.0230307825008218</v>
          </cell>
          <cell r="AL48">
            <v>8.7724756859708801</v>
          </cell>
          <cell r="AM48">
            <v>8.55894223459266</v>
          </cell>
          <cell r="AN48">
            <v>8.3747895375337524</v>
          </cell>
          <cell r="AO48">
            <v>8.2109655012942344</v>
          </cell>
          <cell r="AP48">
            <v>8.1712443222496631</v>
          </cell>
          <cell r="AQ48">
            <v>7.9149281398584943</v>
          </cell>
          <cell r="AR48">
            <v>7.7883793975471889</v>
          </cell>
          <cell r="AS48">
            <v>7.6764837829205614</v>
          </cell>
          <cell r="AT48">
            <v>7.5664995649731521</v>
          </cell>
        </row>
        <row r="49">
          <cell r="AJ49">
            <v>9.7026805586298881</v>
          </cell>
          <cell r="AK49">
            <v>9.413399734980203</v>
          </cell>
          <cell r="AL49">
            <v>9.1702723966971842</v>
          </cell>
          <cell r="AM49">
            <v>8.9630691891512999</v>
          </cell>
          <cell r="AN49">
            <v>8.7843757373171591</v>
          </cell>
          <cell r="AO49">
            <v>8.6253081417629129</v>
          </cell>
          <cell r="AP49">
            <v>8.5866773142290143</v>
          </cell>
          <cell r="AQ49">
            <v>8.3379030868364321</v>
          </cell>
          <cell r="AR49">
            <v>8.2150725854341999</v>
          </cell>
          <cell r="AS49">
            <v>8.1064646751675795</v>
          </cell>
          <cell r="AT49">
            <v>7.9997817840182792</v>
          </cell>
        </row>
        <row r="50">
          <cell r="AJ50">
            <v>10.084211722489053</v>
          </cell>
          <cell r="AK50">
            <v>9.803768687459586</v>
          </cell>
          <cell r="AL50">
            <v>9.5680691074234883</v>
          </cell>
          <cell r="AM50">
            <v>9.3671961437099363</v>
          </cell>
          <cell r="AN50">
            <v>9.1939619371005641</v>
          </cell>
          <cell r="AO50">
            <v>9.0396507822315915</v>
          </cell>
          <cell r="AP50">
            <v>9.0021103062083689</v>
          </cell>
          <cell r="AQ50">
            <v>8.7608780338143717</v>
          </cell>
          <cell r="AR50">
            <v>8.6417657733212092</v>
          </cell>
          <cell r="AS50">
            <v>8.5364455674145994</v>
          </cell>
          <cell r="AT50">
            <v>8.4330640030634054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7"/>
      <sheetName val="Model Introduction"/>
      <sheetName val="NYSE KSE"/>
      <sheetName val="Segment Analysis"/>
      <sheetName val="Macro1"/>
      <sheetName val="Macro5"/>
      <sheetName val="Charts"/>
      <sheetName val="Assumptions"/>
      <sheetName val="To Do"/>
      <sheetName val="Industrial Customer M98_01p1"/>
      <sheetName val="Dividend Payout Sheet"/>
      <sheetName val="O&amp;MCom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I NAV"/>
    </sheetNames>
    <sheetDataSet>
      <sheetData sheetId="0" refreshError="1">
        <row r="12">
          <cell r="S12">
            <v>0.78700000000000003</v>
          </cell>
        </row>
        <row r="13">
          <cell r="S13">
            <v>15.25</v>
          </cell>
        </row>
        <row r="14">
          <cell r="S14">
            <v>12.001750000000001</v>
          </cell>
        </row>
        <row r="16">
          <cell r="S16">
            <v>8.2000000000000003E-2</v>
          </cell>
        </row>
        <row r="17">
          <cell r="S17">
            <v>19.7</v>
          </cell>
        </row>
        <row r="18">
          <cell r="S18">
            <v>1.6153999999999999</v>
          </cell>
        </row>
        <row r="20">
          <cell r="S20">
            <v>5.0000000000000001E-3</v>
          </cell>
        </row>
        <row r="21">
          <cell r="S21">
            <v>26.46</v>
          </cell>
        </row>
        <row r="22">
          <cell r="S22">
            <v>0</v>
          </cell>
        </row>
        <row r="24">
          <cell r="S24">
            <v>0</v>
          </cell>
        </row>
        <row r="25">
          <cell r="S25">
            <v>34</v>
          </cell>
        </row>
        <row r="26">
          <cell r="S26">
            <v>0</v>
          </cell>
        </row>
        <row r="28">
          <cell r="S28">
            <v>18.811380000000003</v>
          </cell>
        </row>
        <row r="29">
          <cell r="S29">
            <v>1.3260000000000001</v>
          </cell>
        </row>
        <row r="31">
          <cell r="S31">
            <v>39.188000000000002</v>
          </cell>
        </row>
        <row r="32">
          <cell r="S32">
            <v>1.3260000000000001</v>
          </cell>
        </row>
        <row r="33">
          <cell r="S33">
            <v>40.514000000000003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 BKS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ing Links"/>
      <sheetName val="Coverage List"/>
      <sheetName val="Coverage Comps"/>
      <sheetName val="Coverage Comps_WIP"/>
      <sheetName val="XCO Init Valuation Table"/>
      <sheetName val="AI history rank"/>
    </sheetNames>
    <sheetDataSet>
      <sheetData sheetId="0" refreshError="1">
        <row r="2092">
          <cell r="A2092" t="str">
            <v>Ratings</v>
          </cell>
        </row>
        <row r="2093">
          <cell r="A2093" t="str">
            <v>APC</v>
          </cell>
          <cell r="B2093" t="str">
            <v>Anadarko Petroleum</v>
          </cell>
          <cell r="C2093" t="str">
            <v>NR</v>
          </cell>
        </row>
        <row r="2094">
          <cell r="A2094" t="str">
            <v>APA</v>
          </cell>
          <cell r="B2094" t="str">
            <v>Apache Corp.</v>
          </cell>
          <cell r="C2094" t="str">
            <v>NR</v>
          </cell>
        </row>
        <row r="2095">
          <cell r="A2095" t="str">
            <v>BBG</v>
          </cell>
          <cell r="B2095" t="str">
            <v>Bill Barrett Corp.</v>
          </cell>
          <cell r="C2095" t="str">
            <v>NR</v>
          </cell>
        </row>
        <row r="2096">
          <cell r="A2096" t="str">
            <v>BR</v>
          </cell>
          <cell r="B2096" t="str">
            <v>Burlington Resources</v>
          </cell>
          <cell r="C2096" t="str">
            <v>NR</v>
          </cell>
        </row>
        <row r="2097">
          <cell r="A2097" t="str">
            <v>COG</v>
          </cell>
          <cell r="B2097" t="str">
            <v>Cabot Oil &amp; Gas</v>
          </cell>
          <cell r="C2097" t="str">
            <v>N</v>
          </cell>
        </row>
        <row r="2098">
          <cell r="A2098" t="str">
            <v>CPR</v>
          </cell>
          <cell r="B2098" t="str">
            <v>Chaparral Energy</v>
          </cell>
          <cell r="C2098" t="str">
            <v>NR</v>
          </cell>
        </row>
        <row r="2099">
          <cell r="A2099" t="str">
            <v>CHK</v>
          </cell>
          <cell r="B2099" t="str">
            <v>Chesapeake Energy</v>
          </cell>
          <cell r="C2099" t="str">
            <v>N</v>
          </cell>
        </row>
        <row r="2100">
          <cell r="A2100" t="str">
            <v>CXP</v>
          </cell>
          <cell r="B2100" t="str">
            <v>Continental Resources</v>
          </cell>
          <cell r="C2100" t="str">
            <v>NR</v>
          </cell>
        </row>
        <row r="2101">
          <cell r="A2101" t="str">
            <v>DPTR</v>
          </cell>
          <cell r="B2101" t="str">
            <v>Delta Petroleum</v>
          </cell>
          <cell r="C2101" t="str">
            <v>NR</v>
          </cell>
        </row>
        <row r="2102">
          <cell r="A2102" t="str">
            <v>DNR</v>
          </cell>
          <cell r="B2102" t="str">
            <v>Denbury Resources</v>
          </cell>
          <cell r="C2102" t="str">
            <v>O</v>
          </cell>
        </row>
        <row r="2103">
          <cell r="A2103" t="str">
            <v>DVN</v>
          </cell>
          <cell r="B2103" t="str">
            <v>Devon Energy</v>
          </cell>
          <cell r="C2103" t="str">
            <v>NR</v>
          </cell>
        </row>
        <row r="2104">
          <cell r="A2104" t="str">
            <v>ECA</v>
          </cell>
          <cell r="B2104" t="str">
            <v>EnCana Corp.</v>
          </cell>
          <cell r="C2104" t="str">
            <v>NR</v>
          </cell>
        </row>
        <row r="2105">
          <cell r="A2105" t="str">
            <v>EAC</v>
          </cell>
          <cell r="B2105" t="str">
            <v>Encore Acquisition</v>
          </cell>
          <cell r="C2105" t="str">
            <v>N</v>
          </cell>
        </row>
        <row r="2106">
          <cell r="A2106" t="str">
            <v>END</v>
          </cell>
          <cell r="B2106" t="str">
            <v>Endeavour International</v>
          </cell>
          <cell r="C2106" t="str">
            <v>NR</v>
          </cell>
        </row>
        <row r="2107">
          <cell r="A2107" t="str">
            <v>XCO</v>
          </cell>
          <cell r="B2107" t="str">
            <v>Exco Resources</v>
          </cell>
          <cell r="C2107" t="str">
            <v>N</v>
          </cell>
        </row>
        <row r="2108">
          <cell r="A2108" t="str">
            <v>EOG</v>
          </cell>
          <cell r="B2108" t="str">
            <v>EOG Resources</v>
          </cell>
          <cell r="C2108" t="str">
            <v>NR</v>
          </cell>
        </row>
        <row r="2109">
          <cell r="A2109" t="str">
            <v>FST</v>
          </cell>
          <cell r="B2109" t="str">
            <v>Forest Oil</v>
          </cell>
          <cell r="C2109" t="str">
            <v>NR</v>
          </cell>
        </row>
        <row r="2110">
          <cell r="A2110" t="str">
            <v>GSX</v>
          </cell>
          <cell r="B2110" t="str">
            <v>Gasco Energy</v>
          </cell>
          <cell r="C2110" t="str">
            <v>N</v>
          </cell>
        </row>
        <row r="2111">
          <cell r="A2111" t="str">
            <v>THX</v>
          </cell>
          <cell r="B2111" t="str">
            <v>Houston Exploration</v>
          </cell>
          <cell r="C2111" t="str">
            <v>N</v>
          </cell>
        </row>
        <row r="2112">
          <cell r="A2112" t="str">
            <v>KMG</v>
          </cell>
          <cell r="B2112" t="str">
            <v>Kerr-McGee</v>
          </cell>
          <cell r="C2112" t="str">
            <v>NR</v>
          </cell>
        </row>
        <row r="2113">
          <cell r="A2113" t="str">
            <v>MMR</v>
          </cell>
          <cell r="B2113" t="str">
            <v>McMoRan Exploration</v>
          </cell>
          <cell r="C2113" t="str">
            <v>N</v>
          </cell>
        </row>
        <row r="2114">
          <cell r="A2114" t="str">
            <v>NFX</v>
          </cell>
          <cell r="B2114" t="str">
            <v>Newfield Exploration</v>
          </cell>
          <cell r="C2114" t="str">
            <v>N</v>
          </cell>
        </row>
        <row r="2115">
          <cell r="A2115" t="str">
            <v>NBL</v>
          </cell>
          <cell r="B2115" t="str">
            <v>Noble Energy</v>
          </cell>
          <cell r="C2115" t="str">
            <v>O</v>
          </cell>
        </row>
        <row r="2116">
          <cell r="A2116" t="str">
            <v>PXD</v>
          </cell>
          <cell r="B2116" t="str">
            <v>Pioneer Natural Resources</v>
          </cell>
          <cell r="C2116" t="str">
            <v>N</v>
          </cell>
        </row>
        <row r="2117">
          <cell r="A2117" t="str">
            <v>PXP</v>
          </cell>
          <cell r="B2117" t="str">
            <v>Plains Exploration</v>
          </cell>
          <cell r="C2117" t="str">
            <v>N</v>
          </cell>
        </row>
        <row r="2118">
          <cell r="A2118" t="str">
            <v>PPP</v>
          </cell>
          <cell r="B2118" t="str">
            <v>Pogo Producing Co.</v>
          </cell>
          <cell r="C2118" t="str">
            <v>NR</v>
          </cell>
        </row>
        <row r="2119">
          <cell r="A2119" t="str">
            <v>KWK</v>
          </cell>
          <cell r="B2119" t="str">
            <v>Quicksilver Resources</v>
          </cell>
          <cell r="C2119" t="str">
            <v>N</v>
          </cell>
        </row>
        <row r="2120">
          <cell r="A2120" t="str">
            <v>RRC</v>
          </cell>
          <cell r="B2120" t="str">
            <v>Range Resources</v>
          </cell>
          <cell r="C2120" t="str">
            <v>O</v>
          </cell>
        </row>
        <row r="2121">
          <cell r="A2121" t="str">
            <v>SWN</v>
          </cell>
          <cell r="B2121" t="str">
            <v>Southwestern Energy</v>
          </cell>
          <cell r="C2121" t="str">
            <v>O</v>
          </cell>
        </row>
        <row r="2122">
          <cell r="A2122" t="str">
            <v>SM</v>
          </cell>
          <cell r="B2122" t="str">
            <v>St. Mary Land &amp; Exploration</v>
          </cell>
          <cell r="C2122" t="str">
            <v>N</v>
          </cell>
        </row>
        <row r="2123">
          <cell r="A2123" t="str">
            <v>SGY</v>
          </cell>
          <cell r="B2123" t="str">
            <v>Stone Energy</v>
          </cell>
          <cell r="C2123" t="str">
            <v>O</v>
          </cell>
        </row>
        <row r="2124">
          <cell r="A2124" t="str">
            <v>SFY</v>
          </cell>
          <cell r="B2124" t="str">
            <v>Swift Energy</v>
          </cell>
          <cell r="C2124" t="str">
            <v>NR</v>
          </cell>
        </row>
        <row r="2125">
          <cell r="A2125" t="str">
            <v>UPL</v>
          </cell>
          <cell r="B2125" t="str">
            <v>Ultra Petroleum</v>
          </cell>
          <cell r="C2125" t="str">
            <v>O</v>
          </cell>
        </row>
        <row r="2126">
          <cell r="A2126" t="str">
            <v>WTI</v>
          </cell>
          <cell r="B2126" t="str">
            <v>W&amp;T Offshore</v>
          </cell>
          <cell r="C2126" t="str">
            <v>NR</v>
          </cell>
        </row>
        <row r="2127">
          <cell r="A2127" t="str">
            <v>WGR</v>
          </cell>
          <cell r="B2127" t="str">
            <v>Western Gas Resources</v>
          </cell>
          <cell r="C2127" t="str">
            <v>O</v>
          </cell>
        </row>
        <row r="2128">
          <cell r="A2128" t="str">
            <v>WLL</v>
          </cell>
          <cell r="B2128" t="str">
            <v>Whiting Petroleum</v>
          </cell>
          <cell r="C2128" t="str">
            <v>N</v>
          </cell>
        </row>
        <row r="2129">
          <cell r="A2129" t="str">
            <v>XTO</v>
          </cell>
          <cell r="B2129" t="str">
            <v>XTO Energy</v>
          </cell>
          <cell r="C2129" t="str">
            <v>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narios"/>
      <sheetName val="Distribution"/>
      <sheetName val="Summary"/>
      <sheetName val="Assumptions"/>
      <sheetName val="Financials"/>
      <sheetName val="Capital Inputs"/>
      <sheetName val="Pipelines"/>
      <sheetName val="E&amp;P"/>
      <sheetName val="Field Services"/>
      <sheetName val="Power"/>
      <sheetName val="Power Valuation"/>
      <sheetName val="MTM Worksheet"/>
      <sheetName val="Valuation"/>
      <sheetName val="Segment FCF"/>
      <sheetName val="Debt Schedule"/>
      <sheetName val="Tables"/>
      <sheetName val="Charts"/>
      <sheetName val="Returns"/>
      <sheetName val="__FDSCACHE__"/>
      <sheetName val="DCF"/>
      <sheetName val="Cash Flows"/>
      <sheetName val="DCF Exhibits"/>
      <sheetName val="Betas"/>
      <sheetName val="mwareValPrintout"/>
      <sheetName val="mware Fins"/>
      <sheetName val="mwareDates"/>
      <sheetName val="mwarePreview"/>
      <sheetName val="Pension"/>
      <sheetName val="mwareSettings"/>
      <sheetName val="ReportCharts"/>
      <sheetName val="Trading"/>
      <sheetName val="Capex"/>
      <sheetName val="SOP Value"/>
      <sheetName val="SOP - Range"/>
      <sheetName val="LT SOP Upside"/>
      <sheetName val="Implied E&amp;P Value"/>
      <sheetName val="Quarter Analysis"/>
      <sheetName val="SOP Val Range"/>
      <sheetName val="ValuationOutput"/>
      <sheetName val="Residual Income"/>
      <sheetName val="DCF-ROCE"/>
      <sheetName val="Sheet1"/>
      <sheetName val="ReportOutput"/>
      <sheetName val="WPZ"/>
    </sheetNames>
    <sheetDataSet>
      <sheetData sheetId="0"/>
      <sheetData sheetId="1" refreshError="1"/>
      <sheetData sheetId="2"/>
      <sheetData sheetId="3" refreshError="1">
        <row r="19">
          <cell r="N19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9 Actuals"/>
      <sheetName val="1998 Actuals"/>
      <sheetName val="1997"/>
      <sheetName val="1999 BP"/>
      <sheetName val="1999 GLActuals"/>
      <sheetName val="1998 BP"/>
      <sheetName val="final report"/>
      <sheetName val="final report (Per Day)"/>
      <sheetName val="final report YTD"/>
      <sheetName val="domair haddow"/>
      <sheetName val="variables"/>
      <sheetName val="YTD variance"/>
      <sheetName val="trac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3">
          <cell r="C3" t="str">
            <v>September  Year to Date 1999</v>
          </cell>
        </row>
      </sheetData>
      <sheetData sheetId="11" refreshError="1"/>
      <sheetData sheetId="1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erves"/>
      <sheetName val="chart"/>
      <sheetName val="1999 Calc."/>
      <sheetName val="unit value"/>
      <sheetName val="nav"/>
      <sheetName val="Sheet1"/>
      <sheetName val="__FDSCACHE__"/>
      <sheetName val="Financial Summary"/>
      <sheetName val="BM"/>
      <sheetName val="Valuation"/>
      <sheetName val="Link"/>
      <sheetName val="Model"/>
      <sheetName val="Variance"/>
      <sheetName val="Variance Print"/>
      <sheetName val="Debt"/>
      <sheetName val="Capex"/>
      <sheetName val="Units"/>
      <sheetName val="Distributions"/>
      <sheetName val="HP Utlz"/>
    </sheetNames>
    <sheetDataSet>
      <sheetData sheetId="0" refreshError="1">
        <row r="7">
          <cell r="AC7">
            <v>0.79368441148570856</v>
          </cell>
        </row>
        <row r="8">
          <cell r="AC8">
            <v>0.891611125788492</v>
          </cell>
        </row>
        <row r="20">
          <cell r="AC20">
            <v>0.20631558851429149</v>
          </cell>
        </row>
        <row r="21">
          <cell r="AC21">
            <v>0.10838887421150802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Data Box"/>
      <sheetName val="PF Reserves"/>
      <sheetName val="Dead_links"/>
      <sheetName val="#REF"/>
      <sheetName val="Data"/>
      <sheetName val="Input"/>
      <sheetName val="TBI NAV"/>
      <sheetName val="Cmdty scenarios"/>
      <sheetName val="NBL"/>
      <sheetName val="Link Source"/>
      <sheetName val="A"/>
      <sheetName val="YE 2002"/>
      <sheetName val="YE 1998"/>
      <sheetName val="YE 1999"/>
      <sheetName val="YE 2000"/>
      <sheetName val="YE 2001"/>
      <sheetName val="YE 1997"/>
      <sheetName val="Developed Res"/>
      <sheetName val="ROCE_Prev"/>
      <sheetName val="Summary"/>
      <sheetName val="Model Introdu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W UPLOAD"/>
      <sheetName val="Capitalization"/>
      <sheetName val="Business Build-up"/>
      <sheetName val="Weekly Data"/>
      <sheetName val="Model"/>
      <sheetName val="Annual"/>
      <sheetName val="Bloomberg Data"/>
      <sheetName val="Relative to Street"/>
      <sheetName val="WACC"/>
    </sheetNames>
    <sheetDataSet>
      <sheetData sheetId="0"/>
      <sheetData sheetId="1"/>
      <sheetData sheetId="2"/>
      <sheetData sheetId="3"/>
      <sheetData sheetId="4">
        <row r="97">
          <cell r="BG97">
            <v>-884.57722023961014</v>
          </cell>
          <cell r="BH97">
            <v>-883.51140453879532</v>
          </cell>
          <cell r="BI97">
            <v>-904.45938024529016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C6FD2D7-2C9B-4989-9E49-057AB09EEC04}">
  <we:reference id="c3c68a0b-0b32-4903-b339-a4f9a6b02d25" version="1.0.0.0" store="\\fileserveruk\pkgsource\Microsoft\Office Add-ins" storeType="Filesystem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_xldudf_MWAM_UPLOADDATA</we:customFunctionIds>
        <we:customFunctionIds>_xldudf_MWAM_DOWNLOADDATA</we:customFunctionIds>
        <we:customFunctionIds>_xldudf_MWAM_DOWNLOADDATAVERSIONS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msec.com/filing/1823020000297/1?table=28" TargetMode="External"/><Relationship Id="rId13" Type="http://schemas.openxmlformats.org/officeDocument/2006/relationships/hyperlink" Target="https://www.bamsec.com/filing/1823022000183/1?table=28" TargetMode="External"/><Relationship Id="rId18" Type="http://schemas.openxmlformats.org/officeDocument/2006/relationships/hyperlink" Target="https://www.bamsec.com/filing/1823024000020/1?table=19" TargetMode="External"/><Relationship Id="rId26" Type="http://schemas.openxmlformats.org/officeDocument/2006/relationships/comments" Target="../comments2.xml"/><Relationship Id="rId3" Type="http://schemas.openxmlformats.org/officeDocument/2006/relationships/hyperlink" Target="https://www.bamsec.com/filing/1823018000293/1?table=11" TargetMode="External"/><Relationship Id="rId21" Type="http://schemas.openxmlformats.org/officeDocument/2006/relationships/hyperlink" Target="https://www.bamsec.com/filing/1823024000045/1?table=28" TargetMode="External"/><Relationship Id="rId7" Type="http://schemas.openxmlformats.org/officeDocument/2006/relationships/hyperlink" Target="https://www.bamsec.com/filing/1823020000155/1?table=10" TargetMode="External"/><Relationship Id="rId12" Type="http://schemas.openxmlformats.org/officeDocument/2006/relationships/hyperlink" Target="https://www.bamsec.com/filing/1823022000112/1?table=19" TargetMode="External"/><Relationship Id="rId17" Type="http://schemas.openxmlformats.org/officeDocument/2006/relationships/hyperlink" Target="https://www.bamsec.com/filing/1823024000053/1?table=28" TargetMode="External"/><Relationship Id="rId25" Type="http://schemas.openxmlformats.org/officeDocument/2006/relationships/vmlDrawing" Target="../drawings/vmlDrawing2.vml"/><Relationship Id="rId2" Type="http://schemas.openxmlformats.org/officeDocument/2006/relationships/hyperlink" Target="https://www.bamsec.com/filing/1823018000229/1?table=11" TargetMode="External"/><Relationship Id="rId16" Type="http://schemas.openxmlformats.org/officeDocument/2006/relationships/hyperlink" Target="https://www.bamsec.com/filing/1823023000047/1?table=28" TargetMode="External"/><Relationship Id="rId20" Type="http://schemas.openxmlformats.org/officeDocument/2006/relationships/hyperlink" Target="https://www.bamsec.com/filing/1823024000053/1?table=28" TargetMode="External"/><Relationship Id="rId1" Type="http://schemas.openxmlformats.org/officeDocument/2006/relationships/hyperlink" Target="https://www.bamsec.com/filing/1823018000136/1?table=9" TargetMode="External"/><Relationship Id="rId6" Type="http://schemas.openxmlformats.org/officeDocument/2006/relationships/hyperlink" Target="https://www.bamsec.com/filing/1823019000281/1?table=13" TargetMode="External"/><Relationship Id="rId11" Type="http://schemas.openxmlformats.org/officeDocument/2006/relationships/hyperlink" Target="https://www.bamsec.com/filing/1823021000260/1?table=28" TargetMode="External"/><Relationship Id="rId24" Type="http://schemas.openxmlformats.org/officeDocument/2006/relationships/hyperlink" Target="https://www.bamsec.com/filing/1823020000214/1?table=13" TargetMode="External"/><Relationship Id="rId5" Type="http://schemas.openxmlformats.org/officeDocument/2006/relationships/hyperlink" Target="https://www.bamsec.com/filing/1823019000224/1?table=13" TargetMode="External"/><Relationship Id="rId15" Type="http://schemas.openxmlformats.org/officeDocument/2006/relationships/hyperlink" Target="https://www.bamsec.com/filing/1823023000022/1?table=19" TargetMode="External"/><Relationship Id="rId23" Type="http://schemas.openxmlformats.org/officeDocument/2006/relationships/hyperlink" Target="https://www.bamsec.com/filing/1823023000056/1?table=28" TargetMode="External"/><Relationship Id="rId10" Type="http://schemas.openxmlformats.org/officeDocument/2006/relationships/hyperlink" Target="https://www.bamsec.com/filing/1823021000221/1?table=28" TargetMode="External"/><Relationship Id="rId19" Type="http://schemas.openxmlformats.org/officeDocument/2006/relationships/hyperlink" Target="https://www.bamsec.com/filing/1823024000045/1?table=28" TargetMode="External"/><Relationship Id="rId4" Type="http://schemas.openxmlformats.org/officeDocument/2006/relationships/hyperlink" Target="https://www.bamsec.com/filing/1823019000153/1?table=10" TargetMode="External"/><Relationship Id="rId9" Type="http://schemas.openxmlformats.org/officeDocument/2006/relationships/hyperlink" Target="https://www.bamsec.com/filing/1823021000151/1?table=19" TargetMode="External"/><Relationship Id="rId14" Type="http://schemas.openxmlformats.org/officeDocument/2006/relationships/hyperlink" Target="https://www.bamsec.com/filing/1823022000223/1?table=28" TargetMode="External"/><Relationship Id="rId22" Type="http://schemas.openxmlformats.org/officeDocument/2006/relationships/hyperlink" Target="https://www.bamsec.com/filing/1823024000020/1?table=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9A05-F990-4C95-AF70-E4621561A381}">
  <dimension ref="A1:AE61"/>
  <sheetViews>
    <sheetView showGridLines="0" tabSelected="1" zoomScaleNormal="100" workbookViewId="0"/>
  </sheetViews>
  <sheetFormatPr defaultColWidth="8.7109375" defaultRowHeight="18" customHeight="1" x14ac:dyDescent="0.25"/>
  <cols>
    <col min="1" max="1" width="18.140625" style="290" customWidth="1"/>
    <col min="2" max="2" width="9.140625" style="290" bestFit="1" customWidth="1"/>
    <col min="3" max="3" width="30" style="290" bestFit="1" customWidth="1"/>
    <col min="4" max="4" width="25.85546875" style="290" bestFit="1" customWidth="1"/>
    <col min="5" max="22" width="9.140625" style="290" customWidth="1"/>
    <col min="23" max="16384" width="8.7109375" style="290"/>
  </cols>
  <sheetData>
    <row r="1" spans="1:31" ht="18" customHeight="1" x14ac:dyDescent="0.25">
      <c r="A1" s="290" t="s">
        <v>371</v>
      </c>
      <c r="D1" s="291" t="s">
        <v>267</v>
      </c>
      <c r="E1" s="292" t="s">
        <v>0</v>
      </c>
      <c r="F1" s="292" t="s">
        <v>1</v>
      </c>
      <c r="G1" s="292" t="s">
        <v>2</v>
      </c>
      <c r="H1" s="292" t="s">
        <v>3</v>
      </c>
      <c r="I1" s="292" t="s">
        <v>0</v>
      </c>
      <c r="J1" s="292" t="s">
        <v>1</v>
      </c>
      <c r="K1" s="292" t="s">
        <v>2</v>
      </c>
      <c r="L1" s="292" t="s">
        <v>3</v>
      </c>
      <c r="M1" s="292" t="s">
        <v>0</v>
      </c>
      <c r="N1" s="292" t="s">
        <v>1</v>
      </c>
      <c r="O1" s="292" t="s">
        <v>2</v>
      </c>
      <c r="P1" s="292" t="s">
        <v>3</v>
      </c>
      <c r="Q1" s="292" t="s">
        <v>0</v>
      </c>
      <c r="R1" s="659" t="s">
        <v>1</v>
      </c>
      <c r="S1" s="656" t="s">
        <v>2</v>
      </c>
      <c r="T1" s="292" t="s">
        <v>3</v>
      </c>
      <c r="U1" s="292" t="s">
        <v>0</v>
      </c>
      <c r="V1" s="292" t="s">
        <v>1</v>
      </c>
      <c r="W1" s="292" t="s">
        <v>2</v>
      </c>
      <c r="X1" s="292" t="s">
        <v>3</v>
      </c>
      <c r="Y1" s="292" t="s">
        <v>0</v>
      </c>
      <c r="Z1" s="292" t="s">
        <v>1</v>
      </c>
      <c r="AA1" s="292" t="s">
        <v>2</v>
      </c>
      <c r="AB1" s="292" t="s">
        <v>3</v>
      </c>
      <c r="AC1" s="292" t="s">
        <v>268</v>
      </c>
      <c r="AD1" s="292" t="s">
        <v>268</v>
      </c>
      <c r="AE1" s="292" t="s">
        <v>268</v>
      </c>
    </row>
    <row r="2" spans="1:31" ht="18" customHeight="1" x14ac:dyDescent="0.25">
      <c r="A2" s="290" t="s">
        <v>269</v>
      </c>
      <c r="B2" s="290" t="s">
        <v>270</v>
      </c>
      <c r="C2" s="290" t="s">
        <v>271</v>
      </c>
      <c r="D2" s="291" t="s">
        <v>272</v>
      </c>
      <c r="E2" s="292">
        <v>2021</v>
      </c>
      <c r="F2" s="292">
        <v>2021</v>
      </c>
      <c r="G2" s="292">
        <v>2021</v>
      </c>
      <c r="H2" s="292">
        <v>2021</v>
      </c>
      <c r="I2" s="292">
        <v>2022</v>
      </c>
      <c r="J2" s="292">
        <v>2022</v>
      </c>
      <c r="K2" s="292">
        <v>2022</v>
      </c>
      <c r="L2" s="292">
        <v>2022</v>
      </c>
      <c r="M2" s="292">
        <v>2023</v>
      </c>
      <c r="N2" s="292">
        <v>2023</v>
      </c>
      <c r="O2" s="292">
        <v>2023</v>
      </c>
      <c r="P2" s="292">
        <v>2023</v>
      </c>
      <c r="Q2" s="292">
        <v>2024</v>
      </c>
      <c r="R2" s="659">
        <v>2024</v>
      </c>
      <c r="S2" s="656">
        <v>2024</v>
      </c>
      <c r="T2" s="292">
        <v>2024</v>
      </c>
      <c r="U2" s="292">
        <v>2025</v>
      </c>
      <c r="V2" s="292">
        <v>2025</v>
      </c>
      <c r="W2" s="292">
        <v>2025</v>
      </c>
      <c r="X2" s="292">
        <v>2025</v>
      </c>
      <c r="Y2" s="292">
        <v>2026</v>
      </c>
      <c r="Z2" s="292">
        <v>2026</v>
      </c>
      <c r="AA2" s="292">
        <v>2026</v>
      </c>
      <c r="AB2" s="292">
        <v>2026</v>
      </c>
      <c r="AC2" s="292">
        <v>2024</v>
      </c>
      <c r="AD2" s="292">
        <v>2025</v>
      </c>
      <c r="AE2" s="292">
        <v>2026</v>
      </c>
    </row>
    <row r="3" spans="1:31" ht="18" customHeight="1" x14ac:dyDescent="0.25">
      <c r="A3" s="293" t="s">
        <v>273</v>
      </c>
      <c r="B3" s="294">
        <v>3626</v>
      </c>
      <c r="C3" s="290" t="s">
        <v>274</v>
      </c>
      <c r="D3" s="295" t="s">
        <v>275</v>
      </c>
      <c r="E3" s="666"/>
      <c r="F3" s="666"/>
      <c r="G3" s="666"/>
      <c r="H3" s="666"/>
      <c r="I3" s="666"/>
      <c r="J3" s="666"/>
      <c r="K3" s="666"/>
      <c r="L3" s="666"/>
      <c r="M3" s="666"/>
      <c r="N3" s="666"/>
      <c r="O3" s="666"/>
      <c r="P3" s="666"/>
      <c r="Q3" s="666"/>
      <c r="R3" s="667"/>
      <c r="S3" s="668"/>
      <c r="T3" s="666"/>
      <c r="U3" s="666"/>
      <c r="V3" s="666"/>
    </row>
    <row r="4" spans="1:31" ht="18" customHeight="1" x14ac:dyDescent="0.25">
      <c r="C4" s="290" t="s">
        <v>132</v>
      </c>
      <c r="D4" s="295" t="s">
        <v>276</v>
      </c>
      <c r="E4" s="666"/>
      <c r="F4" s="666"/>
      <c r="G4" s="666"/>
      <c r="H4" s="666"/>
      <c r="I4" s="666"/>
      <c r="J4" s="666"/>
      <c r="K4" s="666"/>
      <c r="L4" s="666"/>
      <c r="M4" s="666"/>
      <c r="N4" s="666"/>
      <c r="O4" s="666"/>
      <c r="P4" s="666"/>
      <c r="Q4" s="666"/>
      <c r="R4" s="667"/>
      <c r="S4" s="668"/>
      <c r="T4" s="666"/>
      <c r="U4" s="666"/>
      <c r="V4" s="666"/>
    </row>
    <row r="5" spans="1:31" ht="18" customHeight="1" x14ac:dyDescent="0.25">
      <c r="A5" s="290" t="s">
        <v>277</v>
      </c>
      <c r="B5" s="290" t="s">
        <v>278</v>
      </c>
      <c r="C5" s="290" t="s">
        <v>279</v>
      </c>
      <c r="D5" s="295" t="s">
        <v>280</v>
      </c>
      <c r="E5" s="666"/>
      <c r="F5" s="666"/>
      <c r="G5" s="666"/>
      <c r="H5" s="666"/>
      <c r="I5" s="666"/>
      <c r="J5" s="666"/>
      <c r="K5" s="666"/>
      <c r="L5" s="666"/>
      <c r="M5" s="666"/>
      <c r="N5" s="666"/>
      <c r="O5" s="666"/>
      <c r="P5" s="666"/>
      <c r="Q5" s="368"/>
      <c r="R5" s="660"/>
      <c r="S5" s="665"/>
      <c r="T5" s="368"/>
      <c r="U5" s="368"/>
      <c r="V5" s="368"/>
      <c r="W5" s="296"/>
      <c r="X5" s="296"/>
      <c r="Y5" s="296"/>
      <c r="Z5" s="296"/>
      <c r="AA5" s="296"/>
      <c r="AB5" s="296"/>
      <c r="AC5" s="296"/>
      <c r="AD5" s="296"/>
      <c r="AE5" s="296"/>
    </row>
    <row r="6" spans="1:31" ht="18" customHeight="1" x14ac:dyDescent="0.25">
      <c r="A6" s="294" t="s">
        <v>419</v>
      </c>
      <c r="B6" s="297" t="s">
        <v>629</v>
      </c>
      <c r="C6" s="290" t="s">
        <v>281</v>
      </c>
      <c r="D6" s="295" t="s">
        <v>281</v>
      </c>
      <c r="E6" s="666"/>
      <c r="F6" s="666"/>
      <c r="G6" s="666"/>
      <c r="H6" s="666"/>
      <c r="I6" s="666"/>
      <c r="J6" s="666"/>
      <c r="K6" s="666"/>
      <c r="L6" s="666"/>
      <c r="M6" s="666"/>
      <c r="N6" s="666"/>
      <c r="O6" s="666"/>
      <c r="P6" s="666"/>
      <c r="Q6" s="368">
        <f>Model!AT45</f>
        <v>4043</v>
      </c>
      <c r="R6" s="660">
        <f>Model!AU45</f>
        <v>4013</v>
      </c>
      <c r="S6" s="368">
        <f>Model!AV45</f>
        <v>3690</v>
      </c>
      <c r="T6" s="368">
        <f>Model!AW45</f>
        <v>3691.3915876932269</v>
      </c>
      <c r="U6" s="368">
        <f>Model!AZ45</f>
        <v>3773.7287669378538</v>
      </c>
      <c r="V6" s="368">
        <f>Model!BA45</f>
        <v>4000.4081351930063</v>
      </c>
      <c r="W6" s="368">
        <f>Model!BB45</f>
        <v>3696.4936549037366</v>
      </c>
      <c r="X6" s="368">
        <f>Model!BC45</f>
        <v>3804.2112955095531</v>
      </c>
      <c r="Y6" s="368">
        <f>Model!BF45</f>
        <v>4058.7463430740236</v>
      </c>
      <c r="Z6" s="368">
        <f>Model!BG45</f>
        <v>4304.3283364069503</v>
      </c>
      <c r="AA6" s="368">
        <f>Model!BH45</f>
        <v>3995.0544532998638</v>
      </c>
      <c r="AB6" s="368">
        <f>Model!BI45</f>
        <v>4114.9940350928664</v>
      </c>
      <c r="AC6" s="368">
        <f>SUM(Q6:T6)</f>
        <v>15437.391587693226</v>
      </c>
      <c r="AD6" s="368">
        <f>SUM(U6:X6)</f>
        <v>15274.84185254415</v>
      </c>
      <c r="AE6" s="368">
        <f>SUM(Y6:AB6)</f>
        <v>16473.123167873706</v>
      </c>
    </row>
    <row r="7" spans="1:31" ht="18" customHeight="1" x14ac:dyDescent="0.25">
      <c r="C7" s="290" t="s">
        <v>282</v>
      </c>
      <c r="D7" s="295" t="s">
        <v>283</v>
      </c>
      <c r="E7" s="666"/>
      <c r="F7" s="666"/>
      <c r="G7" s="666"/>
      <c r="H7" s="666"/>
      <c r="I7" s="666"/>
      <c r="J7" s="666"/>
      <c r="K7" s="666"/>
      <c r="L7" s="666"/>
      <c r="M7" s="666"/>
      <c r="N7" s="666"/>
      <c r="O7" s="666"/>
      <c r="P7" s="666"/>
      <c r="Q7" s="368">
        <f>Model!AT35</f>
        <v>3519</v>
      </c>
      <c r="R7" s="660">
        <f>Model!AU35</f>
        <v>3482</v>
      </c>
      <c r="S7" s="368">
        <f>Model!AV35</f>
        <v>3147</v>
      </c>
      <c r="T7" s="368">
        <f>Model!AW35</f>
        <v>3100.1915876932271</v>
      </c>
      <c r="U7" s="368">
        <f>Model!AZ35</f>
        <v>3231.568766937854</v>
      </c>
      <c r="V7" s="368">
        <f>Model!BA35</f>
        <v>3450.8981351930061</v>
      </c>
      <c r="W7" s="368">
        <f>Model!BB35</f>
        <v>3134.4736549037366</v>
      </c>
      <c r="X7" s="368">
        <f>Model!BC35</f>
        <v>3192.079295509553</v>
      </c>
      <c r="Y7" s="368">
        <f>Model!BF35</f>
        <v>3497.6791430740236</v>
      </c>
      <c r="Z7" s="368">
        <f>Model!BG35</f>
        <v>3735.5436364069506</v>
      </c>
      <c r="AA7" s="368">
        <f>Model!BH35</f>
        <v>3413.2260532998635</v>
      </c>
      <c r="AB7" s="368">
        <f>Model!BI35</f>
        <v>3481.0559950928659</v>
      </c>
      <c r="AC7" s="368">
        <f>SUM(Q7:T7)</f>
        <v>13248.191587693227</v>
      </c>
      <c r="AD7" s="368">
        <f>SUM(U7:X7)</f>
        <v>13009.01985254415</v>
      </c>
      <c r="AE7" s="368">
        <f>SUM(Y7:AB7)</f>
        <v>14127.504827873703</v>
      </c>
    </row>
    <row r="8" spans="1:31" ht="18" customHeight="1" x14ac:dyDescent="0.25">
      <c r="C8" s="290" t="s">
        <v>284</v>
      </c>
      <c r="D8" s="295" t="s">
        <v>285</v>
      </c>
      <c r="E8" s="666"/>
      <c r="F8" s="666"/>
      <c r="G8" s="666"/>
      <c r="H8" s="666"/>
      <c r="I8" s="666"/>
      <c r="J8" s="666"/>
      <c r="K8" s="666"/>
      <c r="L8" s="666"/>
      <c r="M8" s="666"/>
      <c r="N8" s="666"/>
      <c r="O8" s="666"/>
      <c r="P8" s="666"/>
      <c r="Q8" s="666"/>
      <c r="R8" s="667"/>
      <c r="S8" s="668"/>
      <c r="T8" s="666"/>
      <c r="U8" s="666"/>
      <c r="V8" s="666"/>
    </row>
    <row r="9" spans="1:31" ht="18" customHeight="1" x14ac:dyDescent="0.25">
      <c r="C9" s="290" t="s">
        <v>554</v>
      </c>
      <c r="D9" s="295" t="s">
        <v>286</v>
      </c>
      <c r="E9" s="666"/>
      <c r="F9" s="666"/>
      <c r="G9" s="666"/>
      <c r="H9" s="666"/>
      <c r="I9" s="666"/>
      <c r="J9" s="666"/>
      <c r="K9" s="666"/>
      <c r="L9" s="666"/>
      <c r="M9" s="666"/>
      <c r="N9" s="666"/>
      <c r="O9" s="666"/>
      <c r="P9" s="666"/>
      <c r="Q9" s="666"/>
      <c r="R9" s="667"/>
      <c r="S9" s="668"/>
      <c r="T9" s="666"/>
      <c r="U9" s="666"/>
      <c r="V9" s="666"/>
    </row>
    <row r="10" spans="1:31" ht="18" customHeight="1" x14ac:dyDescent="0.25">
      <c r="C10" s="290" t="s">
        <v>555</v>
      </c>
      <c r="D10" s="295" t="s">
        <v>287</v>
      </c>
      <c r="E10" s="666"/>
      <c r="F10" s="666"/>
      <c r="G10" s="666"/>
      <c r="H10" s="666"/>
      <c r="I10" s="666"/>
      <c r="J10" s="666"/>
      <c r="K10" s="666"/>
      <c r="L10" s="666"/>
      <c r="M10" s="666"/>
      <c r="N10" s="666"/>
      <c r="O10" s="666"/>
      <c r="P10" s="666"/>
      <c r="Q10" s="666"/>
      <c r="R10" s="667"/>
      <c r="S10" s="668"/>
      <c r="T10" s="666"/>
      <c r="U10" s="666"/>
      <c r="V10" s="666"/>
    </row>
    <row r="11" spans="1:31" ht="18" customHeight="1" x14ac:dyDescent="0.25">
      <c r="C11" s="290" t="s">
        <v>288</v>
      </c>
      <c r="D11" s="295" t="s">
        <v>289</v>
      </c>
      <c r="E11" s="666"/>
      <c r="F11" s="666"/>
      <c r="G11" s="666"/>
      <c r="H11" s="666"/>
      <c r="I11" s="666"/>
      <c r="J11" s="666"/>
      <c r="K11" s="666"/>
      <c r="L11" s="666"/>
      <c r="M11" s="666"/>
      <c r="N11" s="666"/>
      <c r="O11" s="666"/>
      <c r="P11" s="666"/>
      <c r="Q11" s="368">
        <f>Model!AT81</f>
        <v>496.9</v>
      </c>
      <c r="R11" s="660">
        <f>Model!AU81</f>
        <v>489.5</v>
      </c>
      <c r="S11" s="368">
        <f>Model!AV81</f>
        <v>486.7</v>
      </c>
      <c r="T11" s="368">
        <f>Model!AW81</f>
        <v>484.47777777777776</v>
      </c>
      <c r="U11" s="368">
        <f>Model!AZ81</f>
        <v>480.31111111111107</v>
      </c>
      <c r="V11" s="368">
        <f>Model!BA81</f>
        <v>476.14444444444439</v>
      </c>
      <c r="W11" s="368">
        <f>Model!BB81</f>
        <v>471.9777777777777</v>
      </c>
      <c r="X11" s="368">
        <f>Model!BC81</f>
        <v>467.81111111111102</v>
      </c>
      <c r="Y11" s="368">
        <f>Model!BF81</f>
        <v>463.64444444444433</v>
      </c>
      <c r="Z11" s="368">
        <f>Model!BG81</f>
        <v>459.47777777777765</v>
      </c>
      <c r="AA11" s="368">
        <f>Model!BH81</f>
        <v>454.61666666666656</v>
      </c>
      <c r="AB11" s="368">
        <f>Model!BI81</f>
        <v>449.75555555555547</v>
      </c>
      <c r="AC11" s="368">
        <f>T11</f>
        <v>484.47777777777776</v>
      </c>
      <c r="AD11" s="368">
        <f>X11</f>
        <v>467.81111111111102</v>
      </c>
      <c r="AE11" s="368">
        <f>AB11</f>
        <v>449.75555555555547</v>
      </c>
    </row>
    <row r="12" spans="1:31" ht="18" customHeight="1" x14ac:dyDescent="0.25">
      <c r="C12" s="290" t="s">
        <v>290</v>
      </c>
      <c r="D12" s="295" t="s">
        <v>228</v>
      </c>
      <c r="E12" s="666"/>
      <c r="F12" s="666"/>
      <c r="G12" s="666"/>
      <c r="H12" s="666"/>
      <c r="I12" s="666"/>
      <c r="J12" s="666"/>
      <c r="K12" s="666"/>
      <c r="L12" s="666"/>
      <c r="M12" s="666"/>
      <c r="N12" s="666"/>
      <c r="O12" s="666"/>
      <c r="P12" s="666"/>
      <c r="Q12" s="370">
        <f>Model!AT65</f>
        <v>5.7476353391024357</v>
      </c>
      <c r="R12" s="661">
        <f>Model!AU65</f>
        <v>5.4770173646578142</v>
      </c>
      <c r="S12" s="370">
        <f>Model!AV65</f>
        <v>5.0626669406205052</v>
      </c>
      <c r="T12" s="370">
        <f>Model!AW65</f>
        <v>4.9192627397564985</v>
      </c>
      <c r="U12" s="370">
        <f>Model!AZ65</f>
        <v>5.1976531928105132</v>
      </c>
      <c r="V12" s="370">
        <f>Model!BA65</f>
        <v>5.6001301111849759</v>
      </c>
      <c r="W12" s="370">
        <f>Model!BB65</f>
        <v>5.129991246161147</v>
      </c>
      <c r="X12" s="370">
        <f>Model!BC65</f>
        <v>5.2711151601237187</v>
      </c>
      <c r="Y12" s="370">
        <f>Model!BF65</f>
        <v>5.8293076819955605</v>
      </c>
      <c r="Z12" s="370">
        <f>Model!BG65</f>
        <v>6.2833748304665304</v>
      </c>
      <c r="AA12" s="370">
        <f>Model!BH65</f>
        <v>5.8010961113163253</v>
      </c>
      <c r="AB12" s="370">
        <f>Model!BI65</f>
        <v>5.9806780567870206</v>
      </c>
      <c r="AC12" s="370">
        <f>SUM(Q12:T12)</f>
        <v>21.206582384137253</v>
      </c>
      <c r="AD12" s="370">
        <f>SUM(U12:X12)</f>
        <v>21.198889710280355</v>
      </c>
      <c r="AE12" s="370">
        <f>SUM(Y12:AB12)</f>
        <v>23.894456680565437</v>
      </c>
    </row>
    <row r="13" spans="1:31" ht="18" customHeight="1" x14ac:dyDescent="0.25">
      <c r="C13" s="290" t="s">
        <v>291</v>
      </c>
      <c r="D13" s="295" t="s">
        <v>292</v>
      </c>
      <c r="E13" s="666"/>
      <c r="F13" s="666"/>
      <c r="G13" s="666"/>
      <c r="H13" s="666"/>
      <c r="I13" s="666"/>
      <c r="J13" s="666"/>
      <c r="K13" s="666"/>
      <c r="L13" s="666"/>
      <c r="M13" s="666"/>
      <c r="N13" s="666"/>
      <c r="O13" s="666"/>
      <c r="P13" s="666"/>
      <c r="Q13" s="370">
        <f>Model!AT78</f>
        <v>5.5987120144898377</v>
      </c>
      <c r="R13" s="661">
        <f>Model!AU78</f>
        <v>5.9918283963227781</v>
      </c>
      <c r="S13" s="370">
        <f>Model!AV78</f>
        <v>5.1736182453256632</v>
      </c>
      <c r="T13" s="370">
        <f>Model!AW78</f>
        <v>5.1070938522946268</v>
      </c>
      <c r="U13" s="370">
        <f>Model!AZ78</f>
        <v>5.1976531928105132</v>
      </c>
      <c r="V13" s="370">
        <f>Model!BA78</f>
        <v>5.6001301111849759</v>
      </c>
      <c r="W13" s="370">
        <f>Model!BB78</f>
        <v>5.129991246161147</v>
      </c>
      <c r="X13" s="370">
        <f>Model!BC78</f>
        <v>5.2711151601237187</v>
      </c>
      <c r="Y13" s="370">
        <f>Model!BF78</f>
        <v>5.8293076819955605</v>
      </c>
      <c r="Z13" s="370">
        <f>Model!BG78</f>
        <v>6.2833748304665304</v>
      </c>
      <c r="AA13" s="370">
        <f>Model!BH78</f>
        <v>5.8010961113163253</v>
      </c>
      <c r="AB13" s="370">
        <f>Model!BI78</f>
        <v>5.9806780567870206</v>
      </c>
      <c r="AC13" s="370">
        <f>SUM(Q13:T13)</f>
        <v>21.871252508432903</v>
      </c>
      <c r="AD13" s="370">
        <f>SUM(U13:X13)</f>
        <v>21.198889710280355</v>
      </c>
      <c r="AE13" s="370">
        <f>SUM(Y13:AB13)</f>
        <v>23.894456680565437</v>
      </c>
    </row>
    <row r="14" spans="1:31" ht="18" customHeight="1" x14ac:dyDescent="0.25">
      <c r="C14" s="290" t="s">
        <v>293</v>
      </c>
      <c r="D14" s="295" t="s">
        <v>294</v>
      </c>
      <c r="E14" s="666"/>
      <c r="F14" s="666"/>
      <c r="G14" s="666"/>
      <c r="H14" s="666"/>
      <c r="I14" s="666"/>
      <c r="J14" s="666"/>
      <c r="K14" s="666"/>
      <c r="L14" s="666"/>
      <c r="M14" s="666"/>
      <c r="N14" s="666"/>
      <c r="O14" s="666"/>
      <c r="P14" s="666"/>
      <c r="Q14" s="666"/>
      <c r="R14" s="667"/>
      <c r="S14" s="668"/>
      <c r="T14" s="666"/>
      <c r="U14" s="666"/>
      <c r="V14" s="666"/>
    </row>
    <row r="15" spans="1:31" ht="18" customHeight="1" x14ac:dyDescent="0.25">
      <c r="C15" s="290" t="s">
        <v>295</v>
      </c>
      <c r="D15" s="295" t="s">
        <v>296</v>
      </c>
      <c r="E15" s="666"/>
      <c r="F15" s="666"/>
      <c r="G15" s="666"/>
      <c r="H15" s="666"/>
      <c r="I15" s="666"/>
      <c r="J15" s="666"/>
      <c r="K15" s="666"/>
      <c r="L15" s="666"/>
      <c r="M15" s="666"/>
      <c r="N15" s="666"/>
      <c r="O15" s="666"/>
      <c r="P15" s="666"/>
      <c r="Q15" s="368">
        <f>Model!AT162+Model!AT165</f>
        <v>1552</v>
      </c>
      <c r="R15" s="660">
        <f>Model!AU162+Model!AU165</f>
        <v>2680</v>
      </c>
      <c r="S15" s="368">
        <f>Model!AV162+Model!AV165</f>
        <v>3125</v>
      </c>
      <c r="T15" s="368">
        <f>Model!AW162+Model!AW165</f>
        <v>3568.6433487883814</v>
      </c>
      <c r="U15" s="368">
        <f>Model!AZ162+Model!AZ165</f>
        <v>679.32545990600045</v>
      </c>
      <c r="V15" s="368">
        <f>Model!BA162+Model!BA165</f>
        <v>2876.015582027132</v>
      </c>
      <c r="W15" s="368">
        <f>Model!BB162+Model!BB165</f>
        <v>2890.2851435182074</v>
      </c>
      <c r="X15" s="368">
        <f>Model!BC162+Model!BC165</f>
        <v>3607.5331886223403</v>
      </c>
      <c r="Y15" s="368">
        <f>Model!BF162+Model!BF165</f>
        <v>531.52502690180518</v>
      </c>
      <c r="Z15" s="368">
        <f>Model!BG162+Model!BG165</f>
        <v>3077.9688977231108</v>
      </c>
      <c r="AA15" s="368">
        <f>Model!BH162+Model!BH165</f>
        <v>3108.0668001002414</v>
      </c>
      <c r="AB15" s="368">
        <f>Model!BI162+Model!BI165</f>
        <v>3834.5732571181948</v>
      </c>
      <c r="AC15" s="368">
        <f>SUM(Q15:T15)</f>
        <v>10925.643348788381</v>
      </c>
      <c r="AD15" s="368">
        <f>SUM(U15:X15)</f>
        <v>10053.159374073679</v>
      </c>
      <c r="AE15" s="368">
        <f>SUM(Y15:AB15)</f>
        <v>10552.133981843352</v>
      </c>
    </row>
    <row r="16" spans="1:31" ht="18" customHeight="1" x14ac:dyDescent="0.25">
      <c r="C16" s="290" t="s">
        <v>297</v>
      </c>
      <c r="D16" s="295" t="s">
        <v>298</v>
      </c>
      <c r="E16" s="666"/>
      <c r="F16" s="666"/>
      <c r="G16" s="666"/>
      <c r="H16" s="666"/>
      <c r="I16" s="666"/>
      <c r="J16" s="666"/>
      <c r="K16" s="666"/>
      <c r="L16" s="666"/>
      <c r="M16" s="666"/>
      <c r="N16" s="666"/>
      <c r="O16" s="666"/>
      <c r="P16" s="666"/>
      <c r="Q16" s="368">
        <f>Model!AT122-Model!AT99</f>
        <v>19872</v>
      </c>
      <c r="R16" s="660">
        <f>Model!AU122-Model!AU99</f>
        <v>19495</v>
      </c>
      <c r="S16" s="368">
        <f>Model!AV122-Model!AV99</f>
        <v>20146</v>
      </c>
      <c r="T16" s="368">
        <f>Model!AW122-Model!AW99</f>
        <v>18156.945317878286</v>
      </c>
      <c r="U16" s="368">
        <f>Model!AZ122-Model!AZ99</f>
        <v>19732.333524638951</v>
      </c>
      <c r="V16" s="368">
        <f>Model!BA122-Model!BA99</f>
        <v>19215.156609278485</v>
      </c>
      <c r="W16" s="368">
        <f>Model!BB122-Model!BB99</f>
        <v>18619.792225760277</v>
      </c>
      <c r="X16" s="368">
        <f>Model!BC122-Model!BC99</f>
        <v>17320.834797137937</v>
      </c>
      <c r="Y16" s="368">
        <f>Model!BF122-Model!BF99</f>
        <v>19072.540530236132</v>
      </c>
      <c r="Z16" s="368">
        <f>Model!BG122-Model!BG99</f>
        <v>18381.457392513021</v>
      </c>
      <c r="AA16" s="368">
        <f>Model!BH122-Model!BH99</f>
        <v>17846.952513212778</v>
      </c>
      <c r="AB16" s="368">
        <f>Model!BI122-Model!BI99</f>
        <v>16597.946476894584</v>
      </c>
      <c r="AC16" s="368">
        <f>T16</f>
        <v>18156.945317878286</v>
      </c>
      <c r="AD16" s="368">
        <f>X16</f>
        <v>17320.834797137937</v>
      </c>
      <c r="AE16" s="368">
        <f>AB16</f>
        <v>16597.946476894584</v>
      </c>
    </row>
    <row r="17" spans="3:22" ht="18" customHeight="1" x14ac:dyDescent="0.25">
      <c r="C17" s="290" t="s">
        <v>299</v>
      </c>
      <c r="D17" s="295" t="s">
        <v>300</v>
      </c>
      <c r="E17" s="666"/>
      <c r="F17" s="666"/>
      <c r="G17" s="666"/>
      <c r="H17" s="666"/>
      <c r="I17" s="666"/>
      <c r="J17" s="666"/>
      <c r="K17" s="666"/>
      <c r="L17" s="666"/>
      <c r="M17" s="666"/>
      <c r="N17" s="666"/>
      <c r="O17" s="666"/>
      <c r="P17" s="666"/>
      <c r="Q17" s="666"/>
      <c r="R17" s="667"/>
      <c r="S17" s="668"/>
      <c r="T17" s="666"/>
      <c r="U17" s="666"/>
      <c r="V17" s="666"/>
    </row>
    <row r="18" spans="3:22" ht="18" customHeight="1" x14ac:dyDescent="0.25">
      <c r="C18" s="298" t="s">
        <v>301</v>
      </c>
      <c r="D18" s="299" t="s">
        <v>302</v>
      </c>
      <c r="E18" s="669"/>
      <c r="F18" s="669"/>
      <c r="G18" s="669"/>
      <c r="H18" s="669"/>
      <c r="I18" s="669"/>
      <c r="J18" s="669"/>
      <c r="K18" s="669"/>
      <c r="L18" s="669"/>
      <c r="M18" s="669"/>
      <c r="N18" s="669"/>
      <c r="O18" s="669"/>
      <c r="P18" s="669"/>
      <c r="Q18" s="670"/>
      <c r="R18" s="671"/>
      <c r="S18" s="669"/>
      <c r="T18" s="669"/>
      <c r="U18" s="669"/>
      <c r="V18" s="669"/>
    </row>
    <row r="19" spans="3:22" ht="18" customHeight="1" x14ac:dyDescent="0.25">
      <c r="C19" s="290" t="s">
        <v>303</v>
      </c>
      <c r="D19" s="291" t="s">
        <v>304</v>
      </c>
      <c r="R19" s="662"/>
      <c r="S19" s="657"/>
    </row>
    <row r="20" spans="3:22" ht="18" customHeight="1" x14ac:dyDescent="0.25">
      <c r="C20" s="290" t="s">
        <v>305</v>
      </c>
      <c r="D20" s="291" t="s">
        <v>306</v>
      </c>
      <c r="R20" s="662"/>
      <c r="S20" s="657"/>
    </row>
    <row r="21" spans="3:22" ht="18" customHeight="1" x14ac:dyDescent="0.25">
      <c r="C21" s="290" t="s">
        <v>307</v>
      </c>
      <c r="D21" s="291" t="s">
        <v>308</v>
      </c>
      <c r="R21" s="662"/>
      <c r="S21" s="657"/>
    </row>
    <row r="22" spans="3:22" ht="18" customHeight="1" x14ac:dyDescent="0.25">
      <c r="C22" s="290" t="s">
        <v>309</v>
      </c>
      <c r="D22" s="291" t="s">
        <v>310</v>
      </c>
      <c r="R22" s="662"/>
      <c r="S22" s="657"/>
    </row>
    <row r="23" spans="3:22" ht="18" customHeight="1" x14ac:dyDescent="0.25">
      <c r="C23" s="290" t="s">
        <v>311</v>
      </c>
      <c r="D23" s="291" t="s">
        <v>312</v>
      </c>
      <c r="R23" s="662"/>
      <c r="S23" s="657"/>
    </row>
    <row r="24" spans="3:22" ht="18" customHeight="1" x14ac:dyDescent="0.25">
      <c r="C24" s="290" t="s">
        <v>313</v>
      </c>
      <c r="D24" s="291" t="s">
        <v>314</v>
      </c>
      <c r="R24" s="662"/>
      <c r="S24" s="657"/>
    </row>
    <row r="25" spans="3:22" ht="18" customHeight="1" x14ac:dyDescent="0.25">
      <c r="C25" s="290" t="s">
        <v>315</v>
      </c>
      <c r="D25" s="291" t="s">
        <v>316</v>
      </c>
      <c r="R25" s="662"/>
      <c r="S25" s="657"/>
    </row>
    <row r="26" spans="3:22" ht="18" customHeight="1" x14ac:dyDescent="0.25">
      <c r="C26" s="290" t="s">
        <v>317</v>
      </c>
      <c r="D26" s="291" t="s">
        <v>318</v>
      </c>
      <c r="R26" s="662"/>
      <c r="S26" s="657"/>
    </row>
    <row r="27" spans="3:22" ht="18" customHeight="1" x14ac:dyDescent="0.25">
      <c r="C27" s="290" t="s">
        <v>319</v>
      </c>
      <c r="D27" s="291" t="s">
        <v>320</v>
      </c>
      <c r="R27" s="662"/>
      <c r="S27" s="657"/>
    </row>
    <row r="28" spans="3:22" ht="18" customHeight="1" x14ac:dyDescent="0.25">
      <c r="C28" s="290" t="s">
        <v>321</v>
      </c>
      <c r="D28" s="291" t="s">
        <v>322</v>
      </c>
      <c r="R28" s="662"/>
      <c r="S28" s="657"/>
    </row>
    <row r="29" spans="3:22" ht="18" customHeight="1" x14ac:dyDescent="0.25">
      <c r="C29" s="290" t="s">
        <v>323</v>
      </c>
      <c r="D29" s="291" t="s">
        <v>324</v>
      </c>
      <c r="R29" s="662"/>
      <c r="S29" s="657"/>
    </row>
    <row r="30" spans="3:22" ht="18" customHeight="1" x14ac:dyDescent="0.25">
      <c r="C30" s="290" t="s">
        <v>325</v>
      </c>
      <c r="D30" s="291" t="s">
        <v>326</v>
      </c>
      <c r="R30" s="662"/>
      <c r="S30" s="657"/>
    </row>
    <row r="31" spans="3:22" ht="18" customHeight="1" x14ac:dyDescent="0.25">
      <c r="C31" s="290" t="s">
        <v>556</v>
      </c>
      <c r="D31" s="291" t="s">
        <v>557</v>
      </c>
      <c r="R31" s="662"/>
      <c r="S31" s="657"/>
    </row>
    <row r="32" spans="3:22" ht="18" customHeight="1" x14ac:dyDescent="0.25">
      <c r="C32" s="290" t="s">
        <v>327</v>
      </c>
      <c r="D32" s="291" t="s">
        <v>328</v>
      </c>
      <c r="R32" s="662"/>
      <c r="S32" s="657"/>
    </row>
    <row r="33" spans="3:31" ht="18" customHeight="1" x14ac:dyDescent="0.25">
      <c r="C33" s="290" t="s">
        <v>329</v>
      </c>
      <c r="D33" s="291" t="s">
        <v>330</v>
      </c>
      <c r="R33" s="662"/>
      <c r="S33" s="657"/>
    </row>
    <row r="34" spans="3:31" ht="18" customHeight="1" x14ac:dyDescent="0.25">
      <c r="C34" s="290" t="s">
        <v>331</v>
      </c>
      <c r="D34" s="291" t="s">
        <v>287</v>
      </c>
      <c r="R34" s="662"/>
      <c r="S34" s="657"/>
    </row>
    <row r="35" spans="3:31" ht="18" customHeight="1" x14ac:dyDescent="0.25">
      <c r="C35" s="290" t="s">
        <v>332</v>
      </c>
      <c r="D35" s="291" t="s">
        <v>333</v>
      </c>
      <c r="R35" s="662"/>
      <c r="S35" s="657"/>
    </row>
    <row r="36" spans="3:31" ht="18" customHeight="1" x14ac:dyDescent="0.25">
      <c r="C36" s="290" t="s">
        <v>334</v>
      </c>
      <c r="D36" s="291" t="s">
        <v>335</v>
      </c>
      <c r="Q36" s="368">
        <f>-Model!AT86</f>
        <v>500</v>
      </c>
      <c r="R36" s="660">
        <f>-Model!AU86</f>
        <v>341</v>
      </c>
      <c r="S36" s="368">
        <f>-Model!AV86</f>
        <v>444</v>
      </c>
      <c r="T36" s="368">
        <f>-Model!AW86</f>
        <v>647.79999999999995</v>
      </c>
      <c r="U36" s="368">
        <f>-Model!AZ86</f>
        <v>541.14</v>
      </c>
      <c r="V36" s="368">
        <f>-Model!BA86</f>
        <v>386.30000000000007</v>
      </c>
      <c r="W36" s="368">
        <f>-Model!BB86</f>
        <v>491.12000000000012</v>
      </c>
      <c r="X36" s="368">
        <f>-Model!BC86</f>
        <v>709.16599999999994</v>
      </c>
      <c r="Y36" s="368">
        <f>-Model!BF86</f>
        <v>584.02379999999994</v>
      </c>
      <c r="Z36" s="368">
        <f>-Model!BG86</f>
        <v>433.65200000000004</v>
      </c>
      <c r="AA36" s="368">
        <f>-Model!BH86</f>
        <v>540.4154000000002</v>
      </c>
      <c r="AB36" s="368">
        <f>-Model!BI86</f>
        <v>773.46181999999999</v>
      </c>
      <c r="AC36" s="368">
        <f>-[52]Model!BG97</f>
        <v>884.57722023961014</v>
      </c>
      <c r="AD36" s="368">
        <f>-[52]Model!BH97</f>
        <v>883.51140453879532</v>
      </c>
      <c r="AE36" s="368">
        <f>-[52]Model!BI97</f>
        <v>904.45938024529016</v>
      </c>
    </row>
    <row r="37" spans="3:31" ht="18" customHeight="1" x14ac:dyDescent="0.25">
      <c r="C37" s="290" t="s">
        <v>336</v>
      </c>
      <c r="D37" s="291" t="s">
        <v>337</v>
      </c>
      <c r="R37" s="662"/>
      <c r="S37" s="657"/>
    </row>
    <row r="38" spans="3:31" ht="18" customHeight="1" x14ac:dyDescent="0.25">
      <c r="C38" s="290" t="s">
        <v>338</v>
      </c>
      <c r="D38" s="291" t="s">
        <v>339</v>
      </c>
      <c r="R38" s="662"/>
      <c r="S38" s="657"/>
    </row>
    <row r="39" spans="3:31" ht="18" customHeight="1" x14ac:dyDescent="0.25">
      <c r="C39" s="290" t="s">
        <v>340</v>
      </c>
      <c r="D39" s="291" t="s">
        <v>341</v>
      </c>
      <c r="R39" s="662"/>
      <c r="S39" s="657"/>
    </row>
    <row r="40" spans="3:31" ht="18" customHeight="1" x14ac:dyDescent="0.25">
      <c r="C40" s="290" t="s">
        <v>342</v>
      </c>
      <c r="D40" s="291" t="s">
        <v>343</v>
      </c>
      <c r="R40" s="662"/>
      <c r="S40" s="657"/>
    </row>
    <row r="41" spans="3:31" ht="18" customHeight="1" x14ac:dyDescent="0.25">
      <c r="C41" s="290" t="s">
        <v>344</v>
      </c>
      <c r="D41" s="291" t="s">
        <v>345</v>
      </c>
      <c r="R41" s="662"/>
      <c r="S41" s="657"/>
    </row>
    <row r="42" spans="3:31" ht="18" customHeight="1" x14ac:dyDescent="0.25">
      <c r="C42" s="290" t="s">
        <v>346</v>
      </c>
      <c r="D42" s="291" t="s">
        <v>347</v>
      </c>
      <c r="R42" s="662"/>
      <c r="S42" s="657"/>
    </row>
    <row r="43" spans="3:31" ht="18" customHeight="1" x14ac:dyDescent="0.25">
      <c r="C43" s="290" t="s">
        <v>348</v>
      </c>
      <c r="D43" s="291" t="s">
        <v>349</v>
      </c>
      <c r="R43" s="662"/>
      <c r="S43" s="657"/>
    </row>
    <row r="44" spans="3:31" ht="18" customHeight="1" x14ac:dyDescent="0.25">
      <c r="C44" s="290" t="s">
        <v>350</v>
      </c>
      <c r="D44" s="291" t="s">
        <v>351</v>
      </c>
      <c r="R44" s="662"/>
      <c r="S44" s="657"/>
    </row>
    <row r="45" spans="3:31" ht="18" customHeight="1" x14ac:dyDescent="0.25">
      <c r="C45" s="290" t="s">
        <v>352</v>
      </c>
      <c r="D45" s="291" t="s">
        <v>353</v>
      </c>
      <c r="R45" s="662"/>
      <c r="S45" s="657"/>
    </row>
    <row r="46" spans="3:31" ht="18" customHeight="1" x14ac:dyDescent="0.25">
      <c r="C46" s="290" t="s">
        <v>354</v>
      </c>
      <c r="D46" s="291" t="s">
        <v>355</v>
      </c>
      <c r="Q46" s="369"/>
      <c r="R46" s="663"/>
      <c r="S46" s="369"/>
      <c r="T46" s="369"/>
      <c r="U46" s="369"/>
      <c r="V46" s="369"/>
      <c r="W46" s="369"/>
      <c r="X46" s="369"/>
      <c r="Y46" s="369"/>
      <c r="Z46" s="369"/>
      <c r="AA46" s="369"/>
      <c r="AB46" s="369"/>
      <c r="AC46" s="369"/>
      <c r="AD46" s="369"/>
      <c r="AE46" s="369"/>
    </row>
    <row r="47" spans="3:31" ht="18" customHeight="1" x14ac:dyDescent="0.25">
      <c r="C47" s="290" t="s">
        <v>13</v>
      </c>
      <c r="D47" s="291" t="s">
        <v>356</v>
      </c>
      <c r="Q47" s="368">
        <f>Model!AT127+Model!AT123</f>
        <v>9731</v>
      </c>
      <c r="R47" s="660">
        <f>Model!AU127+Model!AU123</f>
        <v>9510</v>
      </c>
      <c r="S47" s="368">
        <f>Model!AV127+Model!AV123</f>
        <v>9613</v>
      </c>
      <c r="T47" s="368">
        <f>Model!AW127+Model!AW123</f>
        <v>9613</v>
      </c>
      <c r="U47" s="368">
        <f>Model!AZ127+Model!AZ123</f>
        <v>9613</v>
      </c>
      <c r="V47" s="368">
        <f>Model!BA127+Model!BA123</f>
        <v>9613</v>
      </c>
      <c r="W47" s="368">
        <f>Model!BB127+Model!BB123</f>
        <v>9613</v>
      </c>
      <c r="X47" s="368">
        <f>Model!BC127+Model!BC123</f>
        <v>9613</v>
      </c>
      <c r="Y47" s="368">
        <f>Model!BF127+Model!BF123</f>
        <v>9613</v>
      </c>
      <c r="Z47" s="368">
        <f>Model!BG127+Model!BG123</f>
        <v>9613</v>
      </c>
      <c r="AA47" s="368">
        <f>Model!BH127+Model!BH123</f>
        <v>9613</v>
      </c>
      <c r="AB47" s="368">
        <f>Model!BI127+Model!BI123</f>
        <v>9613</v>
      </c>
      <c r="AC47" s="368">
        <f>T47</f>
        <v>9613</v>
      </c>
      <c r="AD47" s="368">
        <f>Y47</f>
        <v>9613</v>
      </c>
      <c r="AE47" s="368">
        <f>AB47</f>
        <v>9613</v>
      </c>
    </row>
    <row r="48" spans="3:31" ht="18" customHeight="1" x14ac:dyDescent="0.25">
      <c r="C48" s="290" t="s">
        <v>357</v>
      </c>
      <c r="D48" s="291" t="s">
        <v>357</v>
      </c>
      <c r="Q48" s="368">
        <f>Model!AT162</f>
        <v>2052</v>
      </c>
      <c r="R48" s="660">
        <f>Model!AU162</f>
        <v>3021</v>
      </c>
      <c r="S48" s="368">
        <f>Model!AV162</f>
        <v>3569</v>
      </c>
      <c r="T48" s="368">
        <f>Model!AW162</f>
        <v>4216.4433487883816</v>
      </c>
      <c r="U48" s="368">
        <f>Model!AZ162</f>
        <v>1220.4654599060004</v>
      </c>
      <c r="V48" s="368">
        <f>Model!BA162</f>
        <v>3262.3155820271322</v>
      </c>
      <c r="W48" s="368">
        <f>Model!BB162</f>
        <v>3381.4051435182073</v>
      </c>
      <c r="X48" s="368">
        <f>Model!BC162</f>
        <v>4316.6991886223404</v>
      </c>
      <c r="Y48" s="368">
        <f>Model!BF162</f>
        <v>1115.5488269018051</v>
      </c>
      <c r="Z48" s="368">
        <f>Model!BG162</f>
        <v>3511.6208977231108</v>
      </c>
      <c r="AA48" s="368">
        <f>Model!BH162</f>
        <v>3648.4822001002417</v>
      </c>
      <c r="AB48" s="368">
        <f>Model!BI162</f>
        <v>4608.0350771181947</v>
      </c>
      <c r="AC48" s="368">
        <f>SUM(Q48:T48)</f>
        <v>12858.443348788382</v>
      </c>
      <c r="AD48" s="368">
        <f>SUM(U48:X48)</f>
        <v>12180.885374073681</v>
      </c>
      <c r="AE48" s="368">
        <f>SUM(Y48:AB48)</f>
        <v>12883.687001843353</v>
      </c>
    </row>
    <row r="49" spans="3:31" ht="18" customHeight="1" x14ac:dyDescent="0.25">
      <c r="C49" s="290" t="s">
        <v>358</v>
      </c>
      <c r="D49" s="291" t="s">
        <v>358</v>
      </c>
      <c r="Q49" s="368">
        <f>Model!AT50</f>
        <v>4037</v>
      </c>
      <c r="R49" s="660">
        <f>Model!AU50</f>
        <v>4271</v>
      </c>
      <c r="S49" s="368">
        <f>Model!AV50</f>
        <v>3760</v>
      </c>
      <c r="T49" s="368">
        <f>Model!AW50</f>
        <v>3771.3915876932269</v>
      </c>
      <c r="U49" s="368">
        <f>Model!AZ50</f>
        <v>3773.7287669378538</v>
      </c>
      <c r="V49" s="368">
        <f>Model!BA50</f>
        <v>4000.4081351930063</v>
      </c>
      <c r="W49" s="368">
        <f>Model!BB50</f>
        <v>3696.4936549037366</v>
      </c>
      <c r="X49" s="368">
        <f>Model!BC50</f>
        <v>3804.2112955095531</v>
      </c>
      <c r="Y49" s="368">
        <f>Model!BF50</f>
        <v>4058.7463430740236</v>
      </c>
      <c r="Z49" s="368">
        <f>Model!BG50</f>
        <v>4304.3283364069503</v>
      </c>
      <c r="AA49" s="368">
        <f>Model!BH50</f>
        <v>3995.0544532998638</v>
      </c>
      <c r="AB49" s="368">
        <f>Model!BI50</f>
        <v>4114.9940350928664</v>
      </c>
      <c r="AC49" s="368">
        <f>SUM(Q49:T49)</f>
        <v>15839.391587693226</v>
      </c>
      <c r="AD49" s="368">
        <f>SUM(U49:X49)</f>
        <v>15274.84185254415</v>
      </c>
      <c r="AE49" s="368">
        <f>SUM(Y49:AB49)</f>
        <v>16473.123167873706</v>
      </c>
    </row>
    <row r="50" spans="3:31" ht="18" customHeight="1" x14ac:dyDescent="0.25">
      <c r="C50" s="290" t="s">
        <v>359</v>
      </c>
      <c r="D50" s="291" t="s">
        <v>359</v>
      </c>
      <c r="Q50" s="370">
        <f>Q48/Q11</f>
        <v>4.1296035419601536</v>
      </c>
      <c r="R50" s="661">
        <f t="shared" ref="R50:AB50" si="0">R48/R11</f>
        <v>6.1716036772216549</v>
      </c>
      <c r="S50" s="658">
        <f t="shared" si="0"/>
        <v>7.3330593794945553</v>
      </c>
      <c r="T50" s="370">
        <f t="shared" si="0"/>
        <v>8.7030686280979381</v>
      </c>
      <c r="U50" s="370">
        <f t="shared" si="0"/>
        <v>2.5409894372059787</v>
      </c>
      <c r="V50" s="370">
        <f t="shared" si="0"/>
        <v>6.8515250363438254</v>
      </c>
      <c r="W50" s="370">
        <f t="shared" si="0"/>
        <v>7.164331251863052</v>
      </c>
      <c r="X50" s="370">
        <f t="shared" si="0"/>
        <v>9.2274404906066252</v>
      </c>
      <c r="Y50" s="370">
        <f t="shared" si="0"/>
        <v>2.4060437696789321</v>
      </c>
      <c r="Z50" s="370">
        <f t="shared" si="0"/>
        <v>7.6426348945682312</v>
      </c>
      <c r="AA50" s="370">
        <f t="shared" si="0"/>
        <v>8.0254035270013038</v>
      </c>
      <c r="AB50" s="370">
        <f t="shared" si="0"/>
        <v>10.245643483883532</v>
      </c>
      <c r="AC50" s="370">
        <f>SUM(Q50:T50)</f>
        <v>26.3373352267743</v>
      </c>
      <c r="AD50" s="370">
        <f>SUM(U50:X50)</f>
        <v>25.784286216019481</v>
      </c>
      <c r="AE50" s="370">
        <f>SUM(Y50:AB50)</f>
        <v>28.319725675131998</v>
      </c>
    </row>
    <row r="51" spans="3:31" ht="18" customHeight="1" x14ac:dyDescent="0.25">
      <c r="C51" s="290" t="s">
        <v>360</v>
      </c>
      <c r="D51" s="291" t="s">
        <v>360</v>
      </c>
      <c r="Q51" s="370">
        <f>Model!AT83</f>
        <v>1.3</v>
      </c>
      <c r="R51" s="661">
        <f>Model!AU83</f>
        <v>1.3</v>
      </c>
      <c r="S51" s="370">
        <f>Model!AV83</f>
        <v>1.41</v>
      </c>
      <c r="T51" s="370">
        <f>Model!AW83</f>
        <v>1.41</v>
      </c>
      <c r="U51" s="370">
        <f>Model!AZ83</f>
        <v>1.41</v>
      </c>
      <c r="V51" s="370">
        <f>Model!BA83</f>
        <v>1.41</v>
      </c>
      <c r="W51" s="370">
        <f>Model!BB83</f>
        <v>1.5227999999999999</v>
      </c>
      <c r="X51" s="370">
        <f>Model!BC83</f>
        <v>1.5227999999999999</v>
      </c>
      <c r="Y51" s="370">
        <f>Model!BF83</f>
        <v>1.5227999999999999</v>
      </c>
      <c r="Z51" s="370">
        <f>Model!BG83</f>
        <v>1.5227999999999999</v>
      </c>
      <c r="AA51" s="370">
        <f>Model!BH83</f>
        <v>1.6446240000000001</v>
      </c>
      <c r="AB51" s="370">
        <f>Model!BI83</f>
        <v>1.6446240000000001</v>
      </c>
      <c r="AC51" s="370">
        <f>SUM(Q51:T51)</f>
        <v>5.42</v>
      </c>
      <c r="AD51" s="370">
        <f>SUM(U51:X51)</f>
        <v>5.8655999999999997</v>
      </c>
      <c r="AE51" s="370">
        <f>SUM(Y51:AB51)</f>
        <v>6.334848</v>
      </c>
    </row>
    <row r="52" spans="3:31" ht="18" customHeight="1" x14ac:dyDescent="0.25">
      <c r="C52" s="290" t="s">
        <v>361</v>
      </c>
      <c r="D52" s="291" t="s">
        <v>361</v>
      </c>
      <c r="M52" s="371">
        <f>'Business Build-up'!AN40</f>
        <v>0.19089648215861807</v>
      </c>
      <c r="N52" s="371">
        <f>'Business Build-up'!AO40</f>
        <v>0.15019055318166069</v>
      </c>
      <c r="O52" s="371">
        <f>'Business Build-up'!AP40</f>
        <v>0.1652587745389649</v>
      </c>
      <c r="P52" s="371">
        <f>'Business Build-up'!AQ40</f>
        <v>0.17106033977738722</v>
      </c>
      <c r="Q52" s="371">
        <f>'Business Build-up'!AT40</f>
        <v>0.16570669029685423</v>
      </c>
      <c r="R52" s="664">
        <f>'Business Build-up'!AU40</f>
        <v>0.18317454610821499</v>
      </c>
      <c r="S52" s="371">
        <f>'Business Build-up'!AV40</f>
        <v>0.17962250093132995</v>
      </c>
      <c r="T52" s="371">
        <f>'Business Build-up'!AW40</f>
        <v>0.17599999999999999</v>
      </c>
      <c r="U52" s="371">
        <f>'Business Build-up'!AZ40</f>
        <v>0.16569024621811509</v>
      </c>
      <c r="V52" s="371">
        <f>'Business Build-up'!BA40</f>
        <v>0.18398718916651688</v>
      </c>
      <c r="W52" s="371">
        <f>'Business Build-up'!BB40</f>
        <v>0.17579652303489385</v>
      </c>
      <c r="X52" s="371">
        <f>'Business Build-up'!BC40</f>
        <v>0.17579999999999998</v>
      </c>
      <c r="Y52" s="371">
        <f>'Business Build-up'!BG40</f>
        <v>0.1837871891665169</v>
      </c>
      <c r="Z52" s="371">
        <f>'Business Build-up'!BH40</f>
        <v>0.17559652303489384</v>
      </c>
      <c r="AA52" s="371">
        <f>'Business Build-up'!BI40</f>
        <v>0.17560000000000001</v>
      </c>
      <c r="AB52" s="371">
        <f>'Business Build-up'!BJ40</f>
        <v>0.17527641420938486</v>
      </c>
      <c r="AC52" s="371">
        <f>AVERAGE(Q52:T52)</f>
        <v>0.17612593433409979</v>
      </c>
      <c r="AD52" s="371">
        <f>AVERAGE(U52:X52)</f>
        <v>0.17531848960488144</v>
      </c>
      <c r="AE52" s="371">
        <f>AVERAGE(Y52:AB52)</f>
        <v>0.1775650316026989</v>
      </c>
    </row>
    <row r="53" spans="3:31" ht="18" customHeight="1" x14ac:dyDescent="0.25">
      <c r="C53" s="290" t="s">
        <v>362</v>
      </c>
      <c r="D53" s="291" t="s">
        <v>362</v>
      </c>
      <c r="Q53" s="300"/>
      <c r="R53" s="672"/>
      <c r="S53" s="300"/>
      <c r="T53" s="300"/>
      <c r="U53" s="300"/>
      <c r="V53" s="300"/>
      <c r="W53" s="300"/>
      <c r="X53" s="300"/>
      <c r="Y53" s="300"/>
      <c r="Z53" s="300"/>
      <c r="AA53" s="300"/>
      <c r="AB53" s="300"/>
      <c r="AC53" s="300"/>
      <c r="AD53" s="300"/>
      <c r="AE53" s="300"/>
    </row>
    <row r="54" spans="3:31" ht="18" customHeight="1" x14ac:dyDescent="0.25">
      <c r="C54" s="290" t="s">
        <v>363</v>
      </c>
      <c r="D54" s="291" t="s">
        <v>363</v>
      </c>
      <c r="Q54" s="300"/>
      <c r="R54" s="672"/>
      <c r="S54" s="300"/>
      <c r="T54" s="300"/>
      <c r="U54" s="300"/>
      <c r="V54" s="300"/>
      <c r="W54" s="300"/>
      <c r="X54" s="300"/>
      <c r="Y54" s="300"/>
      <c r="Z54" s="300"/>
      <c r="AA54" s="300"/>
      <c r="AB54" s="300"/>
      <c r="AC54" s="300"/>
      <c r="AD54" s="300"/>
      <c r="AE54" s="300"/>
    </row>
    <row r="55" spans="3:31" ht="18" customHeight="1" x14ac:dyDescent="0.25">
      <c r="C55" s="290" t="s">
        <v>364</v>
      </c>
      <c r="D55" s="291" t="s">
        <v>364</v>
      </c>
      <c r="Q55" s="300"/>
      <c r="R55" s="672"/>
      <c r="S55" s="300"/>
      <c r="T55" s="300"/>
      <c r="U55" s="300"/>
      <c r="V55" s="300"/>
      <c r="W55" s="300"/>
      <c r="X55" s="300"/>
      <c r="Y55" s="300"/>
      <c r="Z55" s="300"/>
      <c r="AA55" s="300"/>
      <c r="AB55" s="300"/>
      <c r="AC55" s="300"/>
      <c r="AD55" s="300"/>
      <c r="AE55" s="300"/>
    </row>
    <row r="56" spans="3:31" ht="18" customHeight="1" x14ac:dyDescent="0.25">
      <c r="C56" s="290" t="s">
        <v>365</v>
      </c>
      <c r="D56" s="291" t="s">
        <v>365</v>
      </c>
      <c r="Q56" s="300"/>
      <c r="R56" s="672"/>
      <c r="S56" s="300"/>
      <c r="T56" s="300"/>
      <c r="U56" s="300"/>
      <c r="V56" s="300"/>
      <c r="W56" s="300"/>
      <c r="X56" s="300"/>
      <c r="Y56" s="300"/>
      <c r="Z56" s="300"/>
      <c r="AA56" s="300"/>
      <c r="AB56" s="300"/>
      <c r="AC56" s="300"/>
      <c r="AD56" s="300"/>
      <c r="AE56" s="300"/>
    </row>
    <row r="57" spans="3:31" ht="18" customHeight="1" x14ac:dyDescent="0.25">
      <c r="C57" s="290" t="s">
        <v>366</v>
      </c>
      <c r="D57" s="291" t="s">
        <v>366</v>
      </c>
      <c r="Q57" s="300"/>
      <c r="R57" s="672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300"/>
      <c r="AE57" s="300"/>
    </row>
    <row r="58" spans="3:31" ht="18" customHeight="1" x14ac:dyDescent="0.25">
      <c r="C58" s="290" t="s">
        <v>367</v>
      </c>
      <c r="D58" s="291" t="s">
        <v>367</v>
      </c>
      <c r="Q58" s="300"/>
      <c r="R58" s="672"/>
      <c r="S58" s="300"/>
      <c r="T58" s="300"/>
      <c r="U58" s="300"/>
      <c r="V58" s="300"/>
      <c r="W58" s="300"/>
      <c r="X58" s="300"/>
      <c r="Y58" s="300"/>
      <c r="Z58" s="300"/>
      <c r="AA58" s="300"/>
      <c r="AB58" s="300"/>
      <c r="AC58" s="300"/>
      <c r="AD58" s="300"/>
      <c r="AE58" s="300"/>
    </row>
    <row r="59" spans="3:31" ht="18" customHeight="1" x14ac:dyDescent="0.25">
      <c r="C59" s="290" t="s">
        <v>368</v>
      </c>
      <c r="D59" s="291" t="s">
        <v>368</v>
      </c>
      <c r="Q59" s="371"/>
      <c r="R59" s="664"/>
      <c r="S59" s="371"/>
      <c r="T59" s="371"/>
      <c r="U59" s="371"/>
      <c r="V59" s="371"/>
      <c r="W59" s="371"/>
      <c r="X59" s="371"/>
      <c r="Y59" s="371"/>
      <c r="Z59" s="371"/>
      <c r="AA59" s="371"/>
      <c r="AB59" s="371"/>
      <c r="AC59" s="371"/>
      <c r="AD59" s="371"/>
      <c r="AE59" s="371"/>
    </row>
    <row r="60" spans="3:31" ht="18" customHeight="1" x14ac:dyDescent="0.25">
      <c r="C60" s="290" t="s">
        <v>369</v>
      </c>
      <c r="D60" s="291" t="s">
        <v>369</v>
      </c>
      <c r="Q60" s="371"/>
      <c r="R60" s="664"/>
      <c r="S60" s="371"/>
      <c r="T60" s="371"/>
      <c r="U60" s="371"/>
      <c r="V60" s="371"/>
      <c r="W60" s="371"/>
      <c r="X60" s="371"/>
      <c r="Y60" s="371"/>
      <c r="Z60" s="371"/>
      <c r="AA60" s="371"/>
      <c r="AB60" s="371"/>
      <c r="AC60" s="371"/>
      <c r="AD60" s="371"/>
      <c r="AE60" s="371"/>
    </row>
    <row r="61" spans="3:31" ht="18" customHeight="1" x14ac:dyDescent="0.25">
      <c r="R61" s="662"/>
      <c r="S61" s="657"/>
    </row>
  </sheetData>
  <dataValidations count="25">
    <dataValidation type="list" allowBlank="1" showInputMessage="1" showErrorMessage="1" sqref="A3" xr:uid="{7B028EC7-C449-48E4-B9EF-FD08ED68D48C}">
      <formula1>"ANALYSTS,PMS,EMP,EMP-PM,EMP-USE,AZAFAR"</formula1>
    </dataValidation>
    <dataValidation type="list" allowBlank="1" showInputMessage="1" showErrorMessage="1" sqref="E1:AE1" xr:uid="{7B1BBDAD-7E9E-41AB-B3F2-71F1ADACE4A2}">
      <formula1>"Q1,Q2,Q3,Q4,H1,H2,9M,FY,LTMQ1,LTMQ2,LTMQ3"</formula1>
    </dataValidation>
    <dataValidation type="list" allowBlank="1" showDropDown="1" showInputMessage="1" showErrorMessage="1" errorTitle="Value changed" error="Sorry, you channot change the value of this cell" sqref="D18" xr:uid="{7790693B-4E2B-4C30-BFEC-48C51815D977}">
      <formula1>"EQUITY"</formula1>
    </dataValidation>
    <dataValidation type="list" allowBlank="1" showDropDown="1" showInputMessage="1" showErrorMessage="1" errorTitle="Value changed" error="Sorry, you channot change the value of this cell" sqref="D17" xr:uid="{DFEE34D6-DDA1-41DB-BA9C-13192F816333}">
      <formula1>"NDXL"</formula1>
    </dataValidation>
    <dataValidation type="list" allowBlank="1" showDropDown="1" showInputMessage="1" showErrorMessage="1" errorTitle="Value changed" error="Sorry, you channot change the value of this cell" sqref="D16" xr:uid="{5DEFD9C5-0D07-4D63-BBE9-90392EA3CD0E}">
      <formula1>"ND"</formula1>
    </dataValidation>
    <dataValidation type="list" allowBlank="1" showDropDown="1" showInputMessage="1" showErrorMessage="1" errorTitle="Value changed" error="Sorry, you channot change the value of this cell" sqref="D15" xr:uid="{F29B8272-3427-4DFC-A675-BAC5A1AA58BD}">
      <formula1>"FCF"</formula1>
    </dataValidation>
    <dataValidation type="list" allowBlank="1" showDropDown="1" showInputMessage="1" showErrorMessage="1" errorTitle="Value changed" error="Sorry, you channot change the value of this cell" sqref="D14" xr:uid="{F4045645-6C10-4BB7-8274-2555453FAFE1}">
      <formula1>"DPS"</formula1>
    </dataValidation>
    <dataValidation type="list" allowBlank="1" showDropDown="1" showInputMessage="1" showErrorMessage="1" errorTitle="Value changed" error="Sorry, you channot change the value of this cell" sqref="D13" xr:uid="{F1FBFD43-4F98-40C1-B301-6414674F0F9D}">
      <formula1>"AEPS"</formula1>
    </dataValidation>
    <dataValidation type="list" allowBlank="1" showDropDown="1" showInputMessage="1" showErrorMessage="1" errorTitle="Value changed" error="Sorry, you channot change the value of this cell" sqref="D12" xr:uid="{62D02DC1-13D3-488E-8253-16D78AC00807}">
      <formula1>"EPS"</formula1>
    </dataValidation>
    <dataValidation type="list" allowBlank="1" showDropDown="1" showInputMessage="1" showErrorMessage="1" errorTitle="Value changed" error="Sorry, you channot change the value of this cell" sqref="D11" xr:uid="{47EA620F-183B-400A-A61F-27A69B9997C5}">
      <formula1>"WAS"</formula1>
    </dataValidation>
    <dataValidation type="list" allowBlank="1" showDropDown="1" showInputMessage="1" showErrorMessage="1" errorTitle="Value changed" error="Sorry, you channot change the value of this cell" sqref="D10" xr:uid="{39FED27B-174F-4734-8F1A-57BABDE28EBC}">
      <formula1>"PAT"</formula1>
    </dataValidation>
    <dataValidation type="list" allowBlank="1" showDropDown="1" showInputMessage="1" showErrorMessage="1" errorTitle="Value changed" error="Sorry, you channot change the value of this cell" sqref="D9" xr:uid="{AD6DCCBA-AD49-4B43-BBA0-526F312E7FBF}">
      <formula1>"PBT"</formula1>
    </dataValidation>
    <dataValidation type="list" allowBlank="1" showDropDown="1" showInputMessage="1" showErrorMessage="1" errorTitle="Value changed" error="Sorry, you channot change the value of this cell" sqref="D8" xr:uid="{ADC69815-5E30-471D-BC59-FB96B13610A5}">
      <formula1>"AEBIT"</formula1>
    </dataValidation>
    <dataValidation type="list" allowBlank="1" showDropDown="1" showInputMessage="1" showErrorMessage="1" errorTitle="Value changed" error="Sorry, you channot change the value of this cell" sqref="D7" xr:uid="{59523A25-702A-40DE-B072-DC567827537A}">
      <formula1>"EBIT"</formula1>
    </dataValidation>
    <dataValidation type="list" allowBlank="1" showDropDown="1" showInputMessage="1" showErrorMessage="1" errorTitle="Value changed" error="Sorry, you channot change the value of this cell" sqref="D6" xr:uid="{99930B45-AC0F-4DF4-AFB7-9B568F0811C6}">
      <formula1>"EBITDA"</formula1>
    </dataValidation>
    <dataValidation type="list" allowBlank="1" showDropDown="1" showInputMessage="1" showErrorMessage="1" errorTitle="Value changed" error="Sorry, you channot change the value of this cell" sqref="D5" xr:uid="{8B3CD39D-DD0D-4CF9-8960-8E711DE677A7}">
      <formula1>"GP"</formula1>
    </dataValidation>
    <dataValidation type="list" allowBlank="1" showDropDown="1" showInputMessage="1" showErrorMessage="1" errorTitle="Value changed" error="Sorry, you channot change the value of this cell" sqref="D4" xr:uid="{6D9F2CF0-042A-44DA-9458-C3584DD1781A}">
      <formula1>"SALES"</formula1>
    </dataValidation>
    <dataValidation type="list" allowBlank="1" showDropDown="1" showInputMessage="1" showErrorMessage="1" errorTitle="Value changed" error="Sorry, you channot change the value of this cell" sqref="D3" xr:uid="{03901494-4361-47AC-B5AA-AC2D05EAF422}">
      <formula1>"THESIS"</formula1>
    </dataValidation>
    <dataValidation type="list" allowBlank="1" showDropDown="1" showInputMessage="1" showErrorMessage="1" errorTitle="Value changed" error="Sorry, you channot change the value of this cell" sqref="D2" xr:uid="{BFD8E092-EE9A-475E-9339-A1E03A698AE5}">
      <formula1>"Metric name in MW database"</formula1>
    </dataValidation>
    <dataValidation type="list" allowBlank="1" showDropDown="1" showInputMessage="1" showErrorMessage="1" errorTitle="Value changed" error="Sorry, you channot change the value of this cell" sqref="D1" xr:uid="{FC6BBFF0-C5F4-4ADA-B05B-AD74EBF8A4A6}">
      <formula1>"Period"</formula1>
    </dataValidation>
    <dataValidation type="list" allowBlank="1" showDropDown="1" showInputMessage="1" showErrorMessage="1" errorTitle="Value changed" error="Sorry, you channot change the value of this cell" sqref="C2" xr:uid="{31527DC8-C09D-4121-AC13-64DA0D0CFE1E}">
      <formula1>"Full metric name in model"</formula1>
    </dataValidation>
    <dataValidation type="list" allowBlank="1" showDropDown="1" showInputMessage="1" showErrorMessage="1" errorTitle="Value changed" error="Sorry, you channot change the value of this cell" sqref="B5" xr:uid="{95BA8213-90DE-48ED-AF54-555AEFB0CBF0}">
      <formula1>"BBTicker"</formula1>
    </dataValidation>
    <dataValidation type="list" allowBlank="1" showDropDown="1" showInputMessage="1" showErrorMessage="1" errorTitle="Value changed" error="Sorry, you channot change the value of this cell" sqref="B2" xr:uid="{0F84FFDC-A0B1-4D06-9D4E-DE93C9BAC9E2}">
      <formula1>"SecurityID"</formula1>
    </dataValidation>
    <dataValidation type="list" allowBlank="1" showDropDown="1" showInputMessage="1" showErrorMessage="1" errorTitle="Value changed" error="Sorry, you channot change the value of this cell" sqref="A5" xr:uid="{2038FED7-053A-4742-9E95-9185C834E52A}">
      <formula1>"Company"</formula1>
    </dataValidation>
    <dataValidation type="list" allowBlank="1" showDropDown="1" showInputMessage="1" showErrorMessage="1" errorTitle="Value changed" error="Sorry, you channot change the value of this cell" sqref="A2" xr:uid="{D414E944-EA91-4492-9A09-2A9751D8ABD7}">
      <formula1>"Namespace"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EA4A2-5689-44F8-9500-4218D423CF62}">
  <dimension ref="A1:S93"/>
  <sheetViews>
    <sheetView workbookViewId="0"/>
  </sheetViews>
  <sheetFormatPr defaultColWidth="9.140625" defaultRowHeight="18" customHeight="1" outlineLevelRow="2" x14ac:dyDescent="0.25"/>
  <cols>
    <col min="1" max="1" width="9.140625" style="83"/>
    <col min="2" max="2" width="18.140625" style="83" customWidth="1"/>
    <col min="3" max="3" width="9.140625" style="83"/>
    <col min="4" max="10" width="11.7109375" style="83" customWidth="1"/>
    <col min="11" max="13" width="9.140625" style="83"/>
    <col min="14" max="14" width="18.85546875" style="83" customWidth="1"/>
    <col min="15" max="18" width="9.140625" style="83"/>
    <col min="19" max="19" width="27.42578125" style="83" customWidth="1"/>
    <col min="20" max="16384" width="9.140625" style="83"/>
  </cols>
  <sheetData>
    <row r="1" spans="1:19" ht="18" customHeight="1" x14ac:dyDescent="0.25">
      <c r="A1" s="673" t="s">
        <v>630</v>
      </c>
      <c r="B1" s="674"/>
      <c r="C1" s="674"/>
      <c r="D1" s="674"/>
      <c r="E1" s="674"/>
      <c r="F1" s="674"/>
      <c r="G1" s="674"/>
      <c r="S1" s="83" t="s">
        <v>17</v>
      </c>
    </row>
    <row r="2" spans="1:19" ht="18" customHeight="1" x14ac:dyDescent="0.25">
      <c r="B2" s="82" t="s">
        <v>419</v>
      </c>
      <c r="C2" s="92" t="s">
        <v>240</v>
      </c>
      <c r="E2" s="84"/>
      <c r="F2" s="85" t="s">
        <v>21</v>
      </c>
      <c r="G2" s="85" t="s">
        <v>23</v>
      </c>
      <c r="H2" s="86" t="s">
        <v>24</v>
      </c>
      <c r="I2" s="86" t="s">
        <v>24</v>
      </c>
      <c r="J2" s="85" t="s">
        <v>26</v>
      </c>
      <c r="S2" s="83" t="s">
        <v>200</v>
      </c>
    </row>
    <row r="3" spans="1:19" ht="18" customHeight="1" x14ac:dyDescent="0.25">
      <c r="E3" s="87" t="s">
        <v>20</v>
      </c>
      <c r="F3" s="85" t="s">
        <v>22</v>
      </c>
      <c r="G3" s="85" t="s">
        <v>20</v>
      </c>
      <c r="H3" s="86" t="s">
        <v>25</v>
      </c>
      <c r="I3" s="86" t="s">
        <v>33</v>
      </c>
      <c r="J3" s="85" t="s">
        <v>20</v>
      </c>
      <c r="S3" s="83" t="s">
        <v>18</v>
      </c>
    </row>
    <row r="4" spans="1:19" ht="6" customHeight="1" x14ac:dyDescent="0.25">
      <c r="B4" s="88"/>
      <c r="C4" s="88"/>
      <c r="D4" s="88"/>
      <c r="E4" s="89"/>
      <c r="F4" s="88"/>
      <c r="G4" s="88"/>
      <c r="H4" s="88"/>
      <c r="I4" s="88"/>
      <c r="J4" s="88"/>
    </row>
    <row r="5" spans="1:19" ht="18" customHeight="1" x14ac:dyDescent="0.25">
      <c r="B5" s="83" t="s">
        <v>12</v>
      </c>
      <c r="E5" s="119">
        <v>0</v>
      </c>
      <c r="F5" s="90">
        <v>0.02</v>
      </c>
      <c r="G5" s="91">
        <f>E5*F5</f>
        <v>0</v>
      </c>
      <c r="J5" s="92">
        <v>850</v>
      </c>
    </row>
    <row r="6" spans="1:19" ht="18" customHeight="1" x14ac:dyDescent="0.25">
      <c r="B6" s="83" t="s">
        <v>241</v>
      </c>
      <c r="E6" s="119">
        <v>305</v>
      </c>
      <c r="F6" s="90">
        <v>0.02</v>
      </c>
      <c r="G6" s="91">
        <f t="shared" ref="G6:G74" si="0">E6*F6</f>
        <v>6.1000000000000005</v>
      </c>
    </row>
    <row r="7" spans="1:19" ht="18" customHeight="1" x14ac:dyDescent="0.25">
      <c r="B7" s="83" t="s">
        <v>242</v>
      </c>
      <c r="E7" s="119">
        <v>350</v>
      </c>
      <c r="F7" s="90">
        <v>3.2899999999999999E-2</v>
      </c>
      <c r="G7" s="91">
        <f t="shared" si="0"/>
        <v>11.514999999999999</v>
      </c>
    </row>
    <row r="8" spans="1:19" ht="18" customHeight="1" x14ac:dyDescent="0.25">
      <c r="B8" s="83" t="s">
        <v>243</v>
      </c>
      <c r="E8" s="119">
        <v>500</v>
      </c>
      <c r="F8" s="90">
        <v>4.2000000000000003E-2</v>
      </c>
      <c r="G8" s="91">
        <f t="shared" ref="G8:G23" si="1">E8*F8</f>
        <v>21</v>
      </c>
    </row>
    <row r="9" spans="1:19" ht="18" hidden="1" customHeight="1" outlineLevel="1" x14ac:dyDescent="0.25">
      <c r="E9" s="119">
        <v>0</v>
      </c>
      <c r="F9" s="90">
        <v>8.6249999999999993E-2</v>
      </c>
      <c r="G9" s="91">
        <f t="shared" si="1"/>
        <v>0</v>
      </c>
    </row>
    <row r="10" spans="1:19" ht="18" hidden="1" customHeight="1" outlineLevel="1" x14ac:dyDescent="0.25">
      <c r="E10" s="119">
        <v>0</v>
      </c>
      <c r="F10" s="90">
        <v>8.1000000000000003E-2</v>
      </c>
      <c r="G10" s="91">
        <f t="shared" si="1"/>
        <v>0</v>
      </c>
    </row>
    <row r="11" spans="1:19" ht="18" hidden="1" customHeight="1" outlineLevel="1" x14ac:dyDescent="0.25">
      <c r="E11" s="119">
        <v>0</v>
      </c>
      <c r="F11" s="90">
        <v>6.2509999999999996E-2</v>
      </c>
      <c r="G11" s="91">
        <f t="shared" si="1"/>
        <v>0</v>
      </c>
    </row>
    <row r="12" spans="1:19" ht="18" hidden="1" customHeight="1" outlineLevel="1" x14ac:dyDescent="0.25">
      <c r="E12" s="119">
        <v>0</v>
      </c>
      <c r="F12" s="90">
        <v>3.4000000000000002E-2</v>
      </c>
      <c r="G12" s="91">
        <f t="shared" si="1"/>
        <v>0</v>
      </c>
    </row>
    <row r="13" spans="1:19" ht="18" hidden="1" customHeight="1" outlineLevel="1" x14ac:dyDescent="0.25">
      <c r="E13" s="119">
        <v>0</v>
      </c>
      <c r="F13" s="90">
        <v>3.3500000000000002E-2</v>
      </c>
      <c r="G13" s="91">
        <f t="shared" si="1"/>
        <v>0</v>
      </c>
    </row>
    <row r="14" spans="1:19" ht="18" hidden="1" customHeight="1" outlineLevel="2" x14ac:dyDescent="0.25">
      <c r="E14" s="119">
        <v>0</v>
      </c>
      <c r="F14" s="90">
        <v>2.5999999999999999E-2</v>
      </c>
      <c r="G14" s="91">
        <f t="shared" si="1"/>
        <v>0</v>
      </c>
      <c r="K14" s="92"/>
      <c r="L14" s="91"/>
    </row>
    <row r="15" spans="1:19" ht="18" hidden="1" customHeight="1" outlineLevel="1" x14ac:dyDescent="0.25">
      <c r="E15" s="119">
        <v>0</v>
      </c>
      <c r="F15" s="90">
        <v>7.2499999999999995E-2</v>
      </c>
      <c r="G15" s="91">
        <f t="shared" si="1"/>
        <v>0</v>
      </c>
      <c r="K15" s="92"/>
      <c r="L15" s="91"/>
    </row>
    <row r="16" spans="1:19" ht="18" hidden="1" customHeight="1" outlineLevel="1" x14ac:dyDescent="0.25">
      <c r="E16" s="119">
        <v>0</v>
      </c>
      <c r="F16" s="90">
        <v>7.9500000000000001E-2</v>
      </c>
      <c r="G16" s="91">
        <f t="shared" si="1"/>
        <v>0</v>
      </c>
      <c r="K16" s="92"/>
      <c r="L16" s="91"/>
    </row>
    <row r="17" spans="5:12" ht="18" hidden="1" customHeight="1" outlineLevel="1" x14ac:dyDescent="0.25">
      <c r="E17" s="119">
        <v>0</v>
      </c>
      <c r="F17" s="90">
        <v>3.2500000000000001E-2</v>
      </c>
      <c r="G17" s="91">
        <f t="shared" si="1"/>
        <v>0</v>
      </c>
      <c r="K17" s="92"/>
      <c r="L17" s="91"/>
    </row>
    <row r="18" spans="5:12" ht="18" hidden="1" customHeight="1" outlineLevel="1" x14ac:dyDescent="0.25">
      <c r="E18" s="119">
        <v>0</v>
      </c>
      <c r="F18" s="90">
        <v>3.7999999999999999E-2</v>
      </c>
      <c r="G18" s="91">
        <f t="shared" si="1"/>
        <v>0</v>
      </c>
      <c r="K18" s="92"/>
      <c r="L18" s="91"/>
    </row>
    <row r="19" spans="5:12" ht="18" hidden="1" customHeight="1" outlineLevel="1" x14ac:dyDescent="0.25">
      <c r="E19" s="119">
        <v>0</v>
      </c>
      <c r="F19" s="90">
        <v>6.8000000000000005E-2</v>
      </c>
      <c r="G19" s="91">
        <f t="shared" si="1"/>
        <v>0</v>
      </c>
      <c r="K19" s="92"/>
      <c r="L19" s="91"/>
    </row>
    <row r="20" spans="5:12" ht="18" hidden="1" customHeight="1" outlineLevel="1" x14ac:dyDescent="0.25">
      <c r="E20" s="119">
        <v>0</v>
      </c>
      <c r="F20" s="90">
        <v>4.2500000000000003E-2</v>
      </c>
      <c r="G20" s="91">
        <f t="shared" si="1"/>
        <v>0</v>
      </c>
      <c r="K20" s="92"/>
      <c r="L20" s="91"/>
    </row>
    <row r="21" spans="5:12" ht="18" hidden="1" customHeight="1" outlineLevel="1" x14ac:dyDescent="0.25">
      <c r="E21" s="119">
        <v>0</v>
      </c>
      <c r="F21" s="90">
        <v>2.4E-2</v>
      </c>
      <c r="G21" s="91">
        <f t="shared" si="1"/>
        <v>0</v>
      </c>
      <c r="K21" s="92"/>
      <c r="L21" s="91"/>
    </row>
    <row r="22" spans="5:12" ht="18" hidden="1" customHeight="1" outlineLevel="1" x14ac:dyDescent="0.25">
      <c r="E22" s="119">
        <v>0</v>
      </c>
      <c r="F22" s="90">
        <v>0.06</v>
      </c>
      <c r="G22" s="91">
        <f t="shared" si="1"/>
        <v>0</v>
      </c>
      <c r="K22" s="92"/>
      <c r="L22" s="91"/>
    </row>
    <row r="23" spans="5:12" ht="18" hidden="1" customHeight="1" outlineLevel="1" x14ac:dyDescent="0.25">
      <c r="E23" s="119">
        <v>0</v>
      </c>
      <c r="F23" s="90">
        <v>6.1499999999999999E-2</v>
      </c>
      <c r="G23" s="91">
        <f t="shared" si="1"/>
        <v>0</v>
      </c>
      <c r="K23" s="92"/>
      <c r="L23" s="91"/>
    </row>
    <row r="24" spans="5:12" ht="18" hidden="1" customHeight="1" outlineLevel="1" x14ac:dyDescent="0.25">
      <c r="E24" s="119">
        <v>0</v>
      </c>
      <c r="F24" s="90">
        <v>7.4499999999999997E-2</v>
      </c>
      <c r="G24" s="91">
        <f t="shared" ref="G24:G41" si="2">E24*F24</f>
        <v>0</v>
      </c>
      <c r="K24" s="92"/>
      <c r="L24" s="91"/>
    </row>
    <row r="25" spans="5:12" ht="18" hidden="1" customHeight="1" outlineLevel="1" x14ac:dyDescent="0.25">
      <c r="E25" s="119">
        <v>0</v>
      </c>
      <c r="F25" s="90">
        <v>6.2199999999999998E-2</v>
      </c>
      <c r="G25" s="91">
        <f t="shared" si="2"/>
        <v>0</v>
      </c>
      <c r="K25" s="92"/>
      <c r="L25" s="91"/>
    </row>
    <row r="26" spans="5:12" ht="18" hidden="1" customHeight="1" outlineLevel="1" x14ac:dyDescent="0.25">
      <c r="E26" s="119">
        <v>0</v>
      </c>
      <c r="F26" s="90">
        <v>5.5E-2</v>
      </c>
      <c r="G26" s="91">
        <f t="shared" si="2"/>
        <v>0</v>
      </c>
      <c r="K26" s="92"/>
      <c r="L26" s="91"/>
    </row>
    <row r="27" spans="5:12" ht="18" hidden="1" customHeight="1" outlineLevel="1" x14ac:dyDescent="0.25">
      <c r="E27" s="119">
        <v>0</v>
      </c>
      <c r="F27" s="90">
        <v>4.7500000000000001E-2</v>
      </c>
      <c r="G27" s="91">
        <f t="shared" si="2"/>
        <v>0</v>
      </c>
      <c r="K27" s="92"/>
      <c r="L27" s="91"/>
    </row>
    <row r="28" spans="5:12" ht="18" hidden="1" customHeight="1" outlineLevel="1" x14ac:dyDescent="0.25">
      <c r="E28" s="119">
        <v>0</v>
      </c>
      <c r="F28" s="90">
        <v>4.3999999999999997E-2</v>
      </c>
      <c r="G28" s="91">
        <f t="shared" si="2"/>
        <v>0</v>
      </c>
      <c r="K28" s="92"/>
      <c r="L28" s="91"/>
    </row>
    <row r="29" spans="5:12" ht="18" hidden="1" customHeight="1" outlineLevel="1" x14ac:dyDescent="0.25">
      <c r="E29" s="119">
        <v>0</v>
      </c>
      <c r="F29" s="90">
        <v>7.8750000000000001E-2</v>
      </c>
      <c r="G29" s="91">
        <f t="shared" si="2"/>
        <v>0</v>
      </c>
      <c r="K29" s="92"/>
      <c r="L29" s="91"/>
    </row>
    <row r="30" spans="5:12" ht="18" hidden="1" customHeight="1" outlineLevel="2" x14ac:dyDescent="0.25">
      <c r="E30" s="119">
        <v>0</v>
      </c>
      <c r="F30" s="90">
        <v>4.1000000000000002E-2</v>
      </c>
      <c r="G30" s="91">
        <f t="shared" si="2"/>
        <v>0</v>
      </c>
      <c r="K30" s="92"/>
      <c r="L30" s="91"/>
    </row>
    <row r="31" spans="5:12" ht="18" hidden="1" customHeight="1" outlineLevel="1" x14ac:dyDescent="0.25">
      <c r="E31" s="119">
        <v>0</v>
      </c>
      <c r="F31" s="90">
        <v>3.7999999999999999E-2</v>
      </c>
      <c r="G31" s="91">
        <f t="shared" si="2"/>
        <v>0</v>
      </c>
      <c r="K31" s="92"/>
      <c r="L31" s="91"/>
    </row>
    <row r="32" spans="5:12" ht="18" hidden="1" customHeight="1" outlineLevel="1" x14ac:dyDescent="0.25">
      <c r="E32" s="119">
        <v>0</v>
      </c>
      <c r="F32" s="90">
        <v>4.2999999999999997E-2</v>
      </c>
      <c r="G32" s="91">
        <f t="shared" si="2"/>
        <v>0</v>
      </c>
      <c r="K32" s="92"/>
      <c r="L32" s="91"/>
    </row>
    <row r="33" spans="5:12" ht="18" hidden="1" customHeight="1" outlineLevel="1" x14ac:dyDescent="0.25">
      <c r="E33" s="119">
        <v>0</v>
      </c>
      <c r="F33" s="90">
        <v>4.7500000000000001E-2</v>
      </c>
      <c r="G33" s="91">
        <f t="shared" si="2"/>
        <v>0</v>
      </c>
      <c r="K33" s="92"/>
      <c r="L33" s="91"/>
    </row>
    <row r="34" spans="5:12" ht="18" hidden="1" customHeight="1" outlineLevel="1" x14ac:dyDescent="0.25">
      <c r="E34" s="119">
        <v>0</v>
      </c>
      <c r="F34" s="90">
        <v>4.4999999999999998E-2</v>
      </c>
      <c r="G34" s="91">
        <f t="shared" si="2"/>
        <v>0</v>
      </c>
      <c r="K34" s="92"/>
      <c r="L34" s="91"/>
    </row>
    <row r="35" spans="5:12" ht="18" hidden="1" customHeight="1" outlineLevel="1" x14ac:dyDescent="0.25">
      <c r="E35" s="119">
        <v>0</v>
      </c>
      <c r="F35" s="90">
        <v>3.3500000000000002E-2</v>
      </c>
      <c r="G35" s="91">
        <f t="shared" si="2"/>
        <v>0</v>
      </c>
      <c r="K35" s="92"/>
      <c r="L35" s="91"/>
    </row>
    <row r="36" spans="5:12" ht="18" hidden="1" customHeight="1" outlineLevel="1" x14ac:dyDescent="0.25">
      <c r="E36" s="119">
        <v>0</v>
      </c>
      <c r="F36" s="90">
        <v>3.7999999999999999E-2</v>
      </c>
      <c r="G36" s="91">
        <f t="shared" si="2"/>
        <v>0</v>
      </c>
      <c r="K36" s="92"/>
      <c r="L36" s="91"/>
    </row>
    <row r="37" spans="5:12" ht="18" hidden="1" customHeight="1" outlineLevel="1" x14ac:dyDescent="0.25">
      <c r="E37" s="119">
        <v>0</v>
      </c>
      <c r="F37" s="90">
        <v>3.95E-2</v>
      </c>
      <c r="G37" s="91">
        <f t="shared" si="2"/>
        <v>0</v>
      </c>
      <c r="K37" s="92"/>
      <c r="L37" s="91"/>
    </row>
    <row r="38" spans="5:12" ht="18" hidden="1" customHeight="1" outlineLevel="1" x14ac:dyDescent="0.25">
      <c r="E38" s="119">
        <v>0</v>
      </c>
      <c r="F38" s="90">
        <v>2.5000000000000001E-2</v>
      </c>
      <c r="G38" s="91">
        <f t="shared" si="2"/>
        <v>0</v>
      </c>
      <c r="K38" s="92"/>
      <c r="L38" s="91"/>
    </row>
    <row r="39" spans="5:12" ht="18" hidden="1" customHeight="1" outlineLevel="1" x14ac:dyDescent="0.25">
      <c r="E39" s="119">
        <v>0</v>
      </c>
      <c r="F39" s="90">
        <v>4.4999999999999998E-2</v>
      </c>
      <c r="G39" s="91">
        <f t="shared" si="2"/>
        <v>0</v>
      </c>
      <c r="K39" s="92"/>
      <c r="L39" s="91"/>
    </row>
    <row r="40" spans="5:12" ht="18" hidden="1" customHeight="1" outlineLevel="1" x14ac:dyDescent="0.25">
      <c r="E40" s="119">
        <v>0</v>
      </c>
      <c r="F40" s="90">
        <v>4.2500000000000003E-2</v>
      </c>
      <c r="G40" s="91">
        <f t="shared" si="2"/>
        <v>0</v>
      </c>
      <c r="K40" s="92"/>
      <c r="L40" s="91"/>
    </row>
    <row r="41" spans="5:12" ht="18" hidden="1" customHeight="1" outlineLevel="1" x14ac:dyDescent="0.25">
      <c r="E41" s="119">
        <v>0</v>
      </c>
      <c r="F41" s="90">
        <v>4.65E-2</v>
      </c>
      <c r="G41" s="91">
        <f t="shared" si="2"/>
        <v>0</v>
      </c>
      <c r="K41" s="92"/>
      <c r="L41" s="91"/>
    </row>
    <row r="42" spans="5:12" ht="18" hidden="1" customHeight="1" outlineLevel="1" x14ac:dyDescent="0.25">
      <c r="E42" s="119"/>
      <c r="F42" s="90"/>
      <c r="G42" s="91"/>
      <c r="K42" s="92"/>
      <c r="L42" s="91"/>
    </row>
    <row r="43" spans="5:12" ht="18" hidden="1" customHeight="1" outlineLevel="1" x14ac:dyDescent="0.25">
      <c r="E43" s="119"/>
      <c r="F43" s="90"/>
      <c r="G43" s="91"/>
      <c r="K43" s="92"/>
      <c r="L43" s="91"/>
    </row>
    <row r="44" spans="5:12" ht="18" hidden="1" customHeight="1" outlineLevel="1" x14ac:dyDescent="0.25">
      <c r="E44" s="119"/>
      <c r="F44" s="90"/>
      <c r="G44" s="91"/>
      <c r="K44" s="92"/>
      <c r="L44" s="91"/>
    </row>
    <row r="45" spans="5:12" ht="18" hidden="1" customHeight="1" outlineLevel="1" x14ac:dyDescent="0.25">
      <c r="E45" s="119"/>
      <c r="F45" s="90"/>
      <c r="G45" s="91"/>
    </row>
    <row r="46" spans="5:12" ht="18" hidden="1" customHeight="1" outlineLevel="1" x14ac:dyDescent="0.25">
      <c r="E46" s="119"/>
      <c r="F46" s="90"/>
      <c r="G46" s="91"/>
    </row>
    <row r="47" spans="5:12" ht="18" hidden="1" customHeight="1" outlineLevel="1" x14ac:dyDescent="0.25">
      <c r="E47" s="119"/>
      <c r="F47" s="90"/>
      <c r="G47" s="91"/>
    </row>
    <row r="48" spans="5:12" ht="18" hidden="1" customHeight="1" outlineLevel="1" x14ac:dyDescent="0.25">
      <c r="E48" s="119"/>
      <c r="F48" s="90"/>
      <c r="G48" s="91"/>
    </row>
    <row r="49" spans="5:7" ht="18" hidden="1" customHeight="1" outlineLevel="1" x14ac:dyDescent="0.25">
      <c r="E49" s="119"/>
      <c r="F49" s="90"/>
      <c r="G49" s="91"/>
    </row>
    <row r="50" spans="5:7" ht="18" hidden="1" customHeight="1" outlineLevel="1" x14ac:dyDescent="0.25">
      <c r="E50" s="119"/>
      <c r="F50" s="90"/>
      <c r="G50" s="91"/>
    </row>
    <row r="51" spans="5:7" ht="18" hidden="1" customHeight="1" outlineLevel="1" x14ac:dyDescent="0.25">
      <c r="E51" s="119"/>
      <c r="F51" s="90"/>
      <c r="G51" s="91"/>
    </row>
    <row r="52" spans="5:7" ht="18" hidden="1" customHeight="1" outlineLevel="1" x14ac:dyDescent="0.25">
      <c r="E52" s="119"/>
      <c r="F52" s="90"/>
      <c r="G52" s="91"/>
    </row>
    <row r="53" spans="5:7" ht="18" hidden="1" customHeight="1" outlineLevel="1" x14ac:dyDescent="0.25">
      <c r="E53" s="119"/>
      <c r="F53" s="90"/>
      <c r="G53" s="91"/>
    </row>
    <row r="54" spans="5:7" ht="18" hidden="1" customHeight="1" outlineLevel="1" x14ac:dyDescent="0.25">
      <c r="E54" s="119"/>
      <c r="F54" s="90"/>
      <c r="G54" s="91"/>
    </row>
    <row r="55" spans="5:7" ht="18" hidden="1" customHeight="1" outlineLevel="1" x14ac:dyDescent="0.25">
      <c r="E55" s="119"/>
      <c r="F55" s="90"/>
      <c r="G55" s="91"/>
    </row>
    <row r="56" spans="5:7" ht="18" hidden="1" customHeight="1" outlineLevel="1" x14ac:dyDescent="0.25">
      <c r="E56" s="119"/>
      <c r="F56" s="90"/>
      <c r="G56" s="91"/>
    </row>
    <row r="57" spans="5:7" ht="18" hidden="1" customHeight="1" outlineLevel="1" x14ac:dyDescent="0.25">
      <c r="E57" s="119"/>
      <c r="F57" s="90"/>
      <c r="G57" s="91"/>
    </row>
    <row r="58" spans="5:7" ht="18" hidden="1" customHeight="1" outlineLevel="1" x14ac:dyDescent="0.25">
      <c r="E58" s="119"/>
      <c r="F58" s="90"/>
      <c r="G58" s="91"/>
    </row>
    <row r="59" spans="5:7" ht="18" hidden="1" customHeight="1" outlineLevel="1" x14ac:dyDescent="0.25">
      <c r="E59" s="119"/>
      <c r="F59" s="90"/>
      <c r="G59" s="91"/>
    </row>
    <row r="60" spans="5:7" ht="18" hidden="1" customHeight="1" outlineLevel="1" x14ac:dyDescent="0.25">
      <c r="E60" s="119"/>
      <c r="F60" s="90"/>
      <c r="G60" s="91"/>
    </row>
    <row r="61" spans="5:7" ht="18" hidden="1" customHeight="1" outlineLevel="1" x14ac:dyDescent="0.25">
      <c r="E61" s="119"/>
      <c r="F61" s="90"/>
      <c r="G61" s="91"/>
    </row>
    <row r="62" spans="5:7" ht="18" hidden="1" customHeight="1" outlineLevel="1" x14ac:dyDescent="0.25">
      <c r="E62" s="119"/>
      <c r="F62" s="90"/>
      <c r="G62" s="91"/>
    </row>
    <row r="63" spans="5:7" ht="18" hidden="1" customHeight="1" outlineLevel="1" x14ac:dyDescent="0.25">
      <c r="E63" s="119"/>
      <c r="F63" s="90"/>
      <c r="G63" s="91"/>
    </row>
    <row r="64" spans="5:7" ht="18" hidden="1" customHeight="1" outlineLevel="1" x14ac:dyDescent="0.25">
      <c r="E64" s="119"/>
      <c r="F64" s="90"/>
      <c r="G64" s="91"/>
    </row>
    <row r="65" spans="2:10" ht="18" hidden="1" customHeight="1" outlineLevel="1" x14ac:dyDescent="0.25">
      <c r="E65" s="119"/>
      <c r="F65" s="90"/>
      <c r="G65" s="91"/>
    </row>
    <row r="66" spans="2:10" ht="18" hidden="1" customHeight="1" outlineLevel="1" x14ac:dyDescent="0.25">
      <c r="E66" s="119"/>
      <c r="F66" s="90"/>
      <c r="G66" s="91"/>
    </row>
    <row r="67" spans="2:10" ht="18" hidden="1" customHeight="1" outlineLevel="1" x14ac:dyDescent="0.25">
      <c r="E67" s="119"/>
      <c r="F67" s="90"/>
      <c r="G67" s="91"/>
    </row>
    <row r="68" spans="2:10" ht="18" hidden="1" customHeight="1" outlineLevel="1" x14ac:dyDescent="0.25">
      <c r="E68" s="119"/>
      <c r="F68" s="90"/>
      <c r="G68" s="91"/>
    </row>
    <row r="69" spans="2:10" ht="18" hidden="1" customHeight="1" outlineLevel="1" x14ac:dyDescent="0.25">
      <c r="E69" s="119"/>
      <c r="F69" s="90"/>
      <c r="G69" s="91"/>
    </row>
    <row r="70" spans="2:10" ht="18" hidden="1" customHeight="1" outlineLevel="1" x14ac:dyDescent="0.25">
      <c r="E70" s="119"/>
      <c r="F70" s="90"/>
      <c r="G70" s="91"/>
    </row>
    <row r="71" spans="2:10" ht="18" hidden="1" customHeight="1" outlineLevel="1" x14ac:dyDescent="0.25">
      <c r="E71" s="119"/>
      <c r="F71" s="90"/>
      <c r="G71" s="91"/>
    </row>
    <row r="72" spans="2:10" ht="18" hidden="1" customHeight="1" outlineLevel="1" x14ac:dyDescent="0.25">
      <c r="E72" s="119"/>
      <c r="F72" s="90"/>
      <c r="G72" s="91"/>
    </row>
    <row r="73" spans="2:10" ht="18" hidden="1" customHeight="1" outlineLevel="1" x14ac:dyDescent="0.25">
      <c r="E73" s="119"/>
      <c r="F73" s="90"/>
      <c r="G73" s="91"/>
    </row>
    <row r="74" spans="2:10" ht="18" customHeight="1" collapsed="1" x14ac:dyDescent="0.25">
      <c r="B74" s="83" t="s">
        <v>244</v>
      </c>
      <c r="E74" s="119">
        <v>3.097</v>
      </c>
      <c r="F74" s="90">
        <v>0.02</v>
      </c>
      <c r="G74" s="91">
        <f t="shared" si="0"/>
        <v>6.1940000000000002E-2</v>
      </c>
    </row>
    <row r="75" spans="2:10" ht="18" customHeight="1" x14ac:dyDescent="0.25">
      <c r="B75" s="94" t="s">
        <v>14</v>
      </c>
      <c r="C75" s="94"/>
      <c r="D75" s="94"/>
      <c r="E75" s="102">
        <f>SUM(E5:E74)</f>
        <v>1158.097</v>
      </c>
      <c r="F75" s="94"/>
      <c r="G75" s="152">
        <f>SUM(G5:G74)</f>
        <v>38.676939999999995</v>
      </c>
      <c r="H75" s="152" t="e">
        <f ca="1">$E75/$E$88</f>
        <v>#NAME?</v>
      </c>
      <c r="I75" s="152" t="e">
        <f ca="1">$E75/$E$89</f>
        <v>#NAME?</v>
      </c>
      <c r="J75" s="94"/>
    </row>
    <row r="76" spans="2:10" ht="18" customHeight="1" x14ac:dyDescent="0.25">
      <c r="B76" s="83" t="s">
        <v>193</v>
      </c>
      <c r="C76" s="169"/>
      <c r="D76" s="169"/>
      <c r="E76" s="119">
        <v>0</v>
      </c>
      <c r="F76" s="169"/>
      <c r="G76" s="170"/>
      <c r="H76" s="170"/>
      <c r="I76" s="170"/>
      <c r="J76" s="169"/>
    </row>
    <row r="77" spans="2:10" ht="18" customHeight="1" x14ac:dyDescent="0.25">
      <c r="B77" s="83" t="s">
        <v>15</v>
      </c>
      <c r="E77" s="119">
        <f>-32.398</f>
        <v>-32.398000000000003</v>
      </c>
      <c r="H77" s="91"/>
      <c r="I77" s="91"/>
    </row>
    <row r="78" spans="2:10" ht="18" customHeight="1" x14ac:dyDescent="0.25">
      <c r="B78" s="94" t="s">
        <v>27</v>
      </c>
      <c r="C78" s="94"/>
      <c r="D78" s="94"/>
      <c r="E78" s="102">
        <f>E75+E77+E76</f>
        <v>1125.6990000000001</v>
      </c>
      <c r="F78" s="94"/>
      <c r="G78" s="94"/>
      <c r="H78" s="93" t="e">
        <f ca="1">$E78/$E$88</f>
        <v>#NAME?</v>
      </c>
      <c r="I78" s="93" t="e">
        <f ca="1">$E78/$E$89</f>
        <v>#NAME?</v>
      </c>
      <c r="J78" s="94"/>
    </row>
    <row r="79" spans="2:10" ht="6" customHeight="1" x14ac:dyDescent="0.25">
      <c r="E79" s="95"/>
      <c r="H79" s="91"/>
      <c r="I79" s="91"/>
    </row>
    <row r="80" spans="2:10" ht="18" customHeight="1" x14ac:dyDescent="0.25">
      <c r="B80" s="83" t="s">
        <v>10</v>
      </c>
      <c r="E80" s="96">
        <v>60.3</v>
      </c>
      <c r="H80" s="91"/>
      <c r="I80" s="91"/>
    </row>
    <row r="81" spans="2:10" ht="18" customHeight="1" x14ac:dyDescent="0.25">
      <c r="B81" s="83" t="s">
        <v>28</v>
      </c>
      <c r="E81" s="190" t="e" cm="1">
        <f t="array" aca="1" ref="E81" ca="1">_xll.BDP("kex us equity","px_last")</f>
        <v>#NAME?</v>
      </c>
      <c r="H81" s="91"/>
      <c r="I81" s="91"/>
    </row>
    <row r="82" spans="2:10" ht="18" customHeight="1" x14ac:dyDescent="0.25">
      <c r="B82" s="94" t="s">
        <v>29</v>
      </c>
      <c r="C82" s="94"/>
      <c r="D82" s="94"/>
      <c r="E82" s="102" t="e">
        <f ca="1">E80*E81</f>
        <v>#NAME?</v>
      </c>
      <c r="F82" s="94"/>
      <c r="G82" s="94"/>
      <c r="H82" s="93" t="e">
        <f ca="1">$E82/$E$88</f>
        <v>#NAME?</v>
      </c>
      <c r="I82" s="93" t="e">
        <f ca="1">$E82/$E$89</f>
        <v>#NAME?</v>
      </c>
      <c r="J82" s="94"/>
    </row>
    <row r="83" spans="2:10" ht="6" customHeight="1" x14ac:dyDescent="0.25">
      <c r="E83" s="95"/>
      <c r="H83" s="91"/>
      <c r="I83" s="91"/>
    </row>
    <row r="84" spans="2:10" ht="18" customHeight="1" x14ac:dyDescent="0.25">
      <c r="B84" s="97" t="s">
        <v>30</v>
      </c>
      <c r="C84" s="97"/>
      <c r="D84" s="97"/>
      <c r="E84" s="103" t="e">
        <f ca="1">E82+E78</f>
        <v>#NAME?</v>
      </c>
      <c r="F84" s="97"/>
      <c r="G84" s="97"/>
      <c r="H84" s="98" t="e">
        <f ca="1">$E84/$E$88</f>
        <v>#NAME?</v>
      </c>
      <c r="I84" s="98" t="e">
        <f ca="1">$E84/$E$89</f>
        <v>#NAME?</v>
      </c>
      <c r="J84" s="97"/>
    </row>
    <row r="85" spans="2:10" ht="6" customHeight="1" x14ac:dyDescent="0.25">
      <c r="E85" s="95"/>
    </row>
    <row r="86" spans="2:10" ht="18" customHeight="1" x14ac:dyDescent="0.25">
      <c r="E86" s="95"/>
    </row>
    <row r="87" spans="2:10" ht="18" customHeight="1" x14ac:dyDescent="0.25">
      <c r="D87" s="99"/>
      <c r="E87" s="131" t="s">
        <v>31</v>
      </c>
      <c r="H87" s="92"/>
    </row>
    <row r="88" spans="2:10" ht="18" customHeight="1" x14ac:dyDescent="0.25">
      <c r="B88" s="83" t="s">
        <v>16</v>
      </c>
      <c r="D88" s="100">
        <f>Model!AL35</f>
        <v>7904</v>
      </c>
      <c r="E88" s="132" t="e">
        <f ca="1">'Relative to Street'!R18</f>
        <v>#NAME?</v>
      </c>
      <c r="F88" s="117"/>
      <c r="G88" s="92"/>
      <c r="H88" s="92" t="s">
        <v>144</v>
      </c>
    </row>
    <row r="89" spans="2:10" ht="18" customHeight="1" x14ac:dyDescent="0.25">
      <c r="B89" s="83" t="s">
        <v>32</v>
      </c>
      <c r="D89" s="100">
        <f>Model!AR35</f>
        <v>12966</v>
      </c>
      <c r="E89" s="132" t="e">
        <f ca="1">'Relative to Street'!S18</f>
        <v>#NAME?</v>
      </c>
      <c r="F89" s="117" t="e">
        <f ca="1">E89/E88-1</f>
        <v>#NAME?</v>
      </c>
      <c r="G89" s="92"/>
      <c r="H89" s="92" t="s">
        <v>145</v>
      </c>
    </row>
    <row r="90" spans="2:10" ht="18" customHeight="1" x14ac:dyDescent="0.25">
      <c r="B90" s="83" t="s">
        <v>19</v>
      </c>
      <c r="D90" s="101">
        <f>Model!AL162/Model!AL81</f>
        <v>14.646957587759625</v>
      </c>
      <c r="E90" s="133" t="e">
        <f ca="1">'Relative to Street'!R47</f>
        <v>#NAME?</v>
      </c>
      <c r="F90" s="91" t="e">
        <f t="shared" ref="F90:F91" ca="1" si="3">$E$80/E90</f>
        <v>#NAME?</v>
      </c>
    </row>
    <row r="91" spans="2:10" ht="18" customHeight="1" x14ac:dyDescent="0.25">
      <c r="B91" s="83" t="s">
        <v>167</v>
      </c>
      <c r="D91" s="101">
        <f>Model!AR162/Model!AR81</f>
        <v>25.092502434274586</v>
      </c>
      <c r="E91" s="133" t="e">
        <f ca="1">'Relative to Street'!S47</f>
        <v>#NAME?</v>
      </c>
      <c r="F91" s="91" t="e">
        <f t="shared" ca="1" si="3"/>
        <v>#NAME?</v>
      </c>
    </row>
    <row r="92" spans="2:10" ht="18" customHeight="1" x14ac:dyDescent="0.25">
      <c r="B92" s="83" t="s">
        <v>147</v>
      </c>
      <c r="D92" s="101">
        <f>Model!AL78</f>
        <v>13.841620105146522</v>
      </c>
      <c r="E92" s="133" t="e">
        <f ca="1">'Relative to Street'!R41</f>
        <v>#NAME?</v>
      </c>
      <c r="F92" s="91" t="e">
        <f ca="1">$E$81/E92</f>
        <v>#NAME?</v>
      </c>
      <c r="G92" s="171" t="e">
        <f ca="1">D92/E92-1</f>
        <v>#NAME?</v>
      </c>
    </row>
    <row r="93" spans="2:10" ht="18" customHeight="1" x14ac:dyDescent="0.25">
      <c r="B93" s="83" t="s">
        <v>148</v>
      </c>
      <c r="D93" s="101">
        <f>Model!AR78</f>
        <v>21.207400194741968</v>
      </c>
      <c r="E93" s="133" t="e">
        <f ca="1">'Relative to Street'!S41</f>
        <v>#NAME?</v>
      </c>
      <c r="F93" s="91" t="e">
        <f ca="1">$E$81/E93</f>
        <v>#NAME?</v>
      </c>
      <c r="G93" s="171" t="e">
        <f ca="1">D93/E93-1</f>
        <v>#NAME?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2DFE-E56F-400C-8D4D-840A7832EB11}">
  <dimension ref="B1:Z56"/>
  <sheetViews>
    <sheetView view="pageBreakPreview" zoomScaleNormal="100" zoomScaleSheetLayoutView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9.140625" defaultRowHeight="18" customHeight="1" outlineLevelRow="1" outlineLevelCol="1" x14ac:dyDescent="0.25"/>
  <cols>
    <col min="1" max="2" width="9.140625" style="2"/>
    <col min="3" max="3" width="5.28515625" style="2" customWidth="1"/>
    <col min="4" max="4" width="21.140625" style="2" customWidth="1"/>
    <col min="5" max="5" width="9.140625" style="2"/>
    <col min="6" max="17" width="10.7109375" style="2" customWidth="1"/>
    <col min="18" max="19" width="10.7109375" style="2" hidden="1" customWidth="1" outlineLevel="1"/>
    <col min="20" max="20" width="10.7109375" style="2" customWidth="1" collapsed="1"/>
    <col min="21" max="22" width="10.7109375" style="2" customWidth="1"/>
    <col min="23" max="16384" width="9.140625" style="2"/>
  </cols>
  <sheetData>
    <row r="1" spans="2:26" ht="18" customHeight="1" x14ac:dyDescent="0.25">
      <c r="F1" s="2">
        <v>2</v>
      </c>
      <c r="K1" s="251"/>
      <c r="L1" s="251"/>
      <c r="M1" s="184"/>
      <c r="R1" s="220">
        <v>2</v>
      </c>
      <c r="S1" s="2">
        <v>3</v>
      </c>
      <c r="T1" s="220"/>
    </row>
    <row r="2" spans="2:26" ht="18" customHeight="1" x14ac:dyDescent="0.25">
      <c r="B2" s="2" t="s">
        <v>419</v>
      </c>
      <c r="F2" s="2" t="s">
        <v>227</v>
      </c>
      <c r="G2" s="2" t="s">
        <v>232</v>
      </c>
      <c r="H2" s="2" t="s">
        <v>233</v>
      </c>
      <c r="I2" s="2" t="s">
        <v>234</v>
      </c>
      <c r="J2" s="2" t="s">
        <v>248</v>
      </c>
      <c r="K2" s="251" t="s">
        <v>250</v>
      </c>
      <c r="L2" s="251" t="s">
        <v>251</v>
      </c>
      <c r="M2" s="184" t="s">
        <v>252</v>
      </c>
      <c r="N2" s="2" t="s">
        <v>257</v>
      </c>
      <c r="O2" s="2" t="s">
        <v>258</v>
      </c>
      <c r="P2" s="2" t="s">
        <v>259</v>
      </c>
      <c r="Q2" s="2" t="s">
        <v>260</v>
      </c>
      <c r="R2" s="220" t="s">
        <v>225</v>
      </c>
      <c r="S2" s="2" t="s">
        <v>226</v>
      </c>
      <c r="T2" s="220" t="s">
        <v>246</v>
      </c>
      <c r="U2" s="2" t="s">
        <v>256</v>
      </c>
      <c r="V2" s="2" t="s">
        <v>266</v>
      </c>
    </row>
    <row r="3" spans="2:26" ht="18" customHeight="1" thickBot="1" x14ac:dyDescent="0.3">
      <c r="C3" s="126"/>
      <c r="D3" s="126"/>
      <c r="E3" s="126"/>
      <c r="F3" s="144" t="s">
        <v>224</v>
      </c>
      <c r="G3" s="144" t="s">
        <v>235</v>
      </c>
      <c r="H3" s="144" t="s">
        <v>236</v>
      </c>
      <c r="I3" s="144" t="s">
        <v>237</v>
      </c>
      <c r="J3" s="144" t="s">
        <v>249</v>
      </c>
      <c r="K3" s="144" t="s">
        <v>253</v>
      </c>
      <c r="L3" s="144" t="s">
        <v>254</v>
      </c>
      <c r="M3" s="277" t="s">
        <v>255</v>
      </c>
      <c r="N3" s="144" t="s">
        <v>261</v>
      </c>
      <c r="O3" s="144" t="s">
        <v>262</v>
      </c>
      <c r="P3" s="144" t="s">
        <v>263</v>
      </c>
      <c r="Q3" s="144" t="s">
        <v>264</v>
      </c>
      <c r="R3" s="225">
        <v>2022</v>
      </c>
      <c r="S3" s="144">
        <v>2023</v>
      </c>
      <c r="T3" s="225">
        <v>2024</v>
      </c>
      <c r="U3" s="144">
        <v>2025</v>
      </c>
      <c r="V3" s="144">
        <v>2026</v>
      </c>
    </row>
    <row r="4" spans="2:26" ht="6" customHeight="1" x14ac:dyDescent="0.25">
      <c r="F4" s="120"/>
      <c r="G4" s="120"/>
      <c r="H4" s="120"/>
      <c r="I4" s="120"/>
      <c r="J4" s="120"/>
      <c r="K4" s="237"/>
      <c r="L4" s="237"/>
      <c r="M4" s="262"/>
      <c r="N4" s="120"/>
      <c r="O4" s="120"/>
      <c r="P4" s="120"/>
      <c r="Q4" s="120"/>
      <c r="R4" s="222"/>
      <c r="S4" s="120"/>
      <c r="T4" s="222"/>
      <c r="U4" s="120"/>
      <c r="V4" s="120"/>
    </row>
    <row r="5" spans="2:26" ht="18" customHeight="1" x14ac:dyDescent="0.25">
      <c r="C5" s="29" t="s">
        <v>141</v>
      </c>
      <c r="F5" s="6"/>
      <c r="G5" s="6"/>
      <c r="H5" s="6"/>
      <c r="I5" s="6"/>
      <c r="J5" s="6"/>
      <c r="K5" s="243"/>
      <c r="L5" s="243"/>
      <c r="M5" s="187"/>
      <c r="N5" s="6"/>
      <c r="O5" s="6"/>
      <c r="P5" s="6"/>
      <c r="Q5" s="6"/>
      <c r="R5" s="164"/>
      <c r="S5" s="6"/>
      <c r="T5" s="164"/>
      <c r="U5" s="6"/>
      <c r="V5" s="6"/>
    </row>
    <row r="6" spans="2:26" ht="18" customHeight="1" x14ac:dyDescent="0.25">
      <c r="D6" s="2" t="s">
        <v>153</v>
      </c>
      <c r="F6" s="27">
        <f>Model!AH9</f>
        <v>13589</v>
      </c>
      <c r="G6" s="27">
        <f>Model!AI9</f>
        <v>14247</v>
      </c>
      <c r="H6" s="27">
        <f>Model!AJ9</f>
        <v>14994</v>
      </c>
      <c r="I6" s="27">
        <f>Model!AK9</f>
        <v>16597</v>
      </c>
      <c r="J6" s="27">
        <f>Model!AN9</f>
        <v>15862</v>
      </c>
      <c r="K6" s="235">
        <f>Model!AO9</f>
        <v>17318</v>
      </c>
      <c r="L6" s="235">
        <f>Model!AP9</f>
        <v>16810</v>
      </c>
      <c r="M6" s="185">
        <f>Model!AQ9</f>
        <v>17070</v>
      </c>
      <c r="N6" s="27">
        <f>Model!AT9</f>
        <v>15799</v>
      </c>
      <c r="O6" s="27">
        <f>Model!AU9</f>
        <v>16689</v>
      </c>
      <c r="P6" s="27">
        <f>Model!AV9</f>
        <v>16106</v>
      </c>
      <c r="Q6" s="27">
        <f>Model!AW9</f>
        <v>16687.25</v>
      </c>
      <c r="R6" s="158">
        <f>Model!AL9</f>
        <v>59427</v>
      </c>
      <c r="S6" s="27">
        <f>Model!AR9</f>
        <v>67060</v>
      </c>
      <c r="T6" s="158">
        <f>Model!AX9</f>
        <v>65281.25</v>
      </c>
      <c r="U6" s="27">
        <f>Model!BD9</f>
        <v>64977.724500000004</v>
      </c>
      <c r="V6" s="27">
        <f>Model!BJ9</f>
        <v>68040.728292802713</v>
      </c>
    </row>
    <row r="7" spans="2:26" ht="18" customHeight="1" x14ac:dyDescent="0.25">
      <c r="D7" s="2" t="s">
        <v>154</v>
      </c>
      <c r="F7" s="27" t="e">
        <f ca="1">_xll.BDP($B$2, "BEST_Sales","BEST_CONSENSUS_STAT_OVERRIDE","MEAN","BEST_FPERIOD_OVERRIDE",F$2)</f>
        <v>#NAME?</v>
      </c>
      <c r="G7" s="27" t="e">
        <f ca="1">_xll.BDP($B$2, "BEST_Sales","BEST_CONSENSUS_STAT_OVERRIDE","MEAN","BEST_FPERIOD_OVERRIDE",G$2)</f>
        <v>#NAME?</v>
      </c>
      <c r="H7" s="27" t="e">
        <f ca="1">_xll.BDP($B$2, "BEST_Sales","BEST_CONSENSUS_STAT_OVERRIDE","MEAN","BEST_FPERIOD_OVERRIDE",H$2)</f>
        <v>#NAME?</v>
      </c>
      <c r="I7" s="27" t="e">
        <f ca="1">_xll.BDP($B$2, "BEST_Sales","BEST_CONSENSUS_STAT_OVERRIDE","MEAN","BEST_FPERIOD_OVERRIDE",I$2)</f>
        <v>#NAME?</v>
      </c>
      <c r="J7" s="27" t="e">
        <f ca="1">_xll.BDP($B$2, "BEST_Sales","BEST_CONSENSUS_STAT_OVERRIDE","MEAN","BEST_FPERIOD_OVERRIDE",J$2)</f>
        <v>#NAME?</v>
      </c>
      <c r="K7" s="235" t="e">
        <f ca="1">_xll.BDP($B$2, "BEST_Sales","BEST_CONSENSUS_STAT_OVERRIDE","MEAN","BEST_FPERIOD_OVERRIDE",K$2)</f>
        <v>#NAME?</v>
      </c>
      <c r="L7" s="235" t="e">
        <f ca="1">_xll.BDP($B$2, "BEST_Sales","BEST_CONSENSUS_STAT_OVERRIDE","MEAN","BEST_FPERIOD_OVERRIDE",L$2)</f>
        <v>#NAME?</v>
      </c>
      <c r="M7" s="185" t="e">
        <f ca="1">_xll.BDP($B$2, "BEST_Sales","BEST_CONSENSUS_STAT_OVERRIDE","MEAN","BEST_FPERIOD_OVERRIDE",M$2)</f>
        <v>#NAME?</v>
      </c>
      <c r="N7" s="27" t="e">
        <f ca="1">_xll.BDP($B$2, "BEST_Sales","BEST_CONSENSUS_STAT_OVERRIDE","MEAN","BEST_FPERIOD_OVERRIDE",N$2)</f>
        <v>#NAME?</v>
      </c>
      <c r="O7" s="27" t="e">
        <f ca="1">_xll.BDP($B$2, "BEST_Sales","BEST_CONSENSUS_STAT_OVERRIDE","MEAN","BEST_FPERIOD_OVERRIDE",O$2)</f>
        <v>#NAME?</v>
      </c>
      <c r="P7" s="27" t="e">
        <f ca="1">_xll.BDP($B$2, "BEST_Sales","BEST_CONSENSUS_STAT_OVERRIDE","MEAN","BEST_FPERIOD_OVERRIDE",P$2)</f>
        <v>#NAME?</v>
      </c>
      <c r="Q7" s="27" t="e">
        <f ca="1">_xll.BDP($B$2, "BEST_Sales","BEST_CONSENSUS_STAT_OVERRIDE","MEAN","BEST_FPERIOD_OVERRIDE",Q$2)</f>
        <v>#NAME?</v>
      </c>
      <c r="R7" s="158" t="e">
        <f ca="1">_xll.BDP($B$2, "BEST_Sales","BEST_CONSENSUS_STAT_OVERRIDE","MEAN","BEST_FPERIOD_OVERRIDE",R$2)</f>
        <v>#NAME?</v>
      </c>
      <c r="S7" s="27" t="e">
        <f ca="1">_xll.BDP($B$2, "BEST_Sales","BEST_CONSENSUS_STAT_OVERRIDE","MEAN","BEST_FPERIOD_OVERRIDE",S$2)</f>
        <v>#NAME?</v>
      </c>
      <c r="T7" s="158" t="e">
        <f ca="1">_xll.BDP($B$2, "BEST_Sales","BEST_CONSENSUS_STAT_OVERRIDE","MEAN","BEST_FPERIOD_OVERRIDE",T$2)</f>
        <v>#NAME?</v>
      </c>
      <c r="U7" s="27" t="e">
        <f ca="1">_xll.BDP($B$2, "BEST_Sales","BEST_CONSENSUS_STAT_OVERRIDE","MEAN","BEST_FPERIOD_OVERRIDE",U$2)</f>
        <v>#NAME?</v>
      </c>
      <c r="V7" s="27" t="e">
        <f ca="1">_xll.BDP($B$2, "BEST_Sales","BEST_CONSENSUS_STAT_OVERRIDE","MEAN","BEST_FPERIOD_OVERRIDE",V$2)</f>
        <v>#NAME?</v>
      </c>
    </row>
    <row r="8" spans="2:26" ht="18" customHeight="1" x14ac:dyDescent="0.25">
      <c r="D8" s="2" t="s">
        <v>138</v>
      </c>
      <c r="F8" s="6"/>
      <c r="G8" s="6"/>
      <c r="H8" s="6"/>
      <c r="I8" s="6"/>
      <c r="J8" s="6"/>
      <c r="K8" s="243"/>
      <c r="L8" s="243"/>
      <c r="M8" s="187"/>
      <c r="N8" s="6"/>
      <c r="O8" s="6"/>
      <c r="P8" s="6"/>
      <c r="Q8" s="6"/>
      <c r="R8" s="220"/>
      <c r="S8" s="6"/>
      <c r="T8" s="164"/>
      <c r="U8" s="6"/>
      <c r="V8" s="6"/>
      <c r="Z8" s="137" t="e">
        <f ca="1">_xll.snt("","SE.Gross_Margin")</f>
        <v>#NAME?</v>
      </c>
    </row>
    <row r="9" spans="2:26" ht="18" customHeight="1" x14ac:dyDescent="0.25">
      <c r="C9" s="145"/>
      <c r="D9" s="145" t="s">
        <v>155</v>
      </c>
      <c r="E9" s="145"/>
      <c r="F9" s="146" t="e">
        <f ca="1">F6/F7-1</f>
        <v>#NAME?</v>
      </c>
      <c r="G9" s="146" t="e">
        <f t="shared" ref="G9:I9" ca="1" si="0">G6/G7-1</f>
        <v>#NAME?</v>
      </c>
      <c r="H9" s="146" t="e">
        <f t="shared" ca="1" si="0"/>
        <v>#NAME?</v>
      </c>
      <c r="I9" s="146" t="e">
        <f t="shared" ca="1" si="0"/>
        <v>#NAME?</v>
      </c>
      <c r="J9" s="146" t="e">
        <f t="shared" ref="J9:M9" ca="1" si="1">J6/J7-1</f>
        <v>#NAME?</v>
      </c>
      <c r="K9" s="278" t="e">
        <f t="shared" ca="1" si="1"/>
        <v>#NAME?</v>
      </c>
      <c r="L9" s="278" t="e">
        <f t="shared" ca="1" si="1"/>
        <v>#NAME?</v>
      </c>
      <c r="M9" s="279" t="e">
        <f t="shared" ca="1" si="1"/>
        <v>#NAME?</v>
      </c>
      <c r="N9" s="146" t="e">
        <f t="shared" ref="N9:Q9" ca="1" si="2">N6/N7-1</f>
        <v>#NAME?</v>
      </c>
      <c r="O9" s="146" t="e">
        <f t="shared" ca="1" si="2"/>
        <v>#NAME?</v>
      </c>
      <c r="P9" s="146" t="e">
        <f t="shared" ca="1" si="2"/>
        <v>#NAME?</v>
      </c>
      <c r="Q9" s="146" t="e">
        <f t="shared" ca="1" si="2"/>
        <v>#NAME?</v>
      </c>
      <c r="R9" s="226" t="e">
        <f t="shared" ref="R9:S9" ca="1" si="3">R6/R7-1</f>
        <v>#NAME?</v>
      </c>
      <c r="S9" s="146" t="e">
        <f t="shared" ca="1" si="3"/>
        <v>#NAME?</v>
      </c>
      <c r="T9" s="226" t="e">
        <f t="shared" ref="T9:U9" ca="1" si="4">T6/T7-1</f>
        <v>#NAME?</v>
      </c>
      <c r="U9" s="146" t="e">
        <f t="shared" ca="1" si="4"/>
        <v>#NAME?</v>
      </c>
      <c r="V9" s="146" t="e">
        <f t="shared" ref="V9" ca="1" si="5">V6/V7-1</f>
        <v>#NAME?</v>
      </c>
    </row>
    <row r="10" spans="2:26" ht="6" customHeight="1" x14ac:dyDescent="0.25">
      <c r="C10" s="147"/>
      <c r="D10" s="147"/>
      <c r="E10" s="147"/>
      <c r="F10" s="148"/>
      <c r="G10" s="148"/>
      <c r="H10" s="148"/>
      <c r="I10" s="148"/>
      <c r="J10" s="148"/>
      <c r="K10" s="280"/>
      <c r="L10" s="280"/>
      <c r="M10" s="281"/>
      <c r="N10" s="148"/>
      <c r="O10" s="148"/>
      <c r="P10" s="148"/>
      <c r="Q10" s="148"/>
      <c r="R10" s="227"/>
      <c r="S10" s="148"/>
      <c r="T10" s="227"/>
      <c r="U10" s="148"/>
      <c r="V10" s="148"/>
    </row>
    <row r="11" spans="2:26" ht="18" hidden="1" customHeight="1" outlineLevel="1" x14ac:dyDescent="0.25">
      <c r="C11" s="29" t="s">
        <v>136</v>
      </c>
      <c r="D11" s="147"/>
      <c r="E11" s="147"/>
      <c r="F11" s="148"/>
      <c r="G11" s="148"/>
      <c r="H11" s="148"/>
      <c r="I11" s="148"/>
      <c r="J11" s="148"/>
      <c r="K11" s="280"/>
      <c r="L11" s="280"/>
      <c r="M11" s="281"/>
      <c r="N11" s="148"/>
      <c r="O11" s="148"/>
      <c r="P11" s="148"/>
      <c r="Q11" s="148"/>
      <c r="R11" s="227"/>
      <c r="S11" s="148"/>
      <c r="T11" s="227"/>
      <c r="U11" s="148"/>
      <c r="V11" s="148"/>
    </row>
    <row r="12" spans="2:26" ht="18" hidden="1" customHeight="1" outlineLevel="1" x14ac:dyDescent="0.25">
      <c r="C12" s="147"/>
      <c r="D12" s="2" t="s">
        <v>153</v>
      </c>
      <c r="E12" s="147"/>
      <c r="F12" s="127">
        <f>Model!AK24</f>
        <v>0.30023498222570344</v>
      </c>
      <c r="G12" s="127">
        <f>Model!AL24</f>
        <v>0.30418833190300704</v>
      </c>
      <c r="H12" s="127">
        <f>Model!AM24</f>
        <v>0</v>
      </c>
      <c r="I12" s="127">
        <f>Model!AN24</f>
        <v>0.36306896986508636</v>
      </c>
      <c r="J12" s="127">
        <f>Model!AO24</f>
        <v>0.36106940755283518</v>
      </c>
      <c r="K12" s="247">
        <f>Model!AP24</f>
        <v>0.37043426531826296</v>
      </c>
      <c r="L12" s="247">
        <f>Model!AQ24</f>
        <v>0.3546572934973638</v>
      </c>
      <c r="M12" s="130">
        <f>Model!AR24</f>
        <v>0.36225767968983003</v>
      </c>
      <c r="N12" s="127">
        <f>Model!AS24</f>
        <v>0</v>
      </c>
      <c r="O12" s="127">
        <f>Model!AT24</f>
        <v>0.38844230647509337</v>
      </c>
      <c r="P12" s="127">
        <f>Model!AU24</f>
        <v>0.39181496794295645</v>
      </c>
      <c r="Q12" s="127">
        <f>Model!AV24</f>
        <v>0.37501552216565254</v>
      </c>
      <c r="R12" s="228">
        <f>Model!AR24</f>
        <v>0.36225767968983003</v>
      </c>
      <c r="S12" s="127">
        <f>Model!DD24</f>
        <v>0</v>
      </c>
      <c r="T12" s="228">
        <f>Model!AY24</f>
        <v>0</v>
      </c>
      <c r="U12" s="127">
        <f>Model!AZ24</f>
        <v>0.37561348064556294</v>
      </c>
      <c r="V12" s="127">
        <f>Model!BA24</f>
        <v>0.39379118809606573</v>
      </c>
    </row>
    <row r="13" spans="2:26" ht="18" hidden="1" customHeight="1" outlineLevel="1" x14ac:dyDescent="0.25">
      <c r="C13" s="147"/>
      <c r="D13" s="2" t="s">
        <v>154</v>
      </c>
      <c r="E13" s="147"/>
      <c r="F13" s="127" t="e">
        <f ca="1">_xll.snt("ODFL","SE.Gross_Margin",,"FQ"&amp;F$1)/100</f>
        <v>#NAME?</v>
      </c>
      <c r="G13" s="127" t="e">
        <f ca="1">_xll.snt("ODFL","SE.Gross_Margin",,"FQ"&amp;G$1)/100</f>
        <v>#NAME?</v>
      </c>
      <c r="H13" s="127" t="e">
        <f ca="1">_xll.snt("ODFL","SE.Gross_Margin",,"FQ"&amp;H$1)/100</f>
        <v>#NAME?</v>
      </c>
      <c r="I13" s="127" t="e">
        <f ca="1">_xll.snt("ODFL","SE.Gross_Margin",,"FQ"&amp;I$1)/100</f>
        <v>#NAME?</v>
      </c>
      <c r="J13" s="127" t="e">
        <f ca="1">_xll.snt("ODFL","SE.Gross_Margin",,"FQ"&amp;J$1)/100</f>
        <v>#NAME?</v>
      </c>
      <c r="K13" s="247" t="e">
        <f ca="1">_xll.snt("ODFL","SE.Gross_Margin",,"FQ"&amp;K$1)/100</f>
        <v>#NAME?</v>
      </c>
      <c r="L13" s="247" t="e">
        <f ca="1">_xll.snt("ODFL","SE.Gross_Margin",,"FQ"&amp;L$1)/100</f>
        <v>#NAME?</v>
      </c>
      <c r="M13" s="130" t="e">
        <f ca="1">_xll.snt("ODFL","SE.Gross_Margin",,"FQ"&amp;M$1)/100</f>
        <v>#NAME?</v>
      </c>
      <c r="N13" s="127" t="e">
        <f ca="1">_xll.snt("ODFL","SE.Gross_Margin",,"FQ"&amp;N$1)/100</f>
        <v>#NAME?</v>
      </c>
      <c r="O13" s="127" t="e">
        <f ca="1">_xll.snt("ODFL","SE.Gross_Margin",,"FQ"&amp;O$1)/100</f>
        <v>#NAME?</v>
      </c>
      <c r="P13" s="127" t="e">
        <f ca="1">_xll.snt("ODFL","SE.Gross_Margin",,"FQ"&amp;P$1)/100</f>
        <v>#NAME?</v>
      </c>
      <c r="Q13" s="127" t="e">
        <f ca="1">_xll.snt("ODFL","SE.Gross_Margin",,"FQ"&amp;Q$1)/100</f>
        <v>#NAME?</v>
      </c>
      <c r="R13" s="228" t="e">
        <f ca="1">_xll.snt("ODFL","SE.Gross_Margin",,"FY"&amp;R$1)/100</f>
        <v>#NAME?</v>
      </c>
      <c r="S13" s="127" t="e">
        <f ca="1">_xll.snt("ODFL","SE.Gross_Margin",,"FY"&amp;S$1)/100</f>
        <v>#NAME?</v>
      </c>
      <c r="T13" s="228" t="e">
        <f ca="1">_xll.snt("ODFL","SE.Gross_Margin",,"FY"&amp;T$1)/100</f>
        <v>#NAME?</v>
      </c>
      <c r="U13" s="127" t="e">
        <f ca="1">_xll.snt("ODFL","SE.Gross_Margin",,"FY"&amp;U$1)/100</f>
        <v>#NAME?</v>
      </c>
      <c r="V13" s="127" t="e">
        <f ca="1">_xll.snt("ODFL","SE.Gross_Margin",,"FY"&amp;V$1)/100</f>
        <v>#NAME?</v>
      </c>
    </row>
    <row r="14" spans="2:26" ht="18" hidden="1" customHeight="1" outlineLevel="1" x14ac:dyDescent="0.25">
      <c r="C14" s="145"/>
      <c r="D14" s="145" t="s">
        <v>155</v>
      </c>
      <c r="E14" s="145"/>
      <c r="F14" s="146" t="e">
        <f t="shared" ref="F14:S14" ca="1" si="6">F12/F13-1</f>
        <v>#NAME?</v>
      </c>
      <c r="G14" s="146" t="e">
        <f t="shared" ref="G14:I14" ca="1" si="7">G12/G13-1</f>
        <v>#NAME?</v>
      </c>
      <c r="H14" s="146" t="e">
        <f t="shared" ca="1" si="7"/>
        <v>#NAME?</v>
      </c>
      <c r="I14" s="146" t="e">
        <f t="shared" ca="1" si="7"/>
        <v>#NAME?</v>
      </c>
      <c r="J14" s="146" t="e">
        <f t="shared" ref="J14:M14" ca="1" si="8">J12/J13-1</f>
        <v>#NAME?</v>
      </c>
      <c r="K14" s="278" t="e">
        <f t="shared" ca="1" si="8"/>
        <v>#NAME?</v>
      </c>
      <c r="L14" s="278" t="e">
        <f t="shared" ca="1" si="8"/>
        <v>#NAME?</v>
      </c>
      <c r="M14" s="279" t="e">
        <f t="shared" ca="1" si="8"/>
        <v>#NAME?</v>
      </c>
      <c r="N14" s="146" t="e">
        <f t="shared" ref="N14:Q14" ca="1" si="9">N12/N13-1</f>
        <v>#NAME?</v>
      </c>
      <c r="O14" s="146" t="e">
        <f t="shared" ca="1" si="9"/>
        <v>#NAME?</v>
      </c>
      <c r="P14" s="146" t="e">
        <f t="shared" ca="1" si="9"/>
        <v>#NAME?</v>
      </c>
      <c r="Q14" s="146" t="e">
        <f t="shared" ca="1" si="9"/>
        <v>#NAME?</v>
      </c>
      <c r="R14" s="226" t="e">
        <f t="shared" ca="1" si="6"/>
        <v>#NAME?</v>
      </c>
      <c r="S14" s="146" t="e">
        <f t="shared" ca="1" si="6"/>
        <v>#NAME?</v>
      </c>
      <c r="T14" s="226" t="e">
        <f t="shared" ref="T14:U14" ca="1" si="10">T12/T13-1</f>
        <v>#NAME?</v>
      </c>
      <c r="U14" s="146" t="e">
        <f t="shared" ca="1" si="10"/>
        <v>#NAME?</v>
      </c>
      <c r="V14" s="146" t="e">
        <f t="shared" ref="V14" ca="1" si="11">V12/V13-1</f>
        <v>#NAME?</v>
      </c>
    </row>
    <row r="15" spans="2:26" ht="6" customHeight="1" collapsed="1" x14ac:dyDescent="0.25">
      <c r="K15" s="251"/>
      <c r="L15" s="251"/>
      <c r="M15" s="184"/>
      <c r="R15" s="220"/>
      <c r="T15" s="220"/>
    </row>
    <row r="16" spans="2:26" ht="18" customHeight="1" x14ac:dyDescent="0.25">
      <c r="C16" s="29" t="s">
        <v>125</v>
      </c>
      <c r="K16" s="251"/>
      <c r="L16" s="251"/>
      <c r="M16" s="184"/>
      <c r="R16" s="220"/>
      <c r="T16" s="220"/>
    </row>
    <row r="17" spans="3:22" ht="18" customHeight="1" x14ac:dyDescent="0.25">
      <c r="D17" s="2" t="s">
        <v>153</v>
      </c>
      <c r="F17" s="27">
        <f>Model!AH50</f>
        <v>2425</v>
      </c>
      <c r="G17" s="27">
        <f>Model!AI50</f>
        <v>2525</v>
      </c>
      <c r="H17" s="27">
        <f>Model!AJ50</f>
        <v>3025</v>
      </c>
      <c r="I17" s="27">
        <f>Model!AK50</f>
        <v>3372</v>
      </c>
      <c r="J17" s="27">
        <f>Model!AN50</f>
        <v>3874</v>
      </c>
      <c r="K17" s="235">
        <f>Model!AO50</f>
        <v>4225</v>
      </c>
      <c r="L17" s="235">
        <f>Model!AP50</f>
        <v>4020</v>
      </c>
      <c r="M17" s="185">
        <f>Model!AQ50</f>
        <v>3771</v>
      </c>
      <c r="N17" s="27">
        <f>Model!AT50</f>
        <v>4037</v>
      </c>
      <c r="O17" s="27">
        <f>Model!AU50</f>
        <v>4271</v>
      </c>
      <c r="P17" s="27">
        <f>Model!AV50</f>
        <v>3760</v>
      </c>
      <c r="Q17" s="27">
        <f>Model!AW50</f>
        <v>3771.3915876932269</v>
      </c>
      <c r="R17" s="158">
        <f>Model!AL50</f>
        <v>11347</v>
      </c>
      <c r="S17" s="27">
        <f>Model!AR50</f>
        <v>15890</v>
      </c>
      <c r="T17" s="158">
        <f>Model!AX50</f>
        <v>15839.39158769323</v>
      </c>
      <c r="U17" s="27">
        <f>Model!BD50</f>
        <v>15274.841852544148</v>
      </c>
      <c r="V17" s="27">
        <f>Model!BJ50</f>
        <v>16473.123167873706</v>
      </c>
    </row>
    <row r="18" spans="3:22" ht="18" customHeight="1" x14ac:dyDescent="0.25">
      <c r="D18" s="2" t="s">
        <v>154</v>
      </c>
      <c r="F18" s="27" t="e">
        <f ca="1">_xll.BDP($B$2, "BEST_EBITDA","BEST_CONSENSUS_STAT_OVERRIDE","MEAN","BEST_FPERIOD_OVERRIDE",F$2)</f>
        <v>#NAME?</v>
      </c>
      <c r="G18" s="27" t="e">
        <f ca="1">_xll.BDP($B$2, "BEST_EBITDA","BEST_CONSENSUS_STAT_OVERRIDE","MEAN","BEST_FPERIOD_OVERRIDE",G$2)</f>
        <v>#NAME?</v>
      </c>
      <c r="H18" s="27" t="e">
        <f ca="1">_xll.BDP($B$2, "BEST_EBITDA","BEST_CONSENSUS_STAT_OVERRIDE","MEAN","BEST_FPERIOD_OVERRIDE",H$2)</f>
        <v>#NAME?</v>
      </c>
      <c r="I18" s="27" t="e">
        <f ca="1">_xll.BDP($B$2, "BEST_EBITDA","BEST_CONSENSUS_STAT_OVERRIDE","MEAN","BEST_FPERIOD_OVERRIDE",I$2)</f>
        <v>#NAME?</v>
      </c>
      <c r="J18" s="27" t="e">
        <f ca="1">_xll.BDP($B$2, "BEST_EBITDA","BEST_CONSENSUS_STAT_OVERRIDE","MEAN","BEST_FPERIOD_OVERRIDE",J$2)</f>
        <v>#NAME?</v>
      </c>
      <c r="K18" s="235" t="e">
        <f ca="1">_xll.BDP($B$2, "BEST_EBITDA","BEST_CONSENSUS_STAT_OVERRIDE","MEAN","BEST_FPERIOD_OVERRIDE",K$2)</f>
        <v>#NAME?</v>
      </c>
      <c r="L18" s="235" t="e">
        <f ca="1">_xll.BDP($B$2, "BEST_EBITDA","BEST_CONSENSUS_STAT_OVERRIDE","MEAN","BEST_FPERIOD_OVERRIDE",L$2)</f>
        <v>#NAME?</v>
      </c>
      <c r="M18" s="185" t="e">
        <f ca="1">_xll.BDP($B$2, "BEST_EBITDA","BEST_CONSENSUS_STAT_OVERRIDE","MEAN","BEST_FPERIOD_OVERRIDE",M$2)</f>
        <v>#NAME?</v>
      </c>
      <c r="N18" s="27" t="e">
        <f ca="1">_xll.BDP($B$2, "BEST_EBITDA","BEST_CONSENSUS_STAT_OVERRIDE","MEAN","BEST_FPERIOD_OVERRIDE",N$2)</f>
        <v>#NAME?</v>
      </c>
      <c r="O18" s="27" t="e">
        <f ca="1">_xll.BDP($B$2, "BEST_EBITDA","BEST_CONSENSUS_STAT_OVERRIDE","MEAN","BEST_FPERIOD_OVERRIDE",O$2)</f>
        <v>#NAME?</v>
      </c>
      <c r="P18" s="27" t="e">
        <f ca="1">_xll.BDP($B$2, "BEST_EBITDA","BEST_CONSENSUS_STAT_OVERRIDE","MEAN","BEST_FPERIOD_OVERRIDE",P$2)</f>
        <v>#NAME?</v>
      </c>
      <c r="Q18" s="27" t="e">
        <f ca="1">_xll.BDP($B$2, "BEST_EBITDA","BEST_CONSENSUS_STAT_OVERRIDE","MEAN","BEST_FPERIOD_OVERRIDE",Q$2)</f>
        <v>#NAME?</v>
      </c>
      <c r="R18" s="158" t="e">
        <f ca="1">_xll.BDP($B$2, "BEST_EBITDA","BEST_CONSENSUS_STAT_OVERRIDE","MEAN","BEST_FPERIOD_OVERRIDE",R$2)</f>
        <v>#NAME?</v>
      </c>
      <c r="S18" s="465" t="e">
        <f ca="1">_xll.BDP($B$2, "BEST_EBITDA","BEST_CONSENSUS_STAT_OVERRIDE","MEdian","BEST_FPERIOD_OVERRIDE",S$2)</f>
        <v>#NAME?</v>
      </c>
      <c r="T18" s="158" t="e">
        <f ca="1">_xll.BDP($B$2, "BEST_EBITDA","BEST_CONSENSUS_STAT_OVERRIDE","MEdian","BEST_FPERIOD_OVERRIDE",T$2)</f>
        <v>#NAME?</v>
      </c>
      <c r="U18" s="27" t="e">
        <f ca="1">_xll.BDP($B$2, "BEST_EBITDA","BEST_CONSENSUS_STAT_OVERRIDE","MEdian","BEST_FPERIOD_OVERRIDE",U$2)</f>
        <v>#NAME?</v>
      </c>
      <c r="V18" s="27" t="e">
        <f ca="1">_xll.BDP($B$2, "BEST_EBITDA","BEST_CONSENSUS_STAT_OVERRIDE","MEdian","BEST_FPERIOD_OVERRIDE",V$2)</f>
        <v>#NAME?</v>
      </c>
    </row>
    <row r="19" spans="3:22" ht="18" customHeight="1" x14ac:dyDescent="0.25">
      <c r="D19" s="2" t="s">
        <v>138</v>
      </c>
      <c r="K19" s="251"/>
      <c r="L19" s="251"/>
      <c r="M19" s="184"/>
      <c r="R19" s="220"/>
      <c r="T19" s="220"/>
    </row>
    <row r="20" spans="3:22" ht="17.25" customHeight="1" x14ac:dyDescent="0.25">
      <c r="C20" s="145"/>
      <c r="D20" s="145" t="s">
        <v>155</v>
      </c>
      <c r="E20" s="145"/>
      <c r="F20" s="146" t="e">
        <f ca="1">F17/F18-1</f>
        <v>#NAME?</v>
      </c>
      <c r="G20" s="146" t="e">
        <f t="shared" ref="G20:I20" ca="1" si="12">G17/G18-1</f>
        <v>#NAME?</v>
      </c>
      <c r="H20" s="146" t="e">
        <f t="shared" ca="1" si="12"/>
        <v>#NAME?</v>
      </c>
      <c r="I20" s="146" t="e">
        <f t="shared" ca="1" si="12"/>
        <v>#NAME?</v>
      </c>
      <c r="J20" s="146" t="e">
        <f t="shared" ref="J20:M20" ca="1" si="13">J17/J18-1</f>
        <v>#NAME?</v>
      </c>
      <c r="K20" s="278" t="e">
        <f t="shared" ca="1" si="13"/>
        <v>#NAME?</v>
      </c>
      <c r="L20" s="278" t="e">
        <f t="shared" ca="1" si="13"/>
        <v>#NAME?</v>
      </c>
      <c r="M20" s="279" t="e">
        <f t="shared" ca="1" si="13"/>
        <v>#NAME?</v>
      </c>
      <c r="N20" s="146" t="e">
        <f t="shared" ref="N20:Q20" ca="1" si="14">N17/N18-1</f>
        <v>#NAME?</v>
      </c>
      <c r="O20" s="146" t="e">
        <f t="shared" ca="1" si="14"/>
        <v>#NAME?</v>
      </c>
      <c r="P20" s="146" t="e">
        <f t="shared" ca="1" si="14"/>
        <v>#NAME?</v>
      </c>
      <c r="Q20" s="146" t="e">
        <f t="shared" ca="1" si="14"/>
        <v>#NAME?</v>
      </c>
      <c r="R20" s="226" t="e">
        <f t="shared" ref="R20:S20" ca="1" si="15">R17/R18-1</f>
        <v>#NAME?</v>
      </c>
      <c r="S20" s="146" t="e">
        <f t="shared" ca="1" si="15"/>
        <v>#NAME?</v>
      </c>
      <c r="T20" s="226" t="e">
        <f t="shared" ref="T20:U20" ca="1" si="16">T17/T18-1</f>
        <v>#NAME?</v>
      </c>
      <c r="U20" s="146" t="e">
        <f t="shared" ca="1" si="16"/>
        <v>#NAME?</v>
      </c>
      <c r="V20" s="146" t="e">
        <f t="shared" ref="V20" ca="1" si="17">V17/V18-1</f>
        <v>#NAME?</v>
      </c>
    </row>
    <row r="21" spans="3:22" ht="6" customHeight="1" x14ac:dyDescent="0.25">
      <c r="C21" s="147"/>
      <c r="D21" s="147"/>
      <c r="E21" s="147"/>
      <c r="F21" s="148"/>
      <c r="G21" s="148"/>
      <c r="H21" s="148"/>
      <c r="I21" s="148"/>
      <c r="J21" s="148"/>
      <c r="K21" s="280"/>
      <c r="L21" s="280"/>
      <c r="M21" s="281"/>
      <c r="N21" s="148"/>
      <c r="O21" s="148"/>
      <c r="P21" s="148"/>
      <c r="Q21" s="148"/>
      <c r="R21" s="227"/>
      <c r="S21" s="148"/>
      <c r="T21" s="227"/>
      <c r="U21" s="148"/>
      <c r="V21" s="148"/>
    </row>
    <row r="22" spans="3:22" ht="18" customHeight="1" x14ac:dyDescent="0.25">
      <c r="C22" s="29" t="s">
        <v>172</v>
      </c>
      <c r="D22" s="147"/>
      <c r="E22" s="147"/>
      <c r="F22" s="148"/>
      <c r="G22" s="148"/>
      <c r="H22" s="148"/>
      <c r="I22" s="148"/>
      <c r="J22" s="148"/>
      <c r="K22" s="280"/>
      <c r="L22" s="280"/>
      <c r="M22" s="281"/>
      <c r="N22" s="148"/>
      <c r="O22" s="148"/>
      <c r="P22" s="148"/>
      <c r="Q22" s="148"/>
      <c r="R22" s="227"/>
      <c r="S22" s="148"/>
      <c r="T22" s="227"/>
      <c r="U22" s="148"/>
      <c r="V22" s="148"/>
    </row>
    <row r="23" spans="3:22" ht="18" customHeight="1" x14ac:dyDescent="0.25">
      <c r="C23" s="147"/>
      <c r="D23" s="2" t="s">
        <v>153</v>
      </c>
      <c r="E23" s="147"/>
      <c r="F23" s="27">
        <f>Model!AH86</f>
        <v>-346</v>
      </c>
      <c r="G23" s="27">
        <f>Model!AI86</f>
        <v>-240</v>
      </c>
      <c r="H23" s="27">
        <f>Model!AJ86</f>
        <v>-282</v>
      </c>
      <c r="I23" s="27">
        <f>Model!AK86</f>
        <v>-428</v>
      </c>
      <c r="J23" s="27">
        <f>Model!AN86</f>
        <v>-422</v>
      </c>
      <c r="K23" s="235">
        <f>Model!AO86</f>
        <v>-261</v>
      </c>
      <c r="L23" s="235">
        <f>Model!AP86</f>
        <v>-378</v>
      </c>
      <c r="M23" s="185">
        <f>Model!AQ86</f>
        <v>-536</v>
      </c>
      <c r="N23" s="27">
        <f>Model!AT86</f>
        <v>-500</v>
      </c>
      <c r="O23" s="27">
        <f>Model!AU86</f>
        <v>-341</v>
      </c>
      <c r="P23" s="27">
        <f>Model!AV86</f>
        <v>-444</v>
      </c>
      <c r="Q23" s="27">
        <f>Model!AW86</f>
        <v>-647.79999999999995</v>
      </c>
      <c r="R23" s="158">
        <f>Model!AL86</f>
        <v>-1296</v>
      </c>
      <c r="S23" s="27">
        <f>Model!AR86</f>
        <v>-1597</v>
      </c>
      <c r="T23" s="158">
        <f>Model!AX86</f>
        <v>-1932.8</v>
      </c>
      <c r="U23" s="27">
        <f>Model!BD86</f>
        <v>-2127.7260000000001</v>
      </c>
      <c r="V23" s="27">
        <f>Model!BJ86</f>
        <v>-2331.5530200000003</v>
      </c>
    </row>
    <row r="24" spans="3:22" ht="18" customHeight="1" x14ac:dyDescent="0.25">
      <c r="C24" s="147"/>
      <c r="D24" s="2" t="s">
        <v>154</v>
      </c>
      <c r="E24" s="147"/>
      <c r="F24" s="104" t="e">
        <f ca="1">-_xll.BDP($B$2, "BEST_Capex","BEST_CONSENSUS_STAT_OVERRIDE","MEAN","BEST_FPERIOD_OVERRIDE",F$2)</f>
        <v>#NAME?</v>
      </c>
      <c r="G24" s="104" t="e">
        <f ca="1">-_xll.BDP($B$2, "BEST_Capex","BEST_CONSENSUS_STAT_OVERRIDE","MEAN","BEST_FPERIOD_OVERRIDE",G$2)</f>
        <v>#NAME?</v>
      </c>
      <c r="H24" s="104" t="e">
        <f ca="1">-_xll.BDP($B$2, "BEST_Capex","BEST_CONSENSUS_STAT_OVERRIDE","MEAN","BEST_FPERIOD_OVERRIDE",H$2)</f>
        <v>#NAME?</v>
      </c>
      <c r="I24" s="104" t="e">
        <f ca="1">-_xll.BDP($B$2, "BEST_Capex","BEST_CONSENSUS_STAT_OVERRIDE","MEAN","BEST_FPERIOD_OVERRIDE",I$2)</f>
        <v>#NAME?</v>
      </c>
      <c r="J24" s="104" t="e">
        <f ca="1">-_xll.BDP($B$2, "BEST_Capex","BEST_CONSENSUS_STAT_OVERRIDE","MEAN","BEST_FPERIOD_OVERRIDE",J$2)</f>
        <v>#NAME?</v>
      </c>
      <c r="K24" s="246" t="e">
        <f ca="1">-_xll.BDP($B$2, "BEST_Capex","BEST_CONSENSUS_STAT_OVERRIDE","MEAN","BEST_FPERIOD_OVERRIDE",K$2)</f>
        <v>#NAME?</v>
      </c>
      <c r="L24" s="246" t="e">
        <f ca="1">-_xll.BDP($B$2, "BEST_Capex","BEST_CONSENSUS_STAT_OVERRIDE","MEAN","BEST_FPERIOD_OVERRIDE",L$2)</f>
        <v>#NAME?</v>
      </c>
      <c r="M24" s="265" t="e">
        <f ca="1">-_xll.BDP($B$2, "BEST_Capex","BEST_CONSENSUS_STAT_OVERRIDE","MEAN","BEST_FPERIOD_OVERRIDE",M$2)</f>
        <v>#NAME?</v>
      </c>
      <c r="N24" s="104" t="e">
        <f ca="1">-_xll.BDP($B$2, "BEST_Capex","BEST_CONSENSUS_STAT_OVERRIDE","MEAN","BEST_FPERIOD_OVERRIDE",N$2)</f>
        <v>#NAME?</v>
      </c>
      <c r="O24" s="104" t="e">
        <f ca="1">-_xll.BDP($B$2, "BEST_Capex","BEST_CONSENSUS_STAT_OVERRIDE","MEAN","BEST_FPERIOD_OVERRIDE",O$2)</f>
        <v>#NAME?</v>
      </c>
      <c r="P24" s="104" t="e">
        <f ca="1">-_xll.BDP($B$2, "BEST_Capex","BEST_CONSENSUS_STAT_OVERRIDE","MEAN","BEST_FPERIOD_OVERRIDE",P$2)</f>
        <v>#NAME?</v>
      </c>
      <c r="Q24" s="104" t="e">
        <f ca="1">-_xll.BDP($B$2, "BEST_Capex","BEST_CONSENSUS_STAT_OVERRIDE","MEAN","BEST_FPERIOD_OVERRIDE",Q$2)</f>
        <v>#NAME?</v>
      </c>
      <c r="R24" s="196" t="e">
        <f ca="1">-_xll.BDP($B$2, "BEST_Capex","BEST_CONSENSUS_STAT_OVERRIDE","MEAN","BEST_FPERIOD_OVERRIDE",R$2)</f>
        <v>#NAME?</v>
      </c>
      <c r="S24" s="104" t="e">
        <f ca="1">-_xll.BDP($B$2, "BEST_Capex","BEST_CONSENSUS_STAT_OVERRIDE","MEAN","BEST_FPERIOD_OVERRIDE",S$2)</f>
        <v>#NAME?</v>
      </c>
      <c r="T24" s="196" t="e">
        <f ca="1">-_xll.BDP($B$2, "BEST_Capex","BEST_CONSENSUS_STAT_OVERRIDE","MEAN","BEST_FPERIOD_OVERRIDE",T$2)</f>
        <v>#NAME?</v>
      </c>
      <c r="U24" s="104" t="e">
        <f ca="1">-_xll.BDP($B$2, "BEST_Capex","BEST_CONSENSUS_STAT_OVERRIDE","MEAN","BEST_FPERIOD_OVERRIDE",U$2)</f>
        <v>#NAME?</v>
      </c>
      <c r="V24" s="104" t="e">
        <f ca="1">-_xll.BDP($B$2, "BEST_Capex","BEST_CONSENSUS_STAT_OVERRIDE","MEAN","BEST_FPERIOD_OVERRIDE",V$2)</f>
        <v>#NAME?</v>
      </c>
    </row>
    <row r="25" spans="3:22" ht="18" customHeight="1" x14ac:dyDescent="0.25">
      <c r="C25" s="145"/>
      <c r="D25" s="145" t="s">
        <v>155</v>
      </c>
      <c r="E25" s="145"/>
      <c r="F25" s="146" t="e">
        <f t="shared" ref="F25:I25" ca="1" si="18">F23/F24-1</f>
        <v>#NAME?</v>
      </c>
      <c r="G25" s="146" t="e">
        <f t="shared" ca="1" si="18"/>
        <v>#NAME?</v>
      </c>
      <c r="H25" s="146" t="e">
        <f t="shared" ca="1" si="18"/>
        <v>#NAME?</v>
      </c>
      <c r="I25" s="146" t="e">
        <f t="shared" ca="1" si="18"/>
        <v>#NAME?</v>
      </c>
      <c r="J25" s="146" t="e">
        <f t="shared" ref="J25:M25" ca="1" si="19">J23/J24-1</f>
        <v>#NAME?</v>
      </c>
      <c r="K25" s="278" t="e">
        <f t="shared" ca="1" si="19"/>
        <v>#NAME?</v>
      </c>
      <c r="L25" s="278" t="e">
        <f t="shared" ca="1" si="19"/>
        <v>#NAME?</v>
      </c>
      <c r="M25" s="279" t="e">
        <f t="shared" ca="1" si="19"/>
        <v>#NAME?</v>
      </c>
      <c r="N25" s="146" t="e">
        <f t="shared" ref="N25:Q25" ca="1" si="20">N23/N24-1</f>
        <v>#NAME?</v>
      </c>
      <c r="O25" s="146" t="e">
        <f t="shared" ca="1" si="20"/>
        <v>#NAME?</v>
      </c>
      <c r="P25" s="146" t="e">
        <f t="shared" ca="1" si="20"/>
        <v>#NAME?</v>
      </c>
      <c r="Q25" s="146" t="e">
        <f t="shared" ca="1" si="20"/>
        <v>#NAME?</v>
      </c>
      <c r="R25" s="226" t="e">
        <f t="shared" ref="R25" ca="1" si="21">R23/R24-1</f>
        <v>#NAME?</v>
      </c>
      <c r="S25" s="146" t="e">
        <f t="shared" ref="S25:T25" ca="1" si="22">S23/S24-1</f>
        <v>#NAME?</v>
      </c>
      <c r="T25" s="226" t="e">
        <f t="shared" ca="1" si="22"/>
        <v>#NAME?</v>
      </c>
      <c r="U25" s="146" t="e">
        <f t="shared" ref="U25:V25" ca="1" si="23">U23/U24-1</f>
        <v>#NAME?</v>
      </c>
      <c r="V25" s="146" t="e">
        <f t="shared" ca="1" si="23"/>
        <v>#NAME?</v>
      </c>
    </row>
    <row r="26" spans="3:22" ht="6" customHeight="1" x14ac:dyDescent="0.25">
      <c r="C26" s="147"/>
      <c r="D26" s="147"/>
      <c r="E26" s="147"/>
      <c r="F26" s="148"/>
      <c r="G26" s="148"/>
      <c r="H26" s="148"/>
      <c r="I26" s="148"/>
      <c r="J26" s="148"/>
      <c r="K26" s="280"/>
      <c r="L26" s="280"/>
      <c r="M26" s="281"/>
      <c r="N26" s="148"/>
      <c r="O26" s="148"/>
      <c r="P26" s="148"/>
      <c r="Q26" s="148"/>
      <c r="R26" s="227"/>
      <c r="S26" s="148"/>
      <c r="T26" s="227"/>
      <c r="U26" s="148"/>
      <c r="V26" s="148"/>
    </row>
    <row r="27" spans="3:22" ht="17.25" customHeight="1" x14ac:dyDescent="0.25">
      <c r="C27" s="29" t="s">
        <v>126</v>
      </c>
      <c r="K27" s="251"/>
      <c r="L27" s="251"/>
      <c r="M27" s="184"/>
      <c r="R27" s="220"/>
      <c r="T27" s="220"/>
    </row>
    <row r="28" spans="3:22" ht="17.25" customHeight="1" x14ac:dyDescent="0.25">
      <c r="D28" s="2" t="s">
        <v>153</v>
      </c>
      <c r="F28" s="9">
        <f>Model!AH51</f>
        <v>0.17845316064463904</v>
      </c>
      <c r="G28" s="9">
        <f>Model!AI51</f>
        <v>0.17723029409700289</v>
      </c>
      <c r="H28" s="9">
        <f>Model!AJ51</f>
        <v>0.20174736561291184</v>
      </c>
      <c r="I28" s="9">
        <f>Model!AK51</f>
        <v>0.20316924745435921</v>
      </c>
      <c r="J28" s="9">
        <f>Model!AN51</f>
        <v>0.24423149665868113</v>
      </c>
      <c r="K28" s="241">
        <f>Model!AO51</f>
        <v>0.24396581591407784</v>
      </c>
      <c r="L28" s="241">
        <f>Model!AP51</f>
        <v>0.23914336704342654</v>
      </c>
      <c r="M28" s="109">
        <f>Model!AQ51</f>
        <v>0.22091388400702988</v>
      </c>
      <c r="N28" s="9">
        <f>Model!AT51</f>
        <v>0.25552250142414079</v>
      </c>
      <c r="O28" s="9">
        <f>Model!AU51</f>
        <v>0.25591707112469292</v>
      </c>
      <c r="P28" s="9">
        <f>Model!AV51</f>
        <v>0.23345337141437975</v>
      </c>
      <c r="Q28" s="9">
        <f>Model!AW51</f>
        <v>0.22600437985247582</v>
      </c>
      <c r="R28" s="160">
        <f>Model!AL51</f>
        <v>0.19094014505191242</v>
      </c>
      <c r="S28" s="9">
        <f>Model!AR51</f>
        <v>0.23695198329853862</v>
      </c>
      <c r="T28" s="160">
        <f>Model!AX51</f>
        <v>0.24263309277462103</v>
      </c>
      <c r="U28" s="9">
        <f>Model!BD51</f>
        <v>0.23507812823676438</v>
      </c>
      <c r="V28" s="9">
        <f>Model!BJ51</f>
        <v>0.24210680251663647</v>
      </c>
    </row>
    <row r="29" spans="3:22" ht="17.25" customHeight="1" x14ac:dyDescent="0.25">
      <c r="D29" s="2" t="s">
        <v>154</v>
      </c>
      <c r="F29" s="9" t="e">
        <f t="shared" ref="F28:S29" ca="1" si="24">F18/F7</f>
        <v>#NAME?</v>
      </c>
      <c r="G29" s="9" t="e">
        <f t="shared" ref="G29:I29" ca="1" si="25">G18/G7</f>
        <v>#NAME?</v>
      </c>
      <c r="H29" s="9" t="e">
        <f t="shared" ca="1" si="25"/>
        <v>#NAME?</v>
      </c>
      <c r="I29" s="9" t="e">
        <f t="shared" ca="1" si="25"/>
        <v>#NAME?</v>
      </c>
      <c r="J29" s="9" t="e">
        <f t="shared" ref="J29:M29" ca="1" si="26">J18/J7</f>
        <v>#NAME?</v>
      </c>
      <c r="K29" s="241" t="e">
        <f t="shared" ca="1" si="26"/>
        <v>#NAME?</v>
      </c>
      <c r="L29" s="241" t="e">
        <f t="shared" ca="1" si="26"/>
        <v>#NAME?</v>
      </c>
      <c r="M29" s="109" t="e">
        <f t="shared" ca="1" si="26"/>
        <v>#NAME?</v>
      </c>
      <c r="N29" s="9" t="e">
        <f t="shared" ref="N29:Q29" ca="1" si="27">N18/N7</f>
        <v>#NAME?</v>
      </c>
      <c r="O29" s="9" t="e">
        <f t="shared" ca="1" si="27"/>
        <v>#NAME?</v>
      </c>
      <c r="P29" s="9" t="e">
        <f t="shared" ca="1" si="27"/>
        <v>#NAME?</v>
      </c>
      <c r="Q29" s="9" t="e">
        <f t="shared" ca="1" si="27"/>
        <v>#NAME?</v>
      </c>
      <c r="R29" s="160" t="e">
        <f t="shared" ca="1" si="24"/>
        <v>#NAME?</v>
      </c>
      <c r="S29" s="9" t="e">
        <f t="shared" ca="1" si="24"/>
        <v>#NAME?</v>
      </c>
      <c r="T29" s="160" t="e">
        <f t="shared" ref="T29:U29" ca="1" si="28">T18/T7</f>
        <v>#NAME?</v>
      </c>
      <c r="U29" s="9" t="e">
        <f t="shared" ca="1" si="28"/>
        <v>#NAME?</v>
      </c>
      <c r="V29" s="9" t="e">
        <f t="shared" ref="V29" ca="1" si="29">V18/V7</f>
        <v>#NAME?</v>
      </c>
    </row>
    <row r="30" spans="3:22" ht="17.25" customHeight="1" x14ac:dyDescent="0.25">
      <c r="D30" s="2" t="s">
        <v>138</v>
      </c>
      <c r="K30" s="251"/>
      <c r="L30" s="251"/>
      <c r="M30" s="184"/>
      <c r="R30" s="220"/>
      <c r="T30" s="220"/>
    </row>
    <row r="31" spans="3:22" ht="17.25" customHeight="1" x14ac:dyDescent="0.25">
      <c r="C31" s="145"/>
      <c r="D31" s="145" t="s">
        <v>155</v>
      </c>
      <c r="E31" s="145"/>
      <c r="F31" s="146" t="e">
        <f ca="1">F28/F29-1</f>
        <v>#NAME?</v>
      </c>
      <c r="G31" s="146" t="e">
        <f t="shared" ref="G31:I31" ca="1" si="30">G28/G29-1</f>
        <v>#NAME?</v>
      </c>
      <c r="H31" s="146" t="e">
        <f t="shared" ca="1" si="30"/>
        <v>#NAME?</v>
      </c>
      <c r="I31" s="146" t="e">
        <f t="shared" ca="1" si="30"/>
        <v>#NAME?</v>
      </c>
      <c r="J31" s="146" t="e">
        <f t="shared" ref="J31:M31" ca="1" si="31">J28/J29-1</f>
        <v>#NAME?</v>
      </c>
      <c r="K31" s="278" t="e">
        <f t="shared" ca="1" si="31"/>
        <v>#NAME?</v>
      </c>
      <c r="L31" s="278" t="e">
        <f t="shared" ca="1" si="31"/>
        <v>#NAME?</v>
      </c>
      <c r="M31" s="279" t="e">
        <f t="shared" ca="1" si="31"/>
        <v>#NAME?</v>
      </c>
      <c r="N31" s="146" t="e">
        <f t="shared" ref="N31:Q31" ca="1" si="32">N28/N29-1</f>
        <v>#NAME?</v>
      </c>
      <c r="O31" s="146" t="e">
        <f t="shared" ca="1" si="32"/>
        <v>#NAME?</v>
      </c>
      <c r="P31" s="146" t="e">
        <f t="shared" ca="1" si="32"/>
        <v>#NAME?</v>
      </c>
      <c r="Q31" s="146" t="e">
        <f t="shared" ca="1" si="32"/>
        <v>#NAME?</v>
      </c>
      <c r="R31" s="226" t="e">
        <f t="shared" ref="R31:S31" ca="1" si="33">R28/R29-1</f>
        <v>#NAME?</v>
      </c>
      <c r="S31" s="146" t="e">
        <f t="shared" ca="1" si="33"/>
        <v>#NAME?</v>
      </c>
      <c r="T31" s="226" t="e">
        <f t="shared" ref="T31:U31" ca="1" si="34">T28/T29-1</f>
        <v>#NAME?</v>
      </c>
      <c r="U31" s="146" t="e">
        <f t="shared" ca="1" si="34"/>
        <v>#NAME?</v>
      </c>
      <c r="V31" s="146" t="e">
        <f t="shared" ref="V31" ca="1" si="35">V28/V29-1</f>
        <v>#NAME?</v>
      </c>
    </row>
    <row r="32" spans="3:22" ht="6" customHeight="1" x14ac:dyDescent="0.25">
      <c r="C32" s="147"/>
      <c r="D32" s="147"/>
      <c r="E32" s="147"/>
      <c r="F32" s="148"/>
      <c r="G32" s="148"/>
      <c r="H32" s="148"/>
      <c r="I32" s="148"/>
      <c r="J32" s="148"/>
      <c r="K32" s="280"/>
      <c r="L32" s="280"/>
      <c r="M32" s="281"/>
      <c r="N32" s="148"/>
      <c r="O32" s="148"/>
      <c r="P32" s="148"/>
      <c r="Q32" s="148"/>
      <c r="R32" s="227"/>
      <c r="S32" s="148"/>
      <c r="T32" s="227"/>
      <c r="U32" s="148"/>
      <c r="V32" s="148"/>
    </row>
    <row r="33" spans="3:23" ht="18" customHeight="1" x14ac:dyDescent="0.25">
      <c r="C33" s="29" t="s">
        <v>156</v>
      </c>
      <c r="K33" s="251"/>
      <c r="L33" s="251"/>
      <c r="M33" s="184"/>
      <c r="R33" s="220"/>
      <c r="T33" s="220"/>
    </row>
    <row r="34" spans="3:23" ht="18" customHeight="1" x14ac:dyDescent="0.25">
      <c r="D34" s="2" t="s">
        <v>153</v>
      </c>
      <c r="F34" s="27">
        <f>Model!AH40</f>
        <v>1868</v>
      </c>
      <c r="G34" s="27">
        <f>Model!AI40</f>
        <v>1972</v>
      </c>
      <c r="H34" s="27">
        <f>Model!AJ40</f>
        <v>2474</v>
      </c>
      <c r="I34" s="27">
        <f>Model!AK40</f>
        <v>2814</v>
      </c>
      <c r="J34" s="27">
        <f>Model!AN40</f>
        <v>3342</v>
      </c>
      <c r="K34" s="235">
        <f>Model!AO40</f>
        <v>3683</v>
      </c>
      <c r="L34" s="235">
        <f>Model!AP40</f>
        <v>3495</v>
      </c>
      <c r="M34" s="185">
        <f>Model!AQ40</f>
        <v>3226</v>
      </c>
      <c r="N34" s="27">
        <f>Model!AT40</f>
        <v>3513</v>
      </c>
      <c r="O34" s="27">
        <f>Model!AU40</f>
        <v>3740</v>
      </c>
      <c r="P34" s="27">
        <f>Model!AV40</f>
        <v>3217</v>
      </c>
      <c r="Q34" s="27">
        <f>Model!AW40</f>
        <v>3180.1915876932271</v>
      </c>
      <c r="R34" s="158">
        <f>Model!AL40</f>
        <v>9128</v>
      </c>
      <c r="S34" s="27">
        <f>Model!AR40</f>
        <v>13746</v>
      </c>
      <c r="T34" s="158">
        <f>Model!AX40</f>
        <v>13650.191587693231</v>
      </c>
      <c r="U34" s="27">
        <f>Model!BD40</f>
        <v>13009.019852544148</v>
      </c>
      <c r="V34" s="27">
        <f>Model!BJ40</f>
        <v>14127.504827873705</v>
      </c>
    </row>
    <row r="35" spans="3:23" ht="18" customHeight="1" x14ac:dyDescent="0.25">
      <c r="D35" s="2" t="s">
        <v>154</v>
      </c>
      <c r="F35" s="27" t="e">
        <f ca="1">_xll.BDP($B$2, "BEST_EBIT","BEST_CONSENSUS_STAT_OVERRIDE","MEAN","BEST_FPERIOD_OVERRIDE",F$2)</f>
        <v>#NAME?</v>
      </c>
      <c r="G35" s="27" t="e">
        <f ca="1">_xll.BDP($B$2, "BEST_EBIT","BEST_CONSENSUS_STAT_OVERRIDE","MEAN","BEST_FPERIOD_OVERRIDE",G$2)</f>
        <v>#NAME?</v>
      </c>
      <c r="H35" s="465" t="e">
        <f ca="1">_xll.BDP($B$2, "BEST_EBIT","BEST_CONSENSUS_STAT_OVERRIDE","MEAN","BEST_FPERIOD_OVERRIDE",H$2)</f>
        <v>#NAME?</v>
      </c>
      <c r="I35" s="465" t="e">
        <f ca="1">_xll.BDP($B$2, "BEST_EBIT","BEST_CONSENSUS_STAT_OVERRIDE","MEAN","BEST_FPERIOD_OVERRIDE",I$2)</f>
        <v>#NAME?</v>
      </c>
      <c r="J35" s="465" t="e">
        <f ca="1">_xll.BDP($B$2, "BEST_EBIT","BEST_CONSENSUS_STAT_OVERRIDE","MEAN","BEST_FPERIOD_OVERRIDE",J$2)</f>
        <v>#NAME?</v>
      </c>
      <c r="K35" s="464" t="e">
        <f ca="1">_xll.BDP($B$2, "BEST_EBIT","BEST_CONSENSUS_STAT_OVERRIDE","MEAN","BEST_FPERIOD_OVERRIDE",K$2)</f>
        <v>#NAME?</v>
      </c>
      <c r="L35" s="464" t="e">
        <f ca="1">_xll.BDP($B$2, "BEST_EBIT","BEST_CONSENSUS_STAT_OVERRIDE","MEAN","BEST_FPERIOD_OVERRIDE",L$2)</f>
        <v>#NAME?</v>
      </c>
      <c r="M35" s="653" t="e">
        <f ca="1">_xll.BDP($B$2, "BEST_EBIT","BEST_CONSENSUS_STAT_OVERRIDE","MEAN","BEST_FPERIOD_OVERRIDE",M$2)</f>
        <v>#NAME?</v>
      </c>
      <c r="N35" s="465" t="e">
        <f ca="1">_xll.BDP($B$2, "BEST_EBIT","BEST_CONSENSUS_STAT_OVERRIDE","MEAN","BEST_FPERIOD_OVERRIDE",N$2)</f>
        <v>#NAME?</v>
      </c>
      <c r="O35" s="465" t="e">
        <f ca="1">_xll.BDP($B$2, "BEST_EBIT","BEST_CONSENSUS_STAT_OVERRIDE","MEAN","BEST_FPERIOD_OVERRIDE",O$2)</f>
        <v>#NAME?</v>
      </c>
      <c r="P35" s="465" t="e">
        <f ca="1">_xll.BDP($B$2, "BEST_EBIT","BEST_CONSENSUS_STAT_OVERRIDE","MEAN","BEST_FPERIOD_OVERRIDE",P$2)</f>
        <v>#NAME?</v>
      </c>
      <c r="Q35" s="465" t="e">
        <f ca="1">_xll.BDP($B$2, "BEST_EBIT","BEST_CONSENSUS_STAT_OVERRIDE","MEAN","BEST_FPERIOD_OVERRIDE",Q$2)</f>
        <v>#NAME?</v>
      </c>
      <c r="R35" s="466" t="e">
        <f ca="1">_xll.BDP($B$2, "BEST_EBIT","BEST_CONSENSUS_STAT_OVERRIDE","MEAN","BEST_FPERIOD_OVERRIDE",R$2)</f>
        <v>#NAME?</v>
      </c>
      <c r="S35" s="27" t="e">
        <f ca="1">_xll.BDP($B$2, "BEST_EBIT","BEST_CONSENSUS_STAT_OVERRIDE","MEAN","BEST_FPERIOD_OVERRIDE",S$2)</f>
        <v>#NAME?</v>
      </c>
      <c r="T35" s="158" t="e">
        <f ca="1">_xll.BDP($B$2, "BEST_EBIT","BEST_CONSENSUS_STAT_OVERRIDE","MEAN","BEST_FPERIOD_OVERRIDE",T$2)</f>
        <v>#NAME?</v>
      </c>
      <c r="U35" s="27" t="e">
        <f ca="1">_xll.BDP($B$2, "BEST_EBIT","BEST_CONSENSUS_STAT_OVERRIDE","MEAN","BEST_FPERIOD_OVERRIDE",U$2)</f>
        <v>#NAME?</v>
      </c>
      <c r="V35" s="27" t="e">
        <f ca="1">_xll.BDP($B$2, "BEST_EBIT","BEST_CONSENSUS_STAT_OVERRIDE","MEAN","BEST_FPERIOD_OVERRIDE",V$2)</f>
        <v>#NAME?</v>
      </c>
    </row>
    <row r="36" spans="3:23" ht="18" customHeight="1" x14ac:dyDescent="0.25">
      <c r="D36" s="2" t="s">
        <v>138</v>
      </c>
      <c r="K36" s="251"/>
      <c r="L36" s="251"/>
      <c r="M36" s="184"/>
      <c r="R36" s="220"/>
      <c r="S36" s="9"/>
      <c r="T36" s="160"/>
      <c r="U36" s="9"/>
      <c r="V36" s="9"/>
    </row>
    <row r="37" spans="3:23" ht="18" customHeight="1" x14ac:dyDescent="0.25">
      <c r="C37" s="145"/>
      <c r="D37" s="145" t="s">
        <v>155</v>
      </c>
      <c r="E37" s="145"/>
      <c r="F37" s="146" t="e">
        <f ca="1">F34/F35-1</f>
        <v>#NAME?</v>
      </c>
      <c r="G37" s="146" t="e">
        <f t="shared" ref="G37:I37" ca="1" si="36">G34/G35-1</f>
        <v>#NAME?</v>
      </c>
      <c r="H37" s="146" t="e">
        <f t="shared" ca="1" si="36"/>
        <v>#NAME?</v>
      </c>
      <c r="I37" s="146" t="e">
        <f t="shared" ca="1" si="36"/>
        <v>#NAME?</v>
      </c>
      <c r="J37" s="146" t="e">
        <f t="shared" ref="J37:M37" ca="1" si="37">J34/J35-1</f>
        <v>#NAME?</v>
      </c>
      <c r="K37" s="278" t="e">
        <f t="shared" ca="1" si="37"/>
        <v>#NAME?</v>
      </c>
      <c r="L37" s="278" t="e">
        <f t="shared" ca="1" si="37"/>
        <v>#NAME?</v>
      </c>
      <c r="M37" s="279" t="e">
        <f t="shared" ca="1" si="37"/>
        <v>#NAME?</v>
      </c>
      <c r="N37" s="146" t="e">
        <f t="shared" ref="N37:Q37" ca="1" si="38">N34/N35-1</f>
        <v>#NAME?</v>
      </c>
      <c r="O37" s="146" t="e">
        <f t="shared" ca="1" si="38"/>
        <v>#NAME?</v>
      </c>
      <c r="P37" s="146" t="e">
        <f t="shared" ca="1" si="38"/>
        <v>#NAME?</v>
      </c>
      <c r="Q37" s="146" t="e">
        <f t="shared" ca="1" si="38"/>
        <v>#NAME?</v>
      </c>
      <c r="R37" s="226" t="e">
        <f t="shared" ref="R37:S37" ca="1" si="39">R34/R35-1</f>
        <v>#NAME?</v>
      </c>
      <c r="S37" s="146" t="e">
        <f t="shared" ca="1" si="39"/>
        <v>#NAME?</v>
      </c>
      <c r="T37" s="226" t="e">
        <f t="shared" ref="T37:U37" ca="1" si="40">T34/T35-1</f>
        <v>#NAME?</v>
      </c>
      <c r="U37" s="146" t="e">
        <f t="shared" ca="1" si="40"/>
        <v>#NAME?</v>
      </c>
      <c r="V37" s="146" t="e">
        <f t="shared" ref="V37" ca="1" si="41">V34/V35-1</f>
        <v>#NAME?</v>
      </c>
    </row>
    <row r="38" spans="3:23" ht="6" customHeight="1" x14ac:dyDescent="0.25">
      <c r="K38" s="251"/>
      <c r="L38" s="251"/>
      <c r="M38" s="184"/>
      <c r="R38" s="220"/>
      <c r="T38" s="220"/>
    </row>
    <row r="39" spans="3:23" ht="18" customHeight="1" x14ac:dyDescent="0.25">
      <c r="C39" s="29" t="s">
        <v>58</v>
      </c>
      <c r="K39" s="251"/>
      <c r="L39" s="251"/>
      <c r="M39" s="184"/>
      <c r="R39" s="220"/>
      <c r="S39" s="403"/>
      <c r="T39" s="220"/>
    </row>
    <row r="40" spans="3:23" ht="18" customHeight="1" x14ac:dyDescent="0.25">
      <c r="D40" s="2" t="s">
        <v>153</v>
      </c>
      <c r="F40" s="7">
        <f>Model!AH78</f>
        <v>2.8757198588147874</v>
      </c>
      <c r="G40" s="7">
        <f>Model!AI78</f>
        <v>3.1810522374087249</v>
      </c>
      <c r="H40" s="7">
        <f>Model!AJ78</f>
        <v>3.944649796227846</v>
      </c>
      <c r="I40" s="7">
        <f>Model!AK78</f>
        <v>3.860625839892494</v>
      </c>
      <c r="J40" s="7">
        <f>Model!AN78</f>
        <v>4.907585675779746</v>
      </c>
      <c r="K40" s="258">
        <f>Model!AO78</f>
        <v>5.5514563106796118</v>
      </c>
      <c r="L40" s="258">
        <f>Model!AP78</f>
        <v>5.5208739758095975</v>
      </c>
      <c r="M40" s="186">
        <f>Model!AQ78</f>
        <v>5.2307692307692308</v>
      </c>
      <c r="N40" s="7">
        <f>Model!AT78</f>
        <v>5.5987120144898377</v>
      </c>
      <c r="O40" s="7">
        <f>Model!AU78</f>
        <v>5.9918283963227781</v>
      </c>
      <c r="P40" s="7">
        <f>Model!AV78</f>
        <v>5.1736182453256632</v>
      </c>
      <c r="Q40" s="7">
        <f>Model!AW78</f>
        <v>5.1070938522946268</v>
      </c>
      <c r="R40" s="221">
        <f>Model!AL78</f>
        <v>13.841620105146522</v>
      </c>
      <c r="S40" s="654">
        <f>Model!AR78</f>
        <v>21.207400194741968</v>
      </c>
      <c r="T40" s="221">
        <f>Model!AX78</f>
        <v>21.878616731371036</v>
      </c>
      <c r="U40" s="7">
        <f>Model!BD78</f>
        <v>21.199987287493283</v>
      </c>
      <c r="V40" s="7">
        <f>Model!BJ78</f>
        <v>23.894825876200414</v>
      </c>
      <c r="W40" s="56"/>
    </row>
    <row r="41" spans="3:23" ht="18" customHeight="1" x14ac:dyDescent="0.25">
      <c r="D41" s="2" t="s">
        <v>154</v>
      </c>
      <c r="F41" s="7" t="e">
        <f ca="1">_xll.BDP($B$2, "BEST_EPS","BEST_CONSENSUS_STAT_OVERRIDE","MEAN","BEST_FPERIOD_OVERRIDE",F$2)</f>
        <v>#NAME?</v>
      </c>
      <c r="G41" s="7" t="e">
        <f ca="1">_xll.BDP($B$2, "BEST_EPS","BEST_CONSENSUS_STAT_OVERRIDE","MEAN","BEST_FPERIOD_OVERRIDE",G$2)</f>
        <v>#NAME?</v>
      </c>
      <c r="H41" s="7" t="e">
        <f ca="1">_xll.BDP($B$2, "BEST_EPS","BEST_CONSENSUS_STAT_OVERRIDE","MEAN","BEST_FPERIOD_OVERRIDE",H$2)</f>
        <v>#NAME?</v>
      </c>
      <c r="I41" s="7" t="e">
        <f ca="1">_xll.BDP($B$2, "BEST_EPS","BEST_CONSENSUS_STAT_OVERRIDE","MEAN","BEST_FPERIOD_OVERRIDE",I$2)</f>
        <v>#NAME?</v>
      </c>
      <c r="J41" s="7" t="e">
        <f ca="1">_xll.BDP($B$2, "BEST_EPS","BEST_CONSENSUS_STAT_OVERRIDE","MEAN","BEST_FPERIOD_OVERRIDE",J$2)</f>
        <v>#NAME?</v>
      </c>
      <c r="K41" s="258" t="e">
        <f ca="1">_xll.BDP($B$2, "BEST_EPS","BEST_CONSENSUS_STAT_OVERRIDE","MEAN","BEST_FPERIOD_OVERRIDE",K$2)</f>
        <v>#NAME?</v>
      </c>
      <c r="L41" s="258" t="e">
        <f ca="1">_xll.BDP($B$2, "BEST_EPS","BEST_CONSENSUS_STAT_OVERRIDE","MEAN","BEST_FPERIOD_OVERRIDE",L$2)</f>
        <v>#NAME?</v>
      </c>
      <c r="M41" s="186" t="e">
        <f ca="1">_xll.BDP($B$2, "BEST_EPS","BEST_CONSENSUS_STAT_OVERRIDE","MEAN","BEST_FPERIOD_OVERRIDE",M$2)</f>
        <v>#NAME?</v>
      </c>
      <c r="N41" s="7" t="e">
        <f ca="1">_xll.BDP($B$2, "BEST_EPS","BEST_CONSENSUS_STAT_OVERRIDE","MEAN","BEST_FPERIOD_OVERRIDE",N$2)</f>
        <v>#NAME?</v>
      </c>
      <c r="O41" s="7" t="e">
        <f ca="1">_xll.BDP($B$2, "BEST_EPS","BEST_CONSENSUS_STAT_OVERRIDE","MEAN","BEST_FPERIOD_OVERRIDE",O$2)</f>
        <v>#NAME?</v>
      </c>
      <c r="P41" s="7" t="e">
        <f ca="1">_xll.BDP($B$2, "BEST_EPS","BEST_CONSENSUS_STAT_OVERRIDE","MEAN","BEST_FPERIOD_OVERRIDE",P$2)</f>
        <v>#NAME?</v>
      </c>
      <c r="Q41" s="7" t="e">
        <f ca="1">_xll.BDP($B$2, "BEST_EPS","BEST_CONSENSUS_STAT_OVERRIDE","MEAN","BEST_FPERIOD_OVERRIDE",Q$2)</f>
        <v>#NAME?</v>
      </c>
      <c r="R41" s="221" t="e">
        <f ca="1">_xll.BDP($B$2, "BEST_EPS","BEST_CONSENSUS_STAT_OVERRIDE","MEAN","BEST_FPERIOD_OVERRIDE",R$2)</f>
        <v>#NAME?</v>
      </c>
      <c r="S41" s="654" t="e">
        <f ca="1">_xll.BDP($B$2, "BEST_EPS","BEST_CONSENSUS_STAT_OVERRIDE","MEAN","BEST_FPERIOD_OVERRIDE",S$2)</f>
        <v>#NAME?</v>
      </c>
      <c r="T41" s="221" t="e">
        <f ca="1">_xll.BDP($B$2, "BEST_EPS","BEST_CONSENSUS_STAT_OVERRIDE","MEAN","BEST_FPERIOD_OVERRIDE",T$2)</f>
        <v>#NAME?</v>
      </c>
      <c r="U41" s="7" t="e">
        <f ca="1">_xll.BDP($B$2, "BEST_EPS","BEST_CONSENSUS_STAT_OVERRIDE","MEAN","BEST_FPERIOD_OVERRIDE",U$2)</f>
        <v>#NAME?</v>
      </c>
      <c r="V41" s="7" t="e">
        <f ca="1">_xll.BDP($B$2, "BEST_EPS","BEST_CONSENSUS_STAT_OVERRIDE","MEAN","BEST_FPERIOD_OVERRIDE",V$2)</f>
        <v>#NAME?</v>
      </c>
      <c r="W41" s="56"/>
    </row>
    <row r="42" spans="3:23" ht="18" customHeight="1" x14ac:dyDescent="0.25">
      <c r="D42" s="2" t="s">
        <v>138</v>
      </c>
      <c r="F42" s="7"/>
      <c r="G42" s="7"/>
      <c r="H42" s="7"/>
      <c r="I42" s="7"/>
      <c r="J42" s="7"/>
      <c r="K42" s="258"/>
      <c r="L42" s="258"/>
      <c r="M42" s="186"/>
      <c r="N42" s="7"/>
      <c r="O42" s="7"/>
      <c r="P42" s="7"/>
      <c r="Q42" s="7"/>
      <c r="R42" s="220"/>
      <c r="S42" s="7"/>
      <c r="T42" s="313"/>
      <c r="U42" s="7"/>
      <c r="V42" s="7"/>
    </row>
    <row r="43" spans="3:23" ht="18" customHeight="1" x14ac:dyDescent="0.25">
      <c r="C43" s="145"/>
      <c r="D43" s="145" t="s">
        <v>155</v>
      </c>
      <c r="E43" s="145"/>
      <c r="F43" s="146" t="e">
        <f ca="1">F40/F41-1</f>
        <v>#NAME?</v>
      </c>
      <c r="G43" s="146" t="e">
        <f t="shared" ref="G43:I43" ca="1" si="42">G40/G41-1</f>
        <v>#NAME?</v>
      </c>
      <c r="H43" s="146" t="e">
        <f t="shared" ca="1" si="42"/>
        <v>#NAME?</v>
      </c>
      <c r="I43" s="146" t="e">
        <f t="shared" ca="1" si="42"/>
        <v>#NAME?</v>
      </c>
      <c r="J43" s="146" t="e">
        <f t="shared" ref="J43:M43" ca="1" si="43">J40/J41-1</f>
        <v>#NAME?</v>
      </c>
      <c r="K43" s="278" t="e">
        <f t="shared" ca="1" si="43"/>
        <v>#NAME?</v>
      </c>
      <c r="L43" s="278" t="e">
        <f t="shared" ca="1" si="43"/>
        <v>#NAME?</v>
      </c>
      <c r="M43" s="279" t="e">
        <f t="shared" ca="1" si="43"/>
        <v>#NAME?</v>
      </c>
      <c r="N43" s="146" t="e">
        <f t="shared" ref="N43:Q43" ca="1" si="44">N40/N41-1</f>
        <v>#NAME?</v>
      </c>
      <c r="O43" s="146" t="e">
        <f t="shared" ca="1" si="44"/>
        <v>#NAME?</v>
      </c>
      <c r="P43" s="146" t="e">
        <f t="shared" ca="1" si="44"/>
        <v>#NAME?</v>
      </c>
      <c r="Q43" s="146" t="e">
        <f t="shared" ca="1" si="44"/>
        <v>#NAME?</v>
      </c>
      <c r="R43" s="226" t="e">
        <f t="shared" ref="R43:S43" ca="1" si="45">R40/R41-1</f>
        <v>#NAME?</v>
      </c>
      <c r="S43" s="146" t="e">
        <f t="shared" ca="1" si="45"/>
        <v>#NAME?</v>
      </c>
      <c r="T43" s="226" t="e">
        <f t="shared" ref="T43:U43" ca="1" si="46">T40/T41-1</f>
        <v>#NAME?</v>
      </c>
      <c r="U43" s="146" t="e">
        <f t="shared" ca="1" si="46"/>
        <v>#NAME?</v>
      </c>
      <c r="V43" s="146" t="e">
        <f t="shared" ref="V43" ca="1" si="47">V40/V41-1</f>
        <v>#NAME?</v>
      </c>
    </row>
    <row r="44" spans="3:23" ht="6" customHeight="1" x14ac:dyDescent="0.25">
      <c r="K44" s="251"/>
      <c r="L44" s="251"/>
      <c r="M44" s="184"/>
      <c r="R44" s="220"/>
      <c r="T44" s="220"/>
    </row>
    <row r="45" spans="3:23" ht="18" customHeight="1" x14ac:dyDescent="0.25">
      <c r="C45" s="29" t="s">
        <v>157</v>
      </c>
      <c r="K45" s="251"/>
      <c r="L45" s="251"/>
      <c r="M45" s="184"/>
      <c r="R45" s="220"/>
      <c r="T45" s="220"/>
    </row>
    <row r="46" spans="3:23" ht="18" customHeight="1" x14ac:dyDescent="0.25">
      <c r="D46" s="2" t="s">
        <v>153</v>
      </c>
      <c r="F46" s="7">
        <f>(Model!AH162)/Model!AH81</f>
        <v>0.58146015233141379</v>
      </c>
      <c r="G46" s="7">
        <f>(Model!AI162)/Model!AI81</f>
        <v>4.1808650065530797</v>
      </c>
      <c r="H46" s="7">
        <f>(Model!AJ162)/Model!AJ81</f>
        <v>4.7028717657094115</v>
      </c>
      <c r="I46" s="7">
        <f>(Model!AK162)/Model!AK81</f>
        <v>5.2582069495104626</v>
      </c>
      <c r="J46" s="7">
        <f>(Model!AN162)/Model!AN81</f>
        <v>3.0284944166345786</v>
      </c>
      <c r="K46" s="258">
        <f>(Model!AO162)/Model!AO81</f>
        <v>6.3087378640776697</v>
      </c>
      <c r="L46" s="258">
        <f>(Model!AP162)/Model!AP81</f>
        <v>7.9204057744830276</v>
      </c>
      <c r="M46" s="186">
        <f>(Model!AQ162)/Model!AQ81</f>
        <v>7.8954635108481259</v>
      </c>
      <c r="N46" s="7">
        <f>(Model!AT162)/Model!AT81</f>
        <v>4.1296035419601536</v>
      </c>
      <c r="O46" s="7">
        <f>(Model!AU162)/Model!AU81</f>
        <v>6.1716036772216549</v>
      </c>
      <c r="P46" s="7">
        <f>(Model!AV162)/Model!AV81</f>
        <v>7.3330593794945553</v>
      </c>
      <c r="Q46" s="7">
        <f>(Model!AW162)/Model!AW81</f>
        <v>8.7030686280979381</v>
      </c>
      <c r="R46" s="221">
        <f>(Model!AL162)/Model!AL81</f>
        <v>14.646957587759625</v>
      </c>
      <c r="S46" s="7">
        <f>(Model!AR162)/Model!AR81</f>
        <v>25.092502434274586</v>
      </c>
      <c r="T46" s="221">
        <f>Model!AX162/Model!AX81</f>
        <v>26.274191492682668</v>
      </c>
      <c r="U46" s="7">
        <f>(Model!BD162)/Model!BD81</f>
        <v>25.694757676966905</v>
      </c>
      <c r="V46" s="7">
        <f>(Model!BJ162)/Model!BJ81</f>
        <v>28.199674239250509</v>
      </c>
    </row>
    <row r="47" spans="3:23" ht="18" customHeight="1" x14ac:dyDescent="0.25">
      <c r="D47" s="2" t="s">
        <v>154</v>
      </c>
      <c r="F47" s="7" t="e">
        <f ca="1">_xll.BDP($B$2, "BEST_CPS","BEST_CONSENSUS_STAT_OVERRIDE","MEAN","BEST_FPERIOD_OVERRIDE",F$2)</f>
        <v>#NAME?</v>
      </c>
      <c r="G47" s="7" t="e">
        <f ca="1">_xll.BDP($B$2, "BEST_CPS","BEST_CONSENSUS_STAT_OVERRIDE","MEAN","BEST_FPERIOD_OVERRIDE",G$2)</f>
        <v>#NAME?</v>
      </c>
      <c r="H47" s="7" t="e">
        <f ca="1">_xll.BDP($B$2, "BEST_CPS","BEST_CONSENSUS_STAT_OVERRIDE","MEAN","BEST_FPERIOD_OVERRIDE",H$2)</f>
        <v>#NAME?</v>
      </c>
      <c r="I47" s="7" t="e">
        <f ca="1">_xll.BDP($B$2, "BEST_CPS","BEST_CONSENSUS_STAT_OVERRIDE","MEAN","BEST_FPERIOD_OVERRIDE",I$2)</f>
        <v>#NAME?</v>
      </c>
      <c r="J47" s="7" t="e">
        <f ca="1">_xll.BDP($B$2, "BEST_CPS","BEST_CONSENSUS_STAT_OVERRIDE","MEAN","BEST_FPERIOD_OVERRIDE",J$2)</f>
        <v>#NAME?</v>
      </c>
      <c r="K47" s="258" t="e">
        <f ca="1">_xll.BDP($B$2, "BEST_CPS","BEST_CONSENSUS_STAT_OVERRIDE","MEAN","BEST_FPERIOD_OVERRIDE",K$2)</f>
        <v>#NAME?</v>
      </c>
      <c r="L47" s="258" t="e">
        <f ca="1">_xll.BDP($B$2, "BEST_CPS","BEST_CONSENSUS_STAT_OVERRIDE","MEAN","BEST_FPERIOD_OVERRIDE",L$2)</f>
        <v>#NAME?</v>
      </c>
      <c r="M47" s="186" t="e">
        <f ca="1">_xll.BDP($B$2, "BEST_CPS","BEST_CONSENSUS_STAT_OVERRIDE","MEAN","BEST_FPERIOD_OVERRIDE",M$2)</f>
        <v>#NAME?</v>
      </c>
      <c r="N47" s="7" t="e">
        <f ca="1">_xll.BDP($B$2, "BEST_CPS","BEST_CONSENSUS_STAT_OVERRIDE","MEAN","BEST_FPERIOD_OVERRIDE",N$2)</f>
        <v>#NAME?</v>
      </c>
      <c r="O47" s="7" t="e">
        <f ca="1">_xll.BDP($B$2, "BEST_CPS","BEST_CONSENSUS_STAT_OVERRIDE","MEAN","BEST_FPERIOD_OVERRIDE",O$2)</f>
        <v>#NAME?</v>
      </c>
      <c r="P47" s="7" t="e">
        <f ca="1">_xll.BDP($B$2, "BEST_CPS","BEST_CONSENSUS_STAT_OVERRIDE","MEAN","BEST_FPERIOD_OVERRIDE",P$2)</f>
        <v>#NAME?</v>
      </c>
      <c r="Q47" s="7" t="e">
        <f ca="1">_xll.BDP($B$2, "BEST_CPS","BEST_CONSENSUS_STAT_OVERRIDE","MEAN","BEST_FPERIOD_OVERRIDE",Q$2)</f>
        <v>#NAME?</v>
      </c>
      <c r="R47" s="221" t="e">
        <f ca="1">_xll.BDP($B$2, "BEST_CPS","BEST_CONSENSUS_STAT_OVERRIDE","MEAN","BEST_FPERIOD_OVERRIDE",R$2)</f>
        <v>#NAME?</v>
      </c>
      <c r="S47" s="7" t="e">
        <f ca="1">_xll.BDP($B$2, "BEST_CPS","BEST_CONSENSUS_STAT_OVERRIDE","MEAN","BEST_FPERIOD_OVERRIDE",S$2)</f>
        <v>#NAME?</v>
      </c>
      <c r="T47" s="221" t="e">
        <f ca="1">_xll.BDP($B$2, "BEST_CPS","BEST_CONSENSUS_STAT_OVERRIDE","MEAN","BEST_FPERIOD_OVERRIDE",T$2)</f>
        <v>#NAME?</v>
      </c>
      <c r="U47" s="7" t="e">
        <f ca="1">_xll.BDP($B$2, "BEST_CPS","BEST_CONSENSUS_STAT_OVERRIDE","MEAN","BEST_FPERIOD_OVERRIDE",U$2)</f>
        <v>#NAME?</v>
      </c>
      <c r="V47" s="7" t="e">
        <f ca="1">_xll.BDP($B$2, "BEST_CPS","BEST_CONSENSUS_STAT_OVERRIDE","MEAN","BEST_FPERIOD_OVERRIDE",V$2)</f>
        <v>#NAME?</v>
      </c>
    </row>
    <row r="48" spans="3:23" ht="18" customHeight="1" x14ac:dyDescent="0.25">
      <c r="D48" s="2" t="s">
        <v>138</v>
      </c>
      <c r="K48" s="251"/>
      <c r="L48" s="251"/>
      <c r="M48" s="184"/>
      <c r="R48" s="220"/>
      <c r="T48" s="220"/>
    </row>
    <row r="49" spans="3:22" ht="18" customHeight="1" x14ac:dyDescent="0.25">
      <c r="C49" s="145"/>
      <c r="D49" s="145" t="s">
        <v>155</v>
      </c>
      <c r="E49" s="145"/>
      <c r="F49" s="146" t="e">
        <f t="shared" ref="F49" ca="1" si="48">F46/F47-1</f>
        <v>#NAME?</v>
      </c>
      <c r="G49" s="146" t="e">
        <f t="shared" ref="G49:I49" ca="1" si="49">G46/G47-1</f>
        <v>#NAME?</v>
      </c>
      <c r="H49" s="146" t="e">
        <f t="shared" ca="1" si="49"/>
        <v>#NAME?</v>
      </c>
      <c r="I49" s="146" t="e">
        <f t="shared" ca="1" si="49"/>
        <v>#NAME?</v>
      </c>
      <c r="J49" s="146" t="e">
        <f t="shared" ref="J49:M49" ca="1" si="50">J46/J47-1</f>
        <v>#NAME?</v>
      </c>
      <c r="K49" s="278" t="e">
        <f t="shared" ca="1" si="50"/>
        <v>#NAME?</v>
      </c>
      <c r="L49" s="278" t="e">
        <f t="shared" ca="1" si="50"/>
        <v>#NAME?</v>
      </c>
      <c r="M49" s="279" t="e">
        <f t="shared" ca="1" si="50"/>
        <v>#NAME?</v>
      </c>
      <c r="N49" s="146" t="e">
        <f t="shared" ref="N49:Q49" ca="1" si="51">N46/N47-1</f>
        <v>#NAME?</v>
      </c>
      <c r="O49" s="146" t="e">
        <f t="shared" ca="1" si="51"/>
        <v>#NAME?</v>
      </c>
      <c r="P49" s="146" t="e">
        <f t="shared" ca="1" si="51"/>
        <v>#NAME?</v>
      </c>
      <c r="Q49" s="146" t="e">
        <f t="shared" ca="1" si="51"/>
        <v>#NAME?</v>
      </c>
      <c r="R49" s="226" t="e">
        <f t="shared" ref="R49:S49" ca="1" si="52">R46/R47-1</f>
        <v>#NAME?</v>
      </c>
      <c r="S49" s="146" t="e">
        <f t="shared" ca="1" si="52"/>
        <v>#NAME?</v>
      </c>
      <c r="T49" s="226" t="e">
        <f t="shared" ref="T49:U49" ca="1" si="53">T46/T47-1</f>
        <v>#NAME?</v>
      </c>
      <c r="U49" s="146" t="e">
        <f t="shared" ca="1" si="53"/>
        <v>#NAME?</v>
      </c>
      <c r="V49" s="146" t="e">
        <f t="shared" ref="V49" ca="1" si="54">V46/V47-1</f>
        <v>#NAME?</v>
      </c>
    </row>
    <row r="50" spans="3:22" ht="6" customHeight="1" x14ac:dyDescent="0.25">
      <c r="C50" s="147"/>
      <c r="D50" s="147"/>
      <c r="E50" s="147"/>
      <c r="F50" s="148"/>
      <c r="G50" s="148"/>
      <c r="H50" s="148"/>
      <c r="I50" s="148"/>
      <c r="J50" s="148"/>
      <c r="K50" s="280"/>
      <c r="L50" s="280"/>
      <c r="M50" s="281"/>
      <c r="N50" s="148"/>
      <c r="O50" s="148"/>
      <c r="P50" s="148"/>
      <c r="Q50" s="148"/>
      <c r="R50" s="227"/>
      <c r="S50" s="148"/>
      <c r="T50" s="227"/>
      <c r="U50" s="148"/>
      <c r="V50" s="148"/>
    </row>
    <row r="51" spans="3:22" ht="18" customHeight="1" x14ac:dyDescent="0.25">
      <c r="C51" s="29" t="s">
        <v>105</v>
      </c>
      <c r="D51" s="147"/>
      <c r="E51" s="147"/>
      <c r="F51" s="148"/>
      <c r="G51" s="148"/>
      <c r="H51" s="148"/>
      <c r="I51" s="148"/>
      <c r="J51" s="148"/>
      <c r="K51" s="280"/>
      <c r="L51" s="280"/>
      <c r="M51" s="281"/>
      <c r="N51" s="148"/>
      <c r="O51" s="148"/>
      <c r="P51" s="148"/>
      <c r="Q51" s="148"/>
      <c r="R51" s="227"/>
      <c r="S51" s="148"/>
      <c r="T51" s="227"/>
      <c r="U51" s="148"/>
      <c r="V51" s="148"/>
    </row>
    <row r="52" spans="3:22" ht="18" customHeight="1" x14ac:dyDescent="0.25">
      <c r="C52" s="147"/>
      <c r="D52" s="2" t="s">
        <v>153</v>
      </c>
      <c r="E52" s="147"/>
      <c r="F52" s="104">
        <f>Model!AH162+Model!AH165</f>
        <v>-33</v>
      </c>
      <c r="G52" s="104">
        <f>Model!AI162+Model!AI165</f>
        <v>1993</v>
      </c>
      <c r="H52" s="104">
        <f>Model!AJ162+Model!AJ165</f>
        <v>2199</v>
      </c>
      <c r="I52" s="104">
        <f>Model!AK162+Model!AK165</f>
        <v>2311</v>
      </c>
      <c r="J52" s="104">
        <f>Model!AN162+Model!AN165</f>
        <v>1151</v>
      </c>
      <c r="K52" s="246">
        <f>Model!AO162+Model!AO165</f>
        <v>2988</v>
      </c>
      <c r="L52" s="246">
        <f>Model!AP162+Model!AP165</f>
        <v>3682</v>
      </c>
      <c r="M52" s="265">
        <f>Model!AQ162+Model!AQ165</f>
        <v>3467</v>
      </c>
      <c r="N52" s="104">
        <f>Model!AT162+Model!AT165</f>
        <v>1552</v>
      </c>
      <c r="O52" s="104">
        <f>Model!AU162+Model!AU165</f>
        <v>2680</v>
      </c>
      <c r="P52" s="104">
        <f>Model!AV162+Model!AV165</f>
        <v>3125</v>
      </c>
      <c r="Q52" s="104">
        <f>Model!AW162+Model!AW165</f>
        <v>3568.6433487883814</v>
      </c>
      <c r="R52" s="655">
        <f>Model!AL162+Model!AL165</f>
        <v>6470</v>
      </c>
      <c r="S52" s="104">
        <f>Model!AR162+Model!AR165</f>
        <v>11288</v>
      </c>
      <c r="T52" s="196">
        <f>Model!AX162+Model!AX165</f>
        <v>10925.643348788382</v>
      </c>
      <c r="U52" s="104">
        <f>Model!BD162+Model!BD165</f>
        <v>10053.159374073681</v>
      </c>
      <c r="V52" s="104">
        <f>Model!BJ162+Model!BJ165</f>
        <v>10552.133981843352</v>
      </c>
    </row>
    <row r="53" spans="3:22" ht="18" customHeight="1" x14ac:dyDescent="0.25">
      <c r="C53" s="147"/>
      <c r="D53" s="2" t="s">
        <v>154</v>
      </c>
      <c r="E53" s="147"/>
      <c r="F53" s="27" t="e">
        <f ca="1">_xll.BDP($B$2, "BEST_estimate_FCF","BEST_CONSENSUS_STAT_OVERRIDE","MEAN","BEST_FPERIOD_OVERRIDE",F$2)</f>
        <v>#NAME?</v>
      </c>
      <c r="G53" s="27" t="e">
        <f ca="1">_xll.BDP($B$2, "BEST_estimate_FCF","BEST_CONSENSUS_STAT_OVERRIDE","MEAN","BEST_FPERIOD_OVERRIDE",G$2)</f>
        <v>#NAME?</v>
      </c>
      <c r="H53" s="27" t="e">
        <f ca="1">_xll.BDP($B$2, "BEST_estimate_FCF","BEST_CONSENSUS_STAT_OVERRIDE","MEAN","BEST_FPERIOD_OVERRIDE",H$2)</f>
        <v>#NAME?</v>
      </c>
      <c r="I53" s="27" t="e">
        <f ca="1">_xll.BDP($B$2, "BEST_estimate_FCF","BEST_CONSENSUS_STAT_OVERRIDE","MEAN","BEST_FPERIOD_OVERRIDE",I$2)</f>
        <v>#NAME?</v>
      </c>
      <c r="J53" s="27" t="e">
        <f ca="1">_xll.BDP($B$2, "BEST_estimate_FCF","BEST_CONSENSUS_STAT_OVERRIDE","MEAN","BEST_FPERIOD_OVERRIDE",J$2)</f>
        <v>#NAME?</v>
      </c>
      <c r="K53" s="235" t="e">
        <f ca="1">_xll.BDP($B$2, "BEST_estimate_FCF","BEST_CONSENSUS_STAT_OVERRIDE","MEAN","BEST_FPERIOD_OVERRIDE",K$2)</f>
        <v>#NAME?</v>
      </c>
      <c r="L53" s="235" t="e">
        <f ca="1">_xll.BDP($B$2, "BEST_estimate_FCF","BEST_CONSENSUS_STAT_OVERRIDE","MEAN","BEST_FPERIOD_OVERRIDE",L$2)</f>
        <v>#NAME?</v>
      </c>
      <c r="M53" s="185" t="e">
        <f ca="1">_xll.BDP($B$2, "BEST_estimate_FCF","BEST_CONSENSUS_STAT_OVERRIDE","MEAN","BEST_FPERIOD_OVERRIDE",M$2)</f>
        <v>#NAME?</v>
      </c>
      <c r="N53" s="27" t="e">
        <f ca="1">_xll.BDP($B$2, "BEST_estimate_FCF","BEST_CONSENSUS_STAT_OVERRIDE","MEAN","BEST_FPERIOD_OVERRIDE",N$2)</f>
        <v>#NAME?</v>
      </c>
      <c r="O53" s="27" t="e">
        <f ca="1">_xll.BDP($B$2, "BEST_estimate_FCF","BEST_CONSENSUS_STAT_OVERRIDE","MEAN","BEST_FPERIOD_OVERRIDE",O$2)</f>
        <v>#NAME?</v>
      </c>
      <c r="P53" s="27" t="e">
        <f ca="1">_xll.BDP($B$2, "BEST_estimate_FCF","BEST_CONSENSUS_STAT_OVERRIDE","MEAN","BEST_FPERIOD_OVERRIDE",P$2)</f>
        <v>#NAME?</v>
      </c>
      <c r="Q53" s="27" t="e">
        <f ca="1">_xll.BDP($B$2, "BEST_estimate_FCF","BEST_CONSENSUS_STAT_OVERRIDE","MEAN","BEST_FPERIOD_OVERRIDE",Q$2)</f>
        <v>#NAME?</v>
      </c>
      <c r="R53" s="466" t="e">
        <f ca="1">_xll.BDP($B$2, "BEST_estimate_FCF","BEST_CONSENSUS_STAT_OVERRIDE","MEAN","BEST_FPERIOD_OVERRIDE",R$2)</f>
        <v>#NAME?</v>
      </c>
      <c r="S53" s="27" t="e">
        <f ca="1">_xll.BDP($B$2, "BEST_estimate_FCF","BEST_CONSENSUS_STAT_OVERRIDE","MEAN","BEST_FPERIOD_OVERRIDE",S$2)</f>
        <v>#NAME?</v>
      </c>
      <c r="T53" s="158" t="e">
        <f ca="1">_xll.BDP($B$2, "BEST_estimate_FCF","BEST_CONSENSUS_STAT_OVERRIDE","MEAN","BEST_FPERIOD_OVERRIDE",T$2)</f>
        <v>#NAME?</v>
      </c>
      <c r="U53" s="27" t="e">
        <f ca="1">_xll.BDP($B$2, "BEST_estimate_FCF","BEST_CONSENSUS_STAT_OVERRIDE","MEAN","BEST_FPERIOD_OVERRIDE",U$2)</f>
        <v>#NAME?</v>
      </c>
      <c r="V53" s="27" t="e">
        <f ca="1">_xll.BDP($B$2, "BEST_estimate_FCF","BEST_CONSENSUS_STAT_OVERRIDE","MEAN","BEST_FPERIOD_OVERRIDE",V$2)</f>
        <v>#NAME?</v>
      </c>
    </row>
    <row r="54" spans="3:22" ht="18" customHeight="1" x14ac:dyDescent="0.25">
      <c r="C54" s="147"/>
      <c r="D54" s="2" t="s">
        <v>138</v>
      </c>
      <c r="E54" s="147"/>
      <c r="F54" s="149"/>
      <c r="G54" s="149"/>
      <c r="H54" s="149"/>
      <c r="I54" s="149"/>
      <c r="J54" s="149"/>
      <c r="K54" s="282"/>
      <c r="L54" s="282"/>
      <c r="M54" s="266"/>
      <c r="N54" s="149"/>
      <c r="O54" s="149"/>
      <c r="P54" s="149"/>
      <c r="Q54" s="149"/>
      <c r="R54" s="229"/>
      <c r="S54" s="149"/>
      <c r="T54" s="229"/>
      <c r="U54" s="149"/>
      <c r="V54" s="149"/>
    </row>
    <row r="55" spans="3:22" ht="18" customHeight="1" x14ac:dyDescent="0.25">
      <c r="C55" s="145"/>
      <c r="D55" s="145" t="s">
        <v>155</v>
      </c>
      <c r="E55" s="145"/>
      <c r="F55" s="146" t="e">
        <f t="shared" ref="F55:S55" ca="1" si="55">F52/F53-1</f>
        <v>#NAME?</v>
      </c>
      <c r="G55" s="146" t="e">
        <f t="shared" ref="G55:I55" ca="1" si="56">G52/G53-1</f>
        <v>#NAME?</v>
      </c>
      <c r="H55" s="146" t="e">
        <f t="shared" ca="1" si="56"/>
        <v>#NAME?</v>
      </c>
      <c r="I55" s="146" t="e">
        <f t="shared" ca="1" si="56"/>
        <v>#NAME?</v>
      </c>
      <c r="J55" s="146" t="e">
        <f t="shared" ref="J55:M55" ca="1" si="57">J52/J53-1</f>
        <v>#NAME?</v>
      </c>
      <c r="K55" s="278" t="e">
        <f t="shared" ca="1" si="57"/>
        <v>#NAME?</v>
      </c>
      <c r="L55" s="278" t="e">
        <f t="shared" ca="1" si="57"/>
        <v>#NAME?</v>
      </c>
      <c r="M55" s="279" t="e">
        <f t="shared" ca="1" si="57"/>
        <v>#NAME?</v>
      </c>
      <c r="N55" s="146" t="e">
        <f t="shared" ref="N55:Q55" ca="1" si="58">N52/N53-1</f>
        <v>#NAME?</v>
      </c>
      <c r="O55" s="146" t="e">
        <f t="shared" ca="1" si="58"/>
        <v>#NAME?</v>
      </c>
      <c r="P55" s="146" t="e">
        <f t="shared" ca="1" si="58"/>
        <v>#NAME?</v>
      </c>
      <c r="Q55" s="146" t="e">
        <f t="shared" ca="1" si="58"/>
        <v>#NAME?</v>
      </c>
      <c r="R55" s="226" t="e">
        <f t="shared" ca="1" si="55"/>
        <v>#NAME?</v>
      </c>
      <c r="S55" s="146" t="e">
        <f t="shared" ca="1" si="55"/>
        <v>#NAME?</v>
      </c>
      <c r="T55" s="226" t="e">
        <f t="shared" ref="T55:U55" ca="1" si="59">T52/T53-1</f>
        <v>#NAME?</v>
      </c>
      <c r="U55" s="146" t="e">
        <f t="shared" ca="1" si="59"/>
        <v>#NAME?</v>
      </c>
      <c r="V55" s="146" t="e">
        <f t="shared" ref="V55" ca="1" si="60">V52/V53-1</f>
        <v>#NAME?</v>
      </c>
    </row>
    <row r="56" spans="3:22" ht="6" customHeight="1" thickBot="1" x14ac:dyDescent="0.3"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283"/>
      <c r="N56" s="126"/>
      <c r="O56" s="126"/>
      <c r="P56" s="126"/>
      <c r="Q56" s="126"/>
      <c r="R56" s="230"/>
      <c r="S56" s="126"/>
      <c r="T56" s="220"/>
    </row>
  </sheetData>
  <pageMargins left="0.7" right="0.7" top="0.75" bottom="0.75" header="0.3" footer="0.3"/>
  <pageSetup scale="3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3ACBB-7117-469E-954D-58E207B24533}">
  <dimension ref="A1:CO306"/>
  <sheetViews>
    <sheetView showGridLines="0" topLeftCell="A3" zoomScaleNormal="100" workbookViewId="0">
      <pane xSplit="3" ySplit="3" topLeftCell="D6" activePane="bottomRight" state="frozen"/>
      <selection activeCell="A3" sqref="A3"/>
      <selection pane="topRight" activeCell="D3" sqref="D3"/>
      <selection pane="bottomLeft" activeCell="A6" sqref="A6"/>
      <selection pane="bottomRight" activeCell="H6" sqref="H6"/>
    </sheetView>
  </sheetViews>
  <sheetFormatPr defaultColWidth="9.140625" defaultRowHeight="18" customHeight="1" outlineLevelRow="1" outlineLevelCol="1" x14ac:dyDescent="0.25"/>
  <cols>
    <col min="1" max="1" width="3.7109375" style="2" customWidth="1"/>
    <col min="2" max="2" width="34.85546875" style="2" customWidth="1"/>
    <col min="3" max="3" width="4.7109375" style="2" customWidth="1"/>
    <col min="4" max="6" width="9.140625" style="2" hidden="1" customWidth="1" outlineLevel="1"/>
    <col min="7" max="7" width="9.5703125" style="2" hidden="1" customWidth="1" outlineLevel="1"/>
    <col min="8" max="8" width="9.140625" style="2" customWidth="1" collapsed="1"/>
    <col min="9" max="9" width="4.7109375" style="2" hidden="1" customWidth="1" outlineLevel="1"/>
    <col min="10" max="13" width="9.42578125" style="2" hidden="1" customWidth="1" outlineLevel="1"/>
    <col min="14" max="14" width="9.140625" style="2" customWidth="1" collapsed="1"/>
    <col min="15" max="15" width="4.7109375" style="2" hidden="1" customWidth="1" outlineLevel="1"/>
    <col min="16" max="16" width="9.85546875" style="2" hidden="1" customWidth="1" outlineLevel="1"/>
    <col min="17" max="19" width="9.42578125" style="2" hidden="1" customWidth="1" outlineLevel="1"/>
    <col min="20" max="20" width="9.85546875" style="2" customWidth="1" collapsed="1"/>
    <col min="21" max="21" width="4.7109375" style="2" hidden="1" customWidth="1" outlineLevel="1"/>
    <col min="22" max="25" width="9.42578125" style="2" hidden="1" customWidth="1" outlineLevel="1"/>
    <col min="26" max="26" width="9.140625" style="2" customWidth="1" collapsed="1"/>
    <col min="27" max="27" width="4.7109375" style="2" hidden="1" customWidth="1" outlineLevel="1"/>
    <col min="28" max="31" width="9.42578125" style="2" hidden="1" customWidth="1" outlineLevel="1"/>
    <col min="32" max="32" width="9.140625" style="2" customWidth="1" collapsed="1"/>
    <col min="33" max="33" width="4.7109375" style="2" hidden="1" customWidth="1" outlineLevel="1"/>
    <col min="34" max="37" width="9.140625" style="2" hidden="1" customWidth="1" outlineLevel="1"/>
    <col min="38" max="38" width="9.140625" style="2" collapsed="1"/>
    <col min="39" max="39" width="4.7109375" style="2" hidden="1" customWidth="1" outlineLevel="1"/>
    <col min="40" max="43" width="9.140625" style="2" hidden="1" customWidth="1" outlineLevel="1"/>
    <col min="44" max="44" width="9.140625" style="2" collapsed="1"/>
    <col min="45" max="45" width="4.7109375" style="2" customWidth="1" outlineLevel="1"/>
    <col min="46" max="47" width="9.140625" style="2" customWidth="1" outlineLevel="1"/>
    <col min="48" max="48" width="9.42578125" style="2" customWidth="1" outlineLevel="1"/>
    <col min="49" max="49" width="9.140625" style="2" customWidth="1" outlineLevel="1"/>
    <col min="50" max="50" width="9.140625" style="2" customWidth="1"/>
    <col min="51" max="51" width="4.7109375" style="2" hidden="1" customWidth="1" outlineLevel="1"/>
    <col min="52" max="55" width="9.140625" style="2" hidden="1" customWidth="1" outlineLevel="1"/>
    <col min="56" max="56" width="9.140625" style="2" customWidth="1" collapsed="1"/>
    <col min="57" max="57" width="4.7109375" style="2" hidden="1" customWidth="1" outlineLevel="1"/>
    <col min="58" max="61" width="9.140625" style="2" hidden="1" customWidth="1" outlineLevel="1"/>
    <col min="62" max="62" width="9.140625" style="2" customWidth="1" collapsed="1"/>
    <col min="63" max="63" width="4.7109375" style="2" hidden="1" customWidth="1" outlineLevel="1"/>
    <col min="64" max="67" width="9.140625" style="2" hidden="1" customWidth="1" outlineLevel="1"/>
    <col min="68" max="68" width="9.140625" style="2" customWidth="1" collapsed="1"/>
    <col min="69" max="69" width="4.7109375" style="2" hidden="1" customWidth="1" outlineLevel="1"/>
    <col min="70" max="73" width="9.140625" style="2" hidden="1" customWidth="1" outlineLevel="1"/>
    <col min="74" max="74" width="9.140625" style="2" customWidth="1" collapsed="1"/>
    <col min="75" max="75" width="4.7109375" style="2" hidden="1" customWidth="1" outlineLevel="1"/>
    <col min="76" max="79" width="9.140625" style="2" hidden="1" customWidth="1" outlineLevel="1"/>
    <col min="80" max="80" width="9.140625" style="2" customWidth="1" collapsed="1"/>
    <col min="81" max="81" width="4.7109375" style="2" hidden="1" customWidth="1" outlineLevel="1"/>
    <col min="82" max="85" width="9.140625" style="2" hidden="1" customWidth="1" outlineLevel="1"/>
    <col min="86" max="86" width="9.140625" style="2" customWidth="1" collapsed="1"/>
    <col min="87" max="87" width="4.7109375" style="2" hidden="1" customWidth="1" outlineLevel="1"/>
    <col min="88" max="91" width="9.140625" style="2" hidden="1" customWidth="1" outlineLevel="1"/>
    <col min="92" max="92" width="9.140625" style="2" customWidth="1" collapsed="1"/>
    <col min="93" max="93" width="4.7109375" style="251" customWidth="1"/>
    <col min="94" max="98" width="9.140625" style="2"/>
    <col min="99" max="99" width="4.7109375" style="2" customWidth="1"/>
    <col min="100" max="16384" width="9.140625" style="2"/>
  </cols>
  <sheetData>
    <row r="1" spans="1:92" ht="18" hidden="1" customHeight="1" outlineLevel="1" x14ac:dyDescent="0.25"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35"/>
      <c r="AF1" s="235"/>
      <c r="AH1" s="27"/>
      <c r="AI1" s="27"/>
      <c r="AJ1" s="27"/>
      <c r="AK1" s="27"/>
      <c r="AL1" s="27"/>
      <c r="AN1" s="27"/>
      <c r="AO1" s="27"/>
      <c r="AP1" s="27"/>
      <c r="AQ1" s="27"/>
      <c r="AR1" s="27"/>
      <c r="AT1" s="27"/>
      <c r="AU1" s="27"/>
      <c r="AV1" s="262"/>
      <c r="AW1" s="27"/>
      <c r="AX1" s="27"/>
      <c r="AZ1" s="27"/>
      <c r="BA1" s="27"/>
      <c r="BB1" s="27"/>
      <c r="BC1" s="27"/>
      <c r="BD1" s="27"/>
      <c r="BF1" s="27"/>
      <c r="BG1" s="27"/>
      <c r="BH1" s="27"/>
      <c r="BI1" s="27"/>
      <c r="BJ1" s="27"/>
      <c r="BL1" s="27"/>
      <c r="BM1" s="27"/>
      <c r="BN1" s="27"/>
      <c r="BO1" s="27"/>
      <c r="BP1" s="27"/>
      <c r="BR1" s="27"/>
      <c r="BS1" s="27"/>
      <c r="BT1" s="27"/>
      <c r="BU1" s="27"/>
      <c r="BV1" s="27"/>
      <c r="BX1" s="27"/>
      <c r="BY1" s="27"/>
      <c r="BZ1" s="27"/>
      <c r="CA1" s="27"/>
      <c r="CB1" s="27"/>
      <c r="CD1" s="27"/>
      <c r="CE1" s="27"/>
      <c r="CF1" s="27"/>
      <c r="CG1" s="27"/>
      <c r="CH1" s="27"/>
      <c r="CJ1" s="27"/>
      <c r="CK1" s="27"/>
      <c r="CL1" s="27"/>
      <c r="CM1" s="27"/>
      <c r="CN1" s="27"/>
    </row>
    <row r="2" spans="1:92" ht="18" hidden="1" customHeight="1" outlineLevel="1" x14ac:dyDescent="0.25">
      <c r="C2" s="373">
        <v>42735</v>
      </c>
      <c r="D2" s="372">
        <f>EOMONTH(C2,3)</f>
        <v>42825</v>
      </c>
      <c r="E2" s="372">
        <f>EOMONTH(D2,3)</f>
        <v>42916</v>
      </c>
      <c r="F2" s="372">
        <f t="shared" ref="F2:G2" si="0">EOMONTH(E2,3)</f>
        <v>43008</v>
      </c>
      <c r="G2" s="372">
        <f t="shared" si="0"/>
        <v>43100</v>
      </c>
      <c r="J2" s="372">
        <f>EOMONTH(G2,3)</f>
        <v>43190</v>
      </c>
      <c r="K2" s="372">
        <f>EOMONTH(J2,3)</f>
        <v>43281</v>
      </c>
      <c r="L2" s="372">
        <f t="shared" ref="L2:M2" si="1">EOMONTH(K2,3)</f>
        <v>43373</v>
      </c>
      <c r="M2" s="372">
        <f t="shared" si="1"/>
        <v>43465</v>
      </c>
      <c r="N2" s="27"/>
      <c r="O2" s="27"/>
      <c r="P2" s="372">
        <f>EOMONTH(M2,3)</f>
        <v>43555</v>
      </c>
      <c r="Q2" s="372">
        <f>EOMONTH(P2,3)</f>
        <v>43646</v>
      </c>
      <c r="R2" s="372">
        <f t="shared" ref="R2:S2" si="2">EOMONTH(Q2,3)</f>
        <v>43738</v>
      </c>
      <c r="S2" s="372">
        <f t="shared" si="2"/>
        <v>43830</v>
      </c>
      <c r="T2" s="27"/>
      <c r="U2" s="27"/>
      <c r="V2" s="372">
        <f>EOMONTH(S2,3)</f>
        <v>43921</v>
      </c>
      <c r="W2" s="372">
        <f>EOMONTH(V2,3)</f>
        <v>44012</v>
      </c>
      <c r="X2" s="372">
        <f t="shared" ref="X2:Y2" si="3">EOMONTH(W2,3)</f>
        <v>44104</v>
      </c>
      <c r="Y2" s="372">
        <f t="shared" si="3"/>
        <v>44196</v>
      </c>
      <c r="Z2" s="27"/>
      <c r="AA2" s="27"/>
      <c r="AB2" s="372">
        <f>EOMONTH(Y2,3)</f>
        <v>44286</v>
      </c>
      <c r="AC2" s="372">
        <f>EOMONTH(AB2,3)</f>
        <v>44377</v>
      </c>
      <c r="AD2" s="372">
        <f t="shared" ref="AD2:AE2" si="4">EOMONTH(AC2,3)</f>
        <v>44469</v>
      </c>
      <c r="AE2" s="374">
        <f t="shared" si="4"/>
        <v>44561</v>
      </c>
      <c r="AF2" s="235"/>
      <c r="AH2" s="372">
        <f>EOMONTH(AE2,3)</f>
        <v>44651</v>
      </c>
      <c r="AI2" s="372">
        <f>EOMONTH(AH2,3)</f>
        <v>44742</v>
      </c>
      <c r="AJ2" s="372">
        <f t="shared" ref="AJ2:AK2" si="5">EOMONTH(AI2,3)</f>
        <v>44834</v>
      </c>
      <c r="AK2" s="372">
        <f t="shared" si="5"/>
        <v>44926</v>
      </c>
      <c r="AL2" s="27"/>
      <c r="AN2" s="372">
        <f>EOMONTH(AK2,3)</f>
        <v>45016</v>
      </c>
      <c r="AO2" s="372">
        <f>EOMONTH(AN2,3)</f>
        <v>45107</v>
      </c>
      <c r="AP2" s="372">
        <f t="shared" ref="AP2:AQ2" si="6">EOMONTH(AO2,3)</f>
        <v>45199</v>
      </c>
      <c r="AQ2" s="372">
        <f t="shared" si="6"/>
        <v>45291</v>
      </c>
      <c r="AR2" s="27"/>
      <c r="AT2" s="372">
        <f>EOMONTH(AQ2,3)</f>
        <v>45382</v>
      </c>
      <c r="AU2" s="372">
        <f>EOMONTH(AT2,3)</f>
        <v>45473</v>
      </c>
      <c r="AV2" s="375">
        <f t="shared" ref="AV2:AW2" si="7">EOMONTH(AU2,3)</f>
        <v>45565</v>
      </c>
      <c r="AW2" s="372">
        <f t="shared" si="7"/>
        <v>45657</v>
      </c>
      <c r="AX2" s="27"/>
      <c r="AZ2" s="372">
        <f>EOMONTH(AW2,3)</f>
        <v>45747</v>
      </c>
      <c r="BA2" s="372">
        <f>EOMONTH(AZ2,3)</f>
        <v>45838</v>
      </c>
      <c r="BB2" s="372">
        <f t="shared" ref="BB2:BC2" si="8">EOMONTH(BA2,3)</f>
        <v>45930</v>
      </c>
      <c r="BC2" s="372">
        <f t="shared" si="8"/>
        <v>46022</v>
      </c>
      <c r="BD2" s="27"/>
      <c r="BF2" s="372">
        <f>EOMONTH(BC2,3)</f>
        <v>46112</v>
      </c>
      <c r="BG2" s="372">
        <f>EOMONTH(BF2,3)</f>
        <v>46203</v>
      </c>
      <c r="BH2" s="372">
        <f t="shared" ref="BH2:BI2" si="9">EOMONTH(BG2,3)</f>
        <v>46295</v>
      </c>
      <c r="BI2" s="372">
        <f t="shared" si="9"/>
        <v>46387</v>
      </c>
      <c r="BJ2" s="27"/>
      <c r="BL2" s="372">
        <f>EOMONTH(BI2,3)</f>
        <v>46477</v>
      </c>
      <c r="BM2" s="372">
        <f>EOMONTH(BL2,3)</f>
        <v>46568</v>
      </c>
      <c r="BN2" s="372">
        <f t="shared" ref="BN2:BO2" si="10">EOMONTH(BM2,3)</f>
        <v>46660</v>
      </c>
      <c r="BO2" s="372">
        <f t="shared" si="10"/>
        <v>46752</v>
      </c>
      <c r="BP2" s="27"/>
      <c r="BR2" s="372">
        <f>EOMONTH(BO2,3)</f>
        <v>46843</v>
      </c>
      <c r="BS2" s="372">
        <f>EOMONTH(BR2,3)</f>
        <v>46934</v>
      </c>
      <c r="BT2" s="372">
        <f t="shared" ref="BT2:BU2" si="11">EOMONTH(BS2,3)</f>
        <v>47026</v>
      </c>
      <c r="BU2" s="372">
        <f t="shared" si="11"/>
        <v>47118</v>
      </c>
      <c r="BV2" s="27"/>
      <c r="BX2" s="372">
        <f>EOMONTH(BU2,3)</f>
        <v>47208</v>
      </c>
      <c r="BY2" s="372">
        <f>EOMONTH(BX2,3)</f>
        <v>47299</v>
      </c>
      <c r="BZ2" s="372">
        <f t="shared" ref="BZ2:CA2" si="12">EOMONTH(BY2,3)</f>
        <v>47391</v>
      </c>
      <c r="CA2" s="372">
        <f t="shared" si="12"/>
        <v>47483</v>
      </c>
      <c r="CB2" s="27"/>
      <c r="CD2" s="372">
        <f>EOMONTH(CA2,3)</f>
        <v>47573</v>
      </c>
      <c r="CE2" s="372">
        <f>EOMONTH(CD2,3)</f>
        <v>47664</v>
      </c>
      <c r="CF2" s="372">
        <f t="shared" ref="CF2:CG2" si="13">EOMONTH(CE2,3)</f>
        <v>47756</v>
      </c>
      <c r="CG2" s="372">
        <f t="shared" si="13"/>
        <v>47848</v>
      </c>
      <c r="CH2" s="27"/>
      <c r="CJ2" s="372">
        <f>EOMONTH(CG2,3)</f>
        <v>47938</v>
      </c>
      <c r="CK2" s="372">
        <f>EOMONTH(CJ2,3)</f>
        <v>48029</v>
      </c>
      <c r="CL2" s="372">
        <f t="shared" ref="CL2:CM2" si="14">EOMONTH(CK2,3)</f>
        <v>48121</v>
      </c>
      <c r="CM2" s="372">
        <f t="shared" si="14"/>
        <v>48213</v>
      </c>
      <c r="CN2" s="27"/>
    </row>
    <row r="3" spans="1:92" ht="18" customHeight="1" collapsed="1" thickBot="1" x14ac:dyDescent="0.3">
      <c r="D3" s="175" t="s">
        <v>201</v>
      </c>
      <c r="E3" s="175" t="s">
        <v>206</v>
      </c>
      <c r="F3" s="175" t="s">
        <v>207</v>
      </c>
      <c r="G3" s="175" t="s">
        <v>208</v>
      </c>
      <c r="J3" s="175" t="s">
        <v>202</v>
      </c>
      <c r="K3" s="175" t="s">
        <v>203</v>
      </c>
      <c r="L3" s="175" t="s">
        <v>204</v>
      </c>
      <c r="M3" s="175" t="s">
        <v>205</v>
      </c>
      <c r="N3" s="27"/>
      <c r="O3" s="27"/>
      <c r="P3" s="175" t="s">
        <v>209</v>
      </c>
      <c r="Q3" s="175" t="s">
        <v>210</v>
      </c>
      <c r="R3" s="175" t="s">
        <v>211</v>
      </c>
      <c r="S3" s="175" t="s">
        <v>212</v>
      </c>
      <c r="T3" s="27"/>
      <c r="U3" s="27"/>
      <c r="V3" s="175" t="s">
        <v>213</v>
      </c>
      <c r="W3" s="175" t="s">
        <v>214</v>
      </c>
      <c r="X3" s="175" t="s">
        <v>215</v>
      </c>
      <c r="Y3" s="175" t="s">
        <v>216</v>
      </c>
      <c r="Z3" s="27"/>
      <c r="AA3" s="27"/>
      <c r="AB3" s="175" t="s">
        <v>217</v>
      </c>
      <c r="AC3" s="175" t="s">
        <v>218</v>
      </c>
      <c r="AD3" s="175" t="s">
        <v>219</v>
      </c>
      <c r="AE3" s="175" t="s">
        <v>220</v>
      </c>
      <c r="AF3" s="27"/>
      <c r="AH3" s="175" t="s">
        <v>231</v>
      </c>
      <c r="AI3" s="175" t="s">
        <v>239</v>
      </c>
      <c r="AJ3" s="175" t="s">
        <v>406</v>
      </c>
      <c r="AK3" s="175" t="s">
        <v>407</v>
      </c>
      <c r="AL3" s="27"/>
      <c r="AN3" s="175" t="s">
        <v>408</v>
      </c>
      <c r="AO3" s="175" t="s">
        <v>409</v>
      </c>
      <c r="AP3" s="175" t="s">
        <v>410</v>
      </c>
      <c r="AQ3" s="175" t="s">
        <v>411</v>
      </c>
      <c r="AR3" s="235"/>
      <c r="AT3" s="175" t="s">
        <v>412</v>
      </c>
      <c r="AU3" s="175" t="s">
        <v>413</v>
      </c>
      <c r="AV3" s="175" t="s">
        <v>414</v>
      </c>
      <c r="AW3" s="175" t="s">
        <v>535</v>
      </c>
      <c r="AX3" s="27"/>
      <c r="AZ3" s="175" t="str">
        <f>CONCATENATE(RIGHT(AZ4,1),"-",RIGHT(AW3,4)+1)</f>
        <v>1-2025</v>
      </c>
      <c r="BA3" s="175" t="str">
        <f>CONCATENATE(RIGHT(BA4,1),"-",RIGHT(AZ3,4))</f>
        <v>2-2025</v>
      </c>
      <c r="BB3" s="175" t="str">
        <f t="shared" ref="BB3:BC3" si="15">CONCATENATE(RIGHT(BB4,1),"-",RIGHT(BA3,4))</f>
        <v>3-2025</v>
      </c>
      <c r="BC3" s="175" t="str">
        <f t="shared" si="15"/>
        <v>4-2025</v>
      </c>
      <c r="BD3" s="27"/>
      <c r="BF3" s="175" t="str">
        <f>CONCATENATE(RIGHT(BF4,1),"-",RIGHT(BC3,4)+1)</f>
        <v>1-2026</v>
      </c>
      <c r="BG3" s="175" t="str">
        <f>CONCATENATE(RIGHT(BG4,1),"-",RIGHT(BF3,4))</f>
        <v>2-2026</v>
      </c>
      <c r="BH3" s="175" t="str">
        <f t="shared" ref="BH3" si="16">CONCATENATE(RIGHT(BH4,1),"-",RIGHT(BG3,4))</f>
        <v>3-2026</v>
      </c>
      <c r="BI3" s="175" t="str">
        <f t="shared" ref="BI3" si="17">CONCATENATE(RIGHT(BI4,1),"-",RIGHT(BH3,4))</f>
        <v>4-2026</v>
      </c>
      <c r="BJ3" s="27"/>
      <c r="BL3" s="175" t="str">
        <f>CONCATENATE(RIGHT(BL4,1),"-",RIGHT(BI3,4)+1)</f>
        <v>1-2027</v>
      </c>
      <c r="BM3" s="175" t="str">
        <f>CONCATENATE(RIGHT(BM4,1),"-",RIGHT(BL3,4))</f>
        <v>2-2027</v>
      </c>
      <c r="BN3" s="175" t="str">
        <f t="shared" ref="BN3" si="18">CONCATENATE(RIGHT(BN4,1),"-",RIGHT(BM3,4))</f>
        <v>3-2027</v>
      </c>
      <c r="BO3" s="175" t="str">
        <f t="shared" ref="BO3" si="19">CONCATENATE(RIGHT(BO4,1),"-",RIGHT(BN3,4))</f>
        <v>4-2027</v>
      </c>
      <c r="BP3" s="27"/>
      <c r="BR3" s="175" t="str">
        <f>CONCATENATE(RIGHT(BR4,1),"-",RIGHT(BO3,4)+1)</f>
        <v>1-2028</v>
      </c>
      <c r="BS3" s="175" t="str">
        <f>CONCATENATE(RIGHT(BS4,1),"-",RIGHT(BR3,4))</f>
        <v>2-2028</v>
      </c>
      <c r="BT3" s="175" t="str">
        <f t="shared" ref="BT3" si="20">CONCATENATE(RIGHT(BT4,1),"-",RIGHT(BS3,4))</f>
        <v>3-2028</v>
      </c>
      <c r="BU3" s="175" t="str">
        <f t="shared" ref="BU3" si="21">CONCATENATE(RIGHT(BU4,1),"-",RIGHT(BT3,4))</f>
        <v>4-2028</v>
      </c>
      <c r="BV3" s="27"/>
      <c r="BX3" s="175" t="str">
        <f>CONCATENATE(RIGHT(BX4,1),"-",RIGHT(BU3,4)+1)</f>
        <v>1-2029</v>
      </c>
      <c r="BY3" s="175" t="str">
        <f>CONCATENATE(RIGHT(BY4,1),"-",RIGHT(BX3,4))</f>
        <v>2-2029</v>
      </c>
      <c r="BZ3" s="175" t="str">
        <f t="shared" ref="BZ3" si="22">CONCATENATE(RIGHT(BZ4,1),"-",RIGHT(BY3,4))</f>
        <v>3-2029</v>
      </c>
      <c r="CA3" s="175" t="str">
        <f t="shared" ref="CA3" si="23">CONCATENATE(RIGHT(CA4,1),"-",RIGHT(BZ3,4))</f>
        <v>4-2029</v>
      </c>
      <c r="CB3" s="27"/>
      <c r="CD3" s="175" t="str">
        <f>CONCATENATE(RIGHT(CD4,1),"-",RIGHT(CA3,4)+1)</f>
        <v>1-2030</v>
      </c>
      <c r="CE3" s="175" t="str">
        <f>CONCATENATE(RIGHT(CE4,1),"-",RIGHT(CD3,4))</f>
        <v>2-2030</v>
      </c>
      <c r="CF3" s="175" t="str">
        <f t="shared" ref="CF3" si="24">CONCATENATE(RIGHT(CF4,1),"-",RIGHT(CE3,4))</f>
        <v>3-2030</v>
      </c>
      <c r="CG3" s="175" t="str">
        <f t="shared" ref="CG3" si="25">CONCATENATE(RIGHT(CG4,1),"-",RIGHT(CF3,4))</f>
        <v>4-2030</v>
      </c>
      <c r="CH3" s="27"/>
      <c r="CJ3" s="175" t="str">
        <f>CONCATENATE(RIGHT(CJ4,1),"-",RIGHT(CG3,4)+1)</f>
        <v>1-2031</v>
      </c>
      <c r="CK3" s="175" t="str">
        <f>CONCATENATE(RIGHT(CK4,1),"-",RIGHT(CJ3,4))</f>
        <v>2-2031</v>
      </c>
      <c r="CL3" s="175" t="str">
        <f t="shared" ref="CL3" si="26">CONCATENATE(RIGHT(CL4,1),"-",RIGHT(CK3,4))</f>
        <v>3-2031</v>
      </c>
      <c r="CM3" s="175" t="str">
        <f t="shared" ref="CM3" si="27">CONCATENATE(RIGHT(CM4,1),"-",RIGHT(CL3,4))</f>
        <v>4-2031</v>
      </c>
      <c r="CN3" s="27"/>
    </row>
    <row r="4" spans="1:92" ht="18" customHeight="1" thickBot="1" x14ac:dyDescent="0.3">
      <c r="A4" s="383"/>
      <c r="B4" s="383"/>
      <c r="C4" s="383"/>
      <c r="D4" s="384" t="s">
        <v>0</v>
      </c>
      <c r="E4" s="384" t="s">
        <v>1</v>
      </c>
      <c r="F4" s="384" t="s">
        <v>2</v>
      </c>
      <c r="G4" s="384" t="s">
        <v>3</v>
      </c>
      <c r="H4" s="384">
        <v>2017</v>
      </c>
      <c r="I4" s="383"/>
      <c r="J4" s="384" t="s">
        <v>0</v>
      </c>
      <c r="K4" s="384" t="s">
        <v>1</v>
      </c>
      <c r="L4" s="384" t="s">
        <v>2</v>
      </c>
      <c r="M4" s="384" t="s">
        <v>3</v>
      </c>
      <c r="N4" s="384">
        <v>2018</v>
      </c>
      <c r="O4" s="384"/>
      <c r="P4" s="384" t="s">
        <v>0</v>
      </c>
      <c r="Q4" s="384" t="s">
        <v>1</v>
      </c>
      <c r="R4" s="384" t="s">
        <v>2</v>
      </c>
      <c r="S4" s="384" t="s">
        <v>3</v>
      </c>
      <c r="T4" s="384">
        <f>N4+1</f>
        <v>2019</v>
      </c>
      <c r="U4" s="384"/>
      <c r="V4" s="384" t="s">
        <v>0</v>
      </c>
      <c r="W4" s="384" t="s">
        <v>1</v>
      </c>
      <c r="X4" s="384" t="s">
        <v>2</v>
      </c>
      <c r="Y4" s="384" t="s">
        <v>3</v>
      </c>
      <c r="Z4" s="384">
        <f>T4+1</f>
        <v>2020</v>
      </c>
      <c r="AA4" s="384"/>
      <c r="AB4" s="384" t="s">
        <v>0</v>
      </c>
      <c r="AC4" s="384" t="s">
        <v>1</v>
      </c>
      <c r="AD4" s="384" t="s">
        <v>2</v>
      </c>
      <c r="AE4" s="384" t="s">
        <v>3</v>
      </c>
      <c r="AF4" s="384">
        <f>Z4+1</f>
        <v>2021</v>
      </c>
      <c r="AG4" s="383"/>
      <c r="AH4" s="384" t="s">
        <v>0</v>
      </c>
      <c r="AI4" s="384" t="s">
        <v>1</v>
      </c>
      <c r="AJ4" s="384" t="s">
        <v>2</v>
      </c>
      <c r="AK4" s="384" t="s">
        <v>3</v>
      </c>
      <c r="AL4" s="384">
        <f>AF4+1</f>
        <v>2022</v>
      </c>
      <c r="AM4" s="383"/>
      <c r="AN4" s="384" t="s">
        <v>0</v>
      </c>
      <c r="AO4" s="384" t="s">
        <v>1</v>
      </c>
      <c r="AP4" s="384" t="s">
        <v>2</v>
      </c>
      <c r="AQ4" s="384" t="s">
        <v>3</v>
      </c>
      <c r="AR4" s="384">
        <f>AL4+1</f>
        <v>2023</v>
      </c>
      <c r="AS4" s="384"/>
      <c r="AT4" s="384" t="s">
        <v>0</v>
      </c>
      <c r="AU4" s="384" t="s">
        <v>1</v>
      </c>
      <c r="AV4" s="385" t="s">
        <v>2</v>
      </c>
      <c r="AW4" s="384" t="s">
        <v>3</v>
      </c>
      <c r="AX4" s="384">
        <f>AR4+1</f>
        <v>2024</v>
      </c>
      <c r="AY4" s="383"/>
      <c r="AZ4" s="384" t="s">
        <v>0</v>
      </c>
      <c r="BA4" s="384" t="s">
        <v>1</v>
      </c>
      <c r="BB4" s="384" t="s">
        <v>2</v>
      </c>
      <c r="BC4" s="384" t="s">
        <v>3</v>
      </c>
      <c r="BD4" s="384">
        <f>AX4+1</f>
        <v>2025</v>
      </c>
      <c r="BE4" s="383"/>
      <c r="BF4" s="384" t="s">
        <v>0</v>
      </c>
      <c r="BG4" s="384" t="s">
        <v>1</v>
      </c>
      <c r="BH4" s="384" t="s">
        <v>2</v>
      </c>
      <c r="BI4" s="384" t="s">
        <v>3</v>
      </c>
      <c r="BJ4" s="384">
        <f>BD4+1</f>
        <v>2026</v>
      </c>
      <c r="BK4" s="383"/>
      <c r="BL4" s="384" t="s">
        <v>0</v>
      </c>
      <c r="BM4" s="384" t="s">
        <v>1</v>
      </c>
      <c r="BN4" s="384" t="s">
        <v>2</v>
      </c>
      <c r="BO4" s="384" t="s">
        <v>3</v>
      </c>
      <c r="BP4" s="384">
        <f>BJ4+1</f>
        <v>2027</v>
      </c>
      <c r="BQ4" s="383"/>
      <c r="BR4" s="384" t="s">
        <v>0</v>
      </c>
      <c r="BS4" s="384" t="s">
        <v>1</v>
      </c>
      <c r="BT4" s="384" t="s">
        <v>2</v>
      </c>
      <c r="BU4" s="384" t="s">
        <v>3</v>
      </c>
      <c r="BV4" s="384">
        <f>BP4+1</f>
        <v>2028</v>
      </c>
      <c r="BW4" s="383"/>
      <c r="BX4" s="384" t="s">
        <v>0</v>
      </c>
      <c r="BY4" s="384" t="s">
        <v>1</v>
      </c>
      <c r="BZ4" s="384" t="s">
        <v>2</v>
      </c>
      <c r="CA4" s="384" t="s">
        <v>3</v>
      </c>
      <c r="CB4" s="384">
        <f>BV4+1</f>
        <v>2029</v>
      </c>
      <c r="CC4" s="383"/>
      <c r="CD4" s="384" t="s">
        <v>0</v>
      </c>
      <c r="CE4" s="384" t="s">
        <v>1</v>
      </c>
      <c r="CF4" s="384" t="s">
        <v>2</v>
      </c>
      <c r="CG4" s="384" t="s">
        <v>3</v>
      </c>
      <c r="CH4" s="384">
        <f>CB4+1</f>
        <v>2030</v>
      </c>
      <c r="CI4" s="383"/>
      <c r="CJ4" s="384" t="s">
        <v>0</v>
      </c>
      <c r="CK4" s="384" t="s">
        <v>1</v>
      </c>
      <c r="CL4" s="384" t="s">
        <v>2</v>
      </c>
      <c r="CM4" s="384" t="s">
        <v>3</v>
      </c>
      <c r="CN4" s="384">
        <f>CH4+1</f>
        <v>2031</v>
      </c>
    </row>
    <row r="5" spans="1:92" ht="18" customHeight="1" x14ac:dyDescent="0.25">
      <c r="B5" s="2" t="s">
        <v>71</v>
      </c>
      <c r="D5" s="153">
        <f>D2-C2</f>
        <v>90</v>
      </c>
      <c r="E5" s="153">
        <f>E2-D2</f>
        <v>91</v>
      </c>
      <c r="F5" s="153">
        <f t="shared" ref="F5:G5" si="28">F2-E2</f>
        <v>92</v>
      </c>
      <c r="G5" s="153">
        <f t="shared" si="28"/>
        <v>92</v>
      </c>
      <c r="H5" s="71">
        <f>SUM(D5:G5)</f>
        <v>365</v>
      </c>
      <c r="I5" s="71"/>
      <c r="J5" s="153">
        <f>J2-G2</f>
        <v>90</v>
      </c>
      <c r="K5" s="153">
        <f t="shared" ref="K5:M5" si="29">K2-J2</f>
        <v>91</v>
      </c>
      <c r="L5" s="153">
        <f t="shared" si="29"/>
        <v>92</v>
      </c>
      <c r="M5" s="153">
        <f t="shared" si="29"/>
        <v>92</v>
      </c>
      <c r="N5" s="71">
        <f>SUM(J5:M5)</f>
        <v>365</v>
      </c>
      <c r="O5" s="71"/>
      <c r="P5" s="153">
        <f>P2-M2</f>
        <v>90</v>
      </c>
      <c r="Q5" s="153">
        <f t="shared" ref="Q5:S5" si="30">Q2-P2</f>
        <v>91</v>
      </c>
      <c r="R5" s="153">
        <f t="shared" si="30"/>
        <v>92</v>
      </c>
      <c r="S5" s="153">
        <f t="shared" si="30"/>
        <v>92</v>
      </c>
      <c r="T5" s="71">
        <f>SUM(P5:S5)</f>
        <v>365</v>
      </c>
      <c r="U5" s="71"/>
      <c r="V5" s="153">
        <f>V2-S2</f>
        <v>91</v>
      </c>
      <c r="W5" s="153">
        <f t="shared" ref="W5:Y5" si="31">W2-V2</f>
        <v>91</v>
      </c>
      <c r="X5" s="153">
        <f t="shared" si="31"/>
        <v>92</v>
      </c>
      <c r="Y5" s="153">
        <f t="shared" si="31"/>
        <v>92</v>
      </c>
      <c r="Z5" s="71">
        <f>SUM(V5:Y5)</f>
        <v>366</v>
      </c>
      <c r="AA5" s="71"/>
      <c r="AB5" s="153">
        <f>AB2-Y2</f>
        <v>90</v>
      </c>
      <c r="AC5" s="153">
        <f t="shared" ref="AC5:AE5" si="32">AC2-AB2</f>
        <v>91</v>
      </c>
      <c r="AD5" s="153">
        <f t="shared" si="32"/>
        <v>92</v>
      </c>
      <c r="AE5" s="153">
        <f t="shared" si="32"/>
        <v>92</v>
      </c>
      <c r="AF5" s="71">
        <f>SUM(AB5:AE5)</f>
        <v>365</v>
      </c>
      <c r="AG5" s="71"/>
      <c r="AH5" s="153">
        <f>AH2-AE2</f>
        <v>90</v>
      </c>
      <c r="AI5" s="153">
        <f t="shared" ref="AI5:AK5" si="33">AI2-AH2</f>
        <v>91</v>
      </c>
      <c r="AJ5" s="153">
        <f t="shared" si="33"/>
        <v>92</v>
      </c>
      <c r="AK5" s="153">
        <f t="shared" si="33"/>
        <v>92</v>
      </c>
      <c r="AL5" s="71">
        <f>SUM(AH5:AK5)</f>
        <v>365</v>
      </c>
      <c r="AM5" s="71"/>
      <c r="AN5" s="153">
        <f>AN2-AK2</f>
        <v>90</v>
      </c>
      <c r="AO5" s="153">
        <f t="shared" ref="AO5:AQ5" si="34">AO2-AN2</f>
        <v>91</v>
      </c>
      <c r="AP5" s="153">
        <f t="shared" si="34"/>
        <v>92</v>
      </c>
      <c r="AQ5" s="153">
        <f t="shared" si="34"/>
        <v>92</v>
      </c>
      <c r="AR5" s="236">
        <f>SUM(AN5:AQ5)</f>
        <v>365</v>
      </c>
      <c r="AS5" s="71"/>
      <c r="AT5" s="71">
        <f>AT2-AQ2</f>
        <v>91</v>
      </c>
      <c r="AU5" s="236">
        <f t="shared" ref="AU5:AW5" si="35">AU2-AT2</f>
        <v>91</v>
      </c>
      <c r="AV5" s="301">
        <f t="shared" si="35"/>
        <v>92</v>
      </c>
      <c r="AW5" s="71">
        <f t="shared" si="35"/>
        <v>92</v>
      </c>
      <c r="AX5" s="71">
        <f>SUM(AT5:AW5)</f>
        <v>366</v>
      </c>
      <c r="AY5" s="71"/>
      <c r="AZ5" s="71">
        <f>AZ2-AW2</f>
        <v>90</v>
      </c>
      <c r="BA5" s="71">
        <f t="shared" ref="BA5:BC5" si="36">BA2-AZ2</f>
        <v>91</v>
      </c>
      <c r="BB5" s="71">
        <f t="shared" si="36"/>
        <v>92</v>
      </c>
      <c r="BC5" s="71">
        <f t="shared" si="36"/>
        <v>92</v>
      </c>
      <c r="BD5" s="71">
        <f>SUM(AZ5:BC5)</f>
        <v>365</v>
      </c>
      <c r="BE5" s="71"/>
      <c r="BF5" s="71">
        <f>BF2-BC2</f>
        <v>90</v>
      </c>
      <c r="BG5" s="71">
        <f t="shared" ref="BG5:BI5" si="37">BG2-BF2</f>
        <v>91</v>
      </c>
      <c r="BH5" s="71">
        <f t="shared" si="37"/>
        <v>92</v>
      </c>
      <c r="BI5" s="71">
        <f t="shared" si="37"/>
        <v>92</v>
      </c>
      <c r="BJ5" s="71">
        <f>SUM(BF5:BI5)</f>
        <v>365</v>
      </c>
      <c r="BK5" s="71"/>
      <c r="BL5" s="71">
        <f>BL2-BI2</f>
        <v>90</v>
      </c>
      <c r="BM5" s="71">
        <f t="shared" ref="BM5:BO5" si="38">BM2-BL2</f>
        <v>91</v>
      </c>
      <c r="BN5" s="71">
        <f t="shared" si="38"/>
        <v>92</v>
      </c>
      <c r="BO5" s="71">
        <f t="shared" si="38"/>
        <v>92</v>
      </c>
      <c r="BP5" s="71">
        <f>SUM(BL5:BO5)</f>
        <v>365</v>
      </c>
      <c r="BQ5" s="71"/>
      <c r="BR5" s="71">
        <f>BR2-BO2</f>
        <v>91</v>
      </c>
      <c r="BS5" s="71">
        <f t="shared" ref="BS5:BU5" si="39">BS2-BR2</f>
        <v>91</v>
      </c>
      <c r="BT5" s="71">
        <f t="shared" si="39"/>
        <v>92</v>
      </c>
      <c r="BU5" s="71">
        <f t="shared" si="39"/>
        <v>92</v>
      </c>
      <c r="BV5" s="71">
        <f>SUM(BR5:BU5)</f>
        <v>366</v>
      </c>
      <c r="BW5" s="71"/>
      <c r="BX5" s="71">
        <f>BX2-BU2</f>
        <v>90</v>
      </c>
      <c r="BY5" s="71">
        <f t="shared" ref="BY5:CA5" si="40">BY2-BX2</f>
        <v>91</v>
      </c>
      <c r="BZ5" s="71">
        <f t="shared" si="40"/>
        <v>92</v>
      </c>
      <c r="CA5" s="71">
        <f t="shared" si="40"/>
        <v>92</v>
      </c>
      <c r="CB5" s="71">
        <f>SUM(BX5:CA5)</f>
        <v>365</v>
      </c>
      <c r="CC5" s="71"/>
      <c r="CD5" s="71">
        <f>CD2-CA2</f>
        <v>90</v>
      </c>
      <c r="CE5" s="71">
        <f t="shared" ref="CE5:CG5" si="41">CE2-CD2</f>
        <v>91</v>
      </c>
      <c r="CF5" s="71">
        <f t="shared" si="41"/>
        <v>92</v>
      </c>
      <c r="CG5" s="71">
        <f t="shared" si="41"/>
        <v>92</v>
      </c>
      <c r="CH5" s="71">
        <f>SUM(CD5:CG5)</f>
        <v>365</v>
      </c>
      <c r="CI5" s="71"/>
      <c r="CJ5" s="71">
        <f>CJ2-CG2</f>
        <v>90</v>
      </c>
      <c r="CK5" s="71">
        <f t="shared" ref="CK5:CM5" si="42">CK2-CJ2</f>
        <v>91</v>
      </c>
      <c r="CL5" s="71">
        <f t="shared" si="42"/>
        <v>92</v>
      </c>
      <c r="CM5" s="71">
        <f t="shared" si="42"/>
        <v>92</v>
      </c>
      <c r="CN5" s="71">
        <f>SUM(CJ5:CM5)</f>
        <v>365</v>
      </c>
    </row>
    <row r="6" spans="1:92" ht="18" customHeight="1" x14ac:dyDescent="0.25">
      <c r="B6" s="29" t="s">
        <v>380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71"/>
      <c r="AC6" s="71"/>
      <c r="AD6" s="71"/>
      <c r="AE6" s="71"/>
      <c r="AF6" s="71"/>
      <c r="AH6" s="120"/>
      <c r="AI6" s="120"/>
      <c r="AJ6" s="120"/>
      <c r="AK6" s="120"/>
      <c r="AL6" s="120"/>
      <c r="AN6" s="120"/>
      <c r="AO6" s="237"/>
      <c r="AP6" s="120"/>
      <c r="AQ6" s="237"/>
      <c r="AR6" s="237"/>
      <c r="AS6" s="120"/>
      <c r="AT6" s="120"/>
      <c r="AU6" s="237"/>
      <c r="AV6" s="262"/>
      <c r="AW6" s="120"/>
      <c r="AX6" s="120"/>
      <c r="AZ6" s="120"/>
      <c r="BA6" s="120"/>
      <c r="BB6" s="120"/>
      <c r="BC6" s="120"/>
      <c r="BD6" s="120"/>
      <c r="BF6" s="120"/>
      <c r="BG6" s="120"/>
      <c r="BH6" s="120"/>
      <c r="BI6" s="120"/>
      <c r="BJ6" s="120"/>
      <c r="BL6" s="120"/>
      <c r="BM6" s="120"/>
      <c r="BN6" s="120"/>
      <c r="BO6" s="120"/>
      <c r="BP6" s="120"/>
      <c r="BR6" s="120"/>
      <c r="BS6" s="120"/>
      <c r="BT6" s="120"/>
      <c r="BU6" s="120"/>
      <c r="BV6" s="120"/>
      <c r="BX6" s="120"/>
      <c r="BY6" s="120"/>
      <c r="BZ6" s="120"/>
      <c r="CA6" s="120"/>
      <c r="CB6" s="120"/>
      <c r="CD6" s="120"/>
      <c r="CE6" s="120"/>
      <c r="CF6" s="120"/>
      <c r="CG6" s="120"/>
      <c r="CH6" s="120"/>
      <c r="CJ6" s="120"/>
      <c r="CK6" s="120"/>
      <c r="CL6" s="120"/>
      <c r="CM6" s="120"/>
      <c r="CN6" s="120"/>
    </row>
    <row r="7" spans="1:92" ht="18" customHeight="1" x14ac:dyDescent="0.25">
      <c r="B7" s="163" t="s">
        <v>397</v>
      </c>
      <c r="D7" s="121">
        <v>9130</v>
      </c>
      <c r="E7" s="121">
        <v>10639</v>
      </c>
      <c r="F7" s="121">
        <v>10713</v>
      </c>
      <c r="G7" s="121">
        <v>12194</v>
      </c>
      <c r="H7" s="27">
        <f>SUM(D7:G7)</f>
        <v>42676</v>
      </c>
      <c r="I7" s="27"/>
      <c r="J7" s="121">
        <v>12150</v>
      </c>
      <c r="K7" s="121">
        <v>13279</v>
      </c>
      <c r="L7" s="121">
        <v>12763</v>
      </c>
      <c r="M7" s="121">
        <v>13630</v>
      </c>
      <c r="N7" s="27">
        <f>SUM(J7:M7)</f>
        <v>51822</v>
      </c>
      <c r="O7" s="183"/>
      <c r="P7" s="121">
        <v>12724</v>
      </c>
      <c r="Q7" s="121">
        <v>13671</v>
      </c>
      <c r="R7" s="121">
        <v>11974</v>
      </c>
      <c r="S7" s="121">
        <v>12386</v>
      </c>
      <c r="T7" s="27">
        <f>SUM(P7:S7)</f>
        <v>50755</v>
      </c>
      <c r="U7" s="183"/>
      <c r="V7" s="121">
        <v>9914</v>
      </c>
      <c r="W7" s="121">
        <v>9310</v>
      </c>
      <c r="X7" s="121">
        <v>9228</v>
      </c>
      <c r="Y7" s="121">
        <v>10570</v>
      </c>
      <c r="Z7" s="27">
        <f>SUM(V7:Y7)</f>
        <v>39022</v>
      </c>
      <c r="AA7" s="183"/>
      <c r="AB7" s="121">
        <v>11191</v>
      </c>
      <c r="AC7" s="121">
        <v>12193</v>
      </c>
      <c r="AD7" s="121">
        <v>11707</v>
      </c>
      <c r="AE7" s="121">
        <v>13097</v>
      </c>
      <c r="AF7" s="27">
        <f>SUM(AB7:AE7)</f>
        <v>48188</v>
      </c>
      <c r="AG7" s="27"/>
      <c r="AH7" s="121">
        <v>12886</v>
      </c>
      <c r="AI7" s="121">
        <v>13539</v>
      </c>
      <c r="AJ7" s="121">
        <v>14278</v>
      </c>
      <c r="AK7" s="121">
        <v>15871</v>
      </c>
      <c r="AL7" s="27">
        <f>SUM(AH7:AK7)</f>
        <v>56574</v>
      </c>
      <c r="AM7" s="27"/>
      <c r="AN7" s="121">
        <v>15099</v>
      </c>
      <c r="AO7" s="121">
        <v>16545</v>
      </c>
      <c r="AP7" s="121">
        <v>15988</v>
      </c>
      <c r="AQ7" s="121">
        <v>16237</v>
      </c>
      <c r="AR7" s="27">
        <f>SUM(AN7:AQ7)</f>
        <v>63869</v>
      </c>
      <c r="AS7" s="183"/>
      <c r="AT7" s="121">
        <v>14960</v>
      </c>
      <c r="AU7" s="121">
        <v>15840</v>
      </c>
      <c r="AV7" s="263">
        <v>15231</v>
      </c>
      <c r="AW7" s="153">
        <f>AW57</f>
        <v>15812.6</v>
      </c>
      <c r="AX7" s="27">
        <f>SUM(AT7:AW7)</f>
        <v>61843.6</v>
      </c>
      <c r="AY7" s="27"/>
      <c r="AZ7" s="27">
        <f>AZ57</f>
        <v>14513.100000000002</v>
      </c>
      <c r="BA7" s="27">
        <f t="shared" ref="BA7:BC7" si="43">BA57</f>
        <v>15556.750000000002</v>
      </c>
      <c r="BB7" s="27">
        <f t="shared" si="43"/>
        <v>15263.14</v>
      </c>
      <c r="BC7" s="27">
        <f t="shared" si="43"/>
        <v>16035.201999999999</v>
      </c>
      <c r="BD7" s="27">
        <f>SUM(AZ7:BC7)</f>
        <v>61368.192000000003</v>
      </c>
      <c r="BE7" s="27"/>
      <c r="BF7" s="27">
        <f>BF57</f>
        <v>15199.025000000001</v>
      </c>
      <c r="BG7" s="27">
        <f t="shared" ref="BG7:BI7" si="44">BG57</f>
        <v>16291.806</v>
      </c>
      <c r="BH7" s="27">
        <f t="shared" si="44"/>
        <v>15982.658600000001</v>
      </c>
      <c r="BI7" s="27">
        <f t="shared" si="44"/>
        <v>16787.549480000001</v>
      </c>
      <c r="BJ7" s="27">
        <f>SUM(BF7:BI7)</f>
        <v>64261.039080000002</v>
      </c>
      <c r="BK7" s="27"/>
      <c r="BL7" s="27">
        <f>BL57</f>
        <v>15820.402360000002</v>
      </c>
      <c r="BM7" s="27">
        <f t="shared" ref="BM7:BO7" si="45">BM57</f>
        <v>16961.505495000001</v>
      </c>
      <c r="BN7" s="27">
        <f t="shared" si="45"/>
        <v>16637.860969000001</v>
      </c>
      <c r="BO7" s="27">
        <f t="shared" si="45"/>
        <v>17479.690799199998</v>
      </c>
      <c r="BP7" s="27">
        <f>SUM(BL7:BO7)</f>
        <v>66899.459623200004</v>
      </c>
      <c r="BQ7" s="27"/>
      <c r="BR7" s="27">
        <f>BR57</f>
        <v>16468.267280600001</v>
      </c>
      <c r="BS7" s="27">
        <f t="shared" ref="BS7:BU7" si="46">BS57</f>
        <v>17659.897440150002</v>
      </c>
      <c r="BT7" s="27">
        <f t="shared" si="46"/>
        <v>17321.065007510006</v>
      </c>
      <c r="BU7" s="27">
        <f t="shared" si="46"/>
        <v>18201.644636768004</v>
      </c>
      <c r="BV7" s="27">
        <f>SUM(BR7:BU7)</f>
        <v>69650.874365028023</v>
      </c>
      <c r="BW7" s="27"/>
      <c r="BX7" s="27">
        <f>BX57</f>
        <v>17143.787364868003</v>
      </c>
      <c r="BY7" s="27">
        <f t="shared" ref="BY7:CA7" si="47">BY57</f>
        <v>18388.252297855506</v>
      </c>
      <c r="BZ7" s="27">
        <f t="shared" si="47"/>
        <v>18033.507676372901</v>
      </c>
      <c r="CA7" s="27">
        <f t="shared" si="47"/>
        <v>18954.738706900724</v>
      </c>
      <c r="CB7" s="27">
        <f>SUM(BX7:CA7)</f>
        <v>72520.286045997142</v>
      </c>
      <c r="CC7" s="27"/>
      <c r="CD7" s="27">
        <f>CD57</f>
        <v>17848.183071904703</v>
      </c>
      <c r="CE7" s="27">
        <f t="shared" ref="CE7:CG7" si="48">CE57</f>
        <v>19147.898262417741</v>
      </c>
      <c r="CF7" s="27">
        <f t="shared" si="48"/>
        <v>18776.482021070595</v>
      </c>
      <c r="CG7" s="27">
        <f t="shared" si="48"/>
        <v>19740.361379605791</v>
      </c>
      <c r="CH7" s="27">
        <f>SUM(CD7:CG7)</f>
        <v>75512.924734998829</v>
      </c>
      <c r="CI7" s="27"/>
      <c r="CJ7" s="27">
        <f>CJ57</f>
        <v>18582.730160137799</v>
      </c>
      <c r="CK7" s="27">
        <f t="shared" ref="CK7:CM7" si="49">CK57</f>
        <v>19940.22393721393</v>
      </c>
      <c r="CL7" s="27">
        <f t="shared" si="49"/>
        <v>19551.339767165697</v>
      </c>
      <c r="CM7" s="27">
        <f t="shared" si="49"/>
        <v>20559.964506302727</v>
      </c>
      <c r="CN7" s="27">
        <f>SUM(CJ7:CM7)</f>
        <v>78634.258370820156</v>
      </c>
    </row>
    <row r="8" spans="1:92" ht="18" customHeight="1" thickBot="1" x14ac:dyDescent="0.3">
      <c r="B8" s="163" t="s">
        <v>398</v>
      </c>
      <c r="D8" s="121">
        <v>692</v>
      </c>
      <c r="E8" s="121">
        <v>692</v>
      </c>
      <c r="F8" s="121">
        <v>700</v>
      </c>
      <c r="G8" s="121">
        <v>702</v>
      </c>
      <c r="H8" s="27">
        <f>SUM(D8:G8)</f>
        <v>2786</v>
      </c>
      <c r="I8" s="27"/>
      <c r="J8" s="121">
        <v>709</v>
      </c>
      <c r="K8" s="121">
        <v>732</v>
      </c>
      <c r="L8" s="121">
        <v>747</v>
      </c>
      <c r="M8" s="121">
        <v>712</v>
      </c>
      <c r="N8" s="27">
        <f>SUM(J8:M8)</f>
        <v>2900</v>
      </c>
      <c r="O8" s="183"/>
      <c r="P8" s="121">
        <v>742</v>
      </c>
      <c r="Q8" s="121">
        <v>761</v>
      </c>
      <c r="R8" s="121">
        <v>784</v>
      </c>
      <c r="S8" s="121">
        <v>758</v>
      </c>
      <c r="T8" s="27">
        <f>SUM(P8:S8)</f>
        <v>3045</v>
      </c>
      <c r="U8" s="183"/>
      <c r="V8" s="121">
        <v>721</v>
      </c>
      <c r="W8" s="121">
        <v>687</v>
      </c>
      <c r="X8" s="121">
        <v>653</v>
      </c>
      <c r="Y8" s="121">
        <v>665</v>
      </c>
      <c r="Z8" s="27">
        <f>SUM(V8:Y8)</f>
        <v>2726</v>
      </c>
      <c r="AA8" s="183"/>
      <c r="AB8" s="121">
        <v>696</v>
      </c>
      <c r="AC8" s="121">
        <v>696</v>
      </c>
      <c r="AD8" s="121">
        <v>690</v>
      </c>
      <c r="AE8" s="121">
        <v>701</v>
      </c>
      <c r="AF8" s="27">
        <f>SUM(AB8:AE8)</f>
        <v>2783</v>
      </c>
      <c r="AG8" s="27"/>
      <c r="AH8" s="121">
        <v>703</v>
      </c>
      <c r="AI8" s="121">
        <v>708</v>
      </c>
      <c r="AJ8" s="121">
        <v>716</v>
      </c>
      <c r="AK8" s="121">
        <v>726</v>
      </c>
      <c r="AL8" s="27">
        <f>SUM(AH8:AK8)</f>
        <v>2853</v>
      </c>
      <c r="AM8" s="27"/>
      <c r="AN8" s="121">
        <v>763</v>
      </c>
      <c r="AO8" s="121">
        <v>773</v>
      </c>
      <c r="AP8" s="121">
        <v>822</v>
      </c>
      <c r="AQ8" s="121">
        <v>833</v>
      </c>
      <c r="AR8" s="27">
        <f>SUM(AN8:AQ8)</f>
        <v>3191</v>
      </c>
      <c r="AS8" s="183"/>
      <c r="AT8" s="121">
        <v>839</v>
      </c>
      <c r="AU8" s="121">
        <v>849</v>
      </c>
      <c r="AV8" s="263">
        <v>875</v>
      </c>
      <c r="AW8" s="104">
        <f>AW277</f>
        <v>874.65000000000009</v>
      </c>
      <c r="AX8" s="27">
        <f>SUM(AT8:AW8)</f>
        <v>3437.65</v>
      </c>
      <c r="AY8" s="27"/>
      <c r="AZ8" s="27">
        <f>AZ277</f>
        <v>880.95</v>
      </c>
      <c r="BA8" s="27">
        <f t="shared" ref="BA8:BC8" si="50">BA277</f>
        <v>891.45</v>
      </c>
      <c r="BB8" s="27">
        <f t="shared" si="50"/>
        <v>918.75</v>
      </c>
      <c r="BC8" s="27">
        <f t="shared" si="50"/>
        <v>918.38250000000016</v>
      </c>
      <c r="BD8" s="27">
        <f>SUM(AZ8:BC8)</f>
        <v>3609.5325000000003</v>
      </c>
      <c r="BE8" s="27"/>
      <c r="BF8" s="27">
        <f>BF277</f>
        <v>922.58587577774551</v>
      </c>
      <c r="BG8" s="27">
        <f t="shared" ref="BG8:BI8" si="51">BG277</f>
        <v>933.57098742989365</v>
      </c>
      <c r="BH8" s="27">
        <f t="shared" si="51"/>
        <v>962.06072857550953</v>
      </c>
      <c r="BI8" s="27">
        <f t="shared" si="51"/>
        <v>961.47162101956076</v>
      </c>
      <c r="BJ8" s="27">
        <f>SUM(BF8:BI8)</f>
        <v>3779.6892128027093</v>
      </c>
      <c r="BK8" s="27"/>
      <c r="BL8" s="27">
        <f>BL277</f>
        <v>960.30368832585725</v>
      </c>
      <c r="BM8" s="27">
        <f t="shared" ref="BM8:BO8" si="52">BM277</f>
        <v>971.94684452200795</v>
      </c>
      <c r="BN8" s="27">
        <f t="shared" si="52"/>
        <v>1001.5000036210605</v>
      </c>
      <c r="BO8" s="27">
        <f t="shared" si="52"/>
        <v>1001.1125606896809</v>
      </c>
      <c r="BP8" s="27">
        <f>SUM(BL8:BO8)</f>
        <v>3934.8630971586063</v>
      </c>
      <c r="BQ8" s="27"/>
      <c r="BR8" s="27">
        <f>BR277</f>
        <v>999.62930461752273</v>
      </c>
      <c r="BS8" s="27">
        <f t="shared" ref="BS8:BU8" si="53">BS277</f>
        <v>1011.9668679526068</v>
      </c>
      <c r="BT8" s="27">
        <f t="shared" si="53"/>
        <v>1042.6248121716646</v>
      </c>
      <c r="BU8" s="27">
        <f t="shared" si="53"/>
        <v>1042.4609497046931</v>
      </c>
      <c r="BV8" s="27">
        <f>SUM(BR8:BU8)</f>
        <v>4096.6819344464875</v>
      </c>
      <c r="BW8" s="27"/>
      <c r="BX8" s="27">
        <f>BX277</f>
        <v>1040.6335985475512</v>
      </c>
      <c r="BY8" s="27">
        <f t="shared" ref="BY8:CA8" si="54">BY277</f>
        <v>1053.7038591558833</v>
      </c>
      <c r="BZ8" s="27">
        <f t="shared" si="54"/>
        <v>1085.5096118929398</v>
      </c>
      <c r="CA8" s="27">
        <f t="shared" si="54"/>
        <v>1085.5928301053057</v>
      </c>
      <c r="CB8" s="27">
        <f>SUM(BX8:CA8)</f>
        <v>4265.4398997016797</v>
      </c>
      <c r="CC8" s="27"/>
      <c r="CD8" s="27">
        <f>CD277</f>
        <v>1083.3906523895271</v>
      </c>
      <c r="CE8" s="27">
        <f t="shared" ref="CE8:CG8" si="55">CE277</f>
        <v>1097.2339277826211</v>
      </c>
      <c r="CF8" s="27">
        <f t="shared" si="55"/>
        <v>1130.2322364112895</v>
      </c>
      <c r="CG8" s="27">
        <f t="shared" si="55"/>
        <v>1130.5877178663432</v>
      </c>
      <c r="CH8" s="27">
        <f>SUM(CD8:CG8)</f>
        <v>4441.4445344497808</v>
      </c>
      <c r="CI8" s="27"/>
      <c r="CJ8" s="27">
        <f>CJ277</f>
        <v>1127.9779051045875</v>
      </c>
      <c r="CK8" s="27">
        <f t="shared" ref="CK8:CM8" si="56">CK277</f>
        <v>1142.6366451109232</v>
      </c>
      <c r="CL8" s="27">
        <f t="shared" si="56"/>
        <v>1176.8740515440127</v>
      </c>
      <c r="CM8" s="27">
        <f t="shared" si="56"/>
        <v>1177.5287647271032</v>
      </c>
      <c r="CN8" s="27">
        <f>SUM(CJ8:CM8)</f>
        <v>4625.0173664866261</v>
      </c>
    </row>
    <row r="9" spans="1:92" ht="18" customHeight="1" thickBot="1" x14ac:dyDescent="0.3">
      <c r="B9" s="151" t="s">
        <v>131</v>
      </c>
      <c r="C9" s="151"/>
      <c r="D9" s="214">
        <f>SUM(D7:D8)</f>
        <v>9822</v>
      </c>
      <c r="E9" s="214">
        <f>SUM(E7:E8)</f>
        <v>11331</v>
      </c>
      <c r="F9" s="214">
        <f>SUM(F7:F8)</f>
        <v>11413</v>
      </c>
      <c r="G9" s="214">
        <f>SUM(G7:G8)</f>
        <v>12896</v>
      </c>
      <c r="H9" s="214">
        <f>SUM(H7:H8)</f>
        <v>45462</v>
      </c>
      <c r="I9" s="214"/>
      <c r="J9" s="214">
        <f>SUM(J7:J8)</f>
        <v>12859</v>
      </c>
      <c r="K9" s="214">
        <f>SUM(K7:K8)</f>
        <v>14011</v>
      </c>
      <c r="L9" s="214">
        <f>SUM(L7:L8)</f>
        <v>13510</v>
      </c>
      <c r="M9" s="214">
        <f>SUM(M7:M8)</f>
        <v>14342</v>
      </c>
      <c r="N9" s="214">
        <f>SUM(N7:N8)</f>
        <v>54722</v>
      </c>
      <c r="O9" s="215"/>
      <c r="P9" s="214">
        <f>SUM(P7:P8)</f>
        <v>13466</v>
      </c>
      <c r="Q9" s="214">
        <f>SUM(Q7:Q8)</f>
        <v>14432</v>
      </c>
      <c r="R9" s="214">
        <f>SUM(R7:R8)</f>
        <v>12758</v>
      </c>
      <c r="S9" s="214">
        <f>SUM(S7:S8)</f>
        <v>13144</v>
      </c>
      <c r="T9" s="214">
        <f>SUM(T7:T8)</f>
        <v>53800</v>
      </c>
      <c r="U9" s="215"/>
      <c r="V9" s="214">
        <f>SUM(V7:V8)</f>
        <v>10635</v>
      </c>
      <c r="W9" s="214">
        <f>SUM(W7:W8)</f>
        <v>9997</v>
      </c>
      <c r="X9" s="214">
        <f>SUM(X7:X8)</f>
        <v>9881</v>
      </c>
      <c r="Y9" s="214">
        <f>SUM(Y7:Y8)</f>
        <v>11235</v>
      </c>
      <c r="Z9" s="214">
        <f>SUM(Z7:Z8)</f>
        <v>41748</v>
      </c>
      <c r="AA9" s="215"/>
      <c r="AB9" s="214">
        <f>SUM(AB7:AB8)</f>
        <v>11887</v>
      </c>
      <c r="AC9" s="214">
        <f>SUM(AC7:AC8)</f>
        <v>12889</v>
      </c>
      <c r="AD9" s="214">
        <f>SUM(AD7:AD8)</f>
        <v>12397</v>
      </c>
      <c r="AE9" s="214">
        <f>SUM(AE7:AE8)</f>
        <v>13798</v>
      </c>
      <c r="AF9" s="214">
        <f>SUM(AF7:AF8)</f>
        <v>50971</v>
      </c>
      <c r="AG9" s="214"/>
      <c r="AH9" s="214">
        <f>SUM(AH7:AH8)</f>
        <v>13589</v>
      </c>
      <c r="AI9" s="214">
        <f>SUM(AI7:AI8)</f>
        <v>14247</v>
      </c>
      <c r="AJ9" s="214">
        <f>SUM(AJ7:AJ8)</f>
        <v>14994</v>
      </c>
      <c r="AK9" s="214">
        <f>SUM(AK7:AK8)</f>
        <v>16597</v>
      </c>
      <c r="AL9" s="214">
        <f>SUM(AL7:AL8)</f>
        <v>59427</v>
      </c>
      <c r="AM9" s="214"/>
      <c r="AN9" s="214">
        <f>SUM(AN7:AN8)</f>
        <v>15862</v>
      </c>
      <c r="AO9" s="214">
        <f>SUM(AO7:AO8)</f>
        <v>17318</v>
      </c>
      <c r="AP9" s="214">
        <f>SUM(AP7:AP8)</f>
        <v>16810</v>
      </c>
      <c r="AQ9" s="214">
        <f>SUM(AQ7:AQ8)</f>
        <v>17070</v>
      </c>
      <c r="AR9" s="214">
        <f>SUM(AR7:AR8)</f>
        <v>67060</v>
      </c>
      <c r="AS9" s="215"/>
      <c r="AT9" s="214">
        <f>SUM(AT7:AT8)</f>
        <v>15799</v>
      </c>
      <c r="AU9" s="214">
        <f>SUM(AU7:AU8)</f>
        <v>16689</v>
      </c>
      <c r="AV9" s="302">
        <f>SUM(AV7:AV8)</f>
        <v>16106</v>
      </c>
      <c r="AW9" s="214">
        <f>SUM(AW7:AW8)</f>
        <v>16687.25</v>
      </c>
      <c r="AX9" s="214">
        <f>SUM(AX7:AX8)</f>
        <v>65281.25</v>
      </c>
      <c r="AY9" s="214"/>
      <c r="AZ9" s="214">
        <f>SUM(AZ7:AZ8)</f>
        <v>15394.050000000003</v>
      </c>
      <c r="BA9" s="214">
        <f>SUM(BA7:BA8)</f>
        <v>16448.2</v>
      </c>
      <c r="BB9" s="214">
        <f>SUM(BB7:BB8)</f>
        <v>16181.89</v>
      </c>
      <c r="BC9" s="214">
        <f>SUM(BC7:BC8)</f>
        <v>16953.584500000001</v>
      </c>
      <c r="BD9" s="214">
        <f>SUM(BD7:BD8)</f>
        <v>64977.724500000004</v>
      </c>
      <c r="BE9" s="214"/>
      <c r="BF9" s="214">
        <f>SUM(BF7:BF8)</f>
        <v>16121.610875777747</v>
      </c>
      <c r="BG9" s="214">
        <f>SUM(BG7:BG8)</f>
        <v>17225.376987429896</v>
      </c>
      <c r="BH9" s="214">
        <f>SUM(BH7:BH8)</f>
        <v>16944.719328575509</v>
      </c>
      <c r="BI9" s="214">
        <f>SUM(BI7:BI8)</f>
        <v>17749.021101019564</v>
      </c>
      <c r="BJ9" s="214">
        <f>SUM(BJ7:BJ8)</f>
        <v>68040.728292802713</v>
      </c>
      <c r="BK9" s="214"/>
      <c r="BL9" s="214">
        <f>SUM(BL7:BL8)</f>
        <v>16780.706048325857</v>
      </c>
      <c r="BM9" s="214">
        <f>SUM(BM7:BM8)</f>
        <v>17933.452339522009</v>
      </c>
      <c r="BN9" s="214">
        <f>SUM(BN7:BN8)</f>
        <v>17639.360972621063</v>
      </c>
      <c r="BO9" s="214">
        <f>SUM(BO7:BO8)</f>
        <v>18480.80335988968</v>
      </c>
      <c r="BP9" s="214">
        <f>SUM(BP7:BP8)</f>
        <v>70834.322720358614</v>
      </c>
      <c r="BQ9" s="214"/>
      <c r="BR9" s="214">
        <f>SUM(BR7:BR8)</f>
        <v>17467.896585217524</v>
      </c>
      <c r="BS9" s="214">
        <f>SUM(BS7:BS8)</f>
        <v>18671.864308102609</v>
      </c>
      <c r="BT9" s="214">
        <f>SUM(BT7:BT8)</f>
        <v>18363.689819681669</v>
      </c>
      <c r="BU9" s="214">
        <f>SUM(BU7:BU8)</f>
        <v>19244.105586472695</v>
      </c>
      <c r="BV9" s="214">
        <f>SUM(BV7:BV8)</f>
        <v>73747.556299474512</v>
      </c>
      <c r="BW9" s="214"/>
      <c r="BX9" s="214">
        <f>SUM(BX7:BX8)</f>
        <v>18184.420963415556</v>
      </c>
      <c r="BY9" s="214">
        <f>SUM(BY7:BY8)</f>
        <v>19441.956157011391</v>
      </c>
      <c r="BZ9" s="214">
        <f>SUM(BZ7:BZ8)</f>
        <v>19119.017288265841</v>
      </c>
      <c r="CA9" s="214">
        <f>SUM(CA7:CA8)</f>
        <v>20040.33153700603</v>
      </c>
      <c r="CB9" s="214">
        <f>SUM(CB7:CB8)</f>
        <v>76785.725945698825</v>
      </c>
      <c r="CC9" s="214"/>
      <c r="CD9" s="214">
        <f>SUM(CD7:CD8)</f>
        <v>18931.57372429423</v>
      </c>
      <c r="CE9" s="214">
        <f>SUM(CE7:CE8)</f>
        <v>20245.132190200362</v>
      </c>
      <c r="CF9" s="214">
        <f>SUM(CF7:CF8)</f>
        <v>19906.714257481883</v>
      </c>
      <c r="CG9" s="214">
        <f>SUM(CG7:CG8)</f>
        <v>20870.949097472134</v>
      </c>
      <c r="CH9" s="214">
        <f>SUM(CH7:CH8)</f>
        <v>79954.369269448609</v>
      </c>
      <c r="CI9" s="214"/>
      <c r="CJ9" s="214">
        <f>SUM(CJ7:CJ8)</f>
        <v>19710.708065242387</v>
      </c>
      <c r="CK9" s="214">
        <f>SUM(CK7:CK8)</f>
        <v>21082.860582324854</v>
      </c>
      <c r="CL9" s="214">
        <f>SUM(CL7:CL8)</f>
        <v>20728.213818709708</v>
      </c>
      <c r="CM9" s="214">
        <f>SUM(CM7:CM8)</f>
        <v>21737.493271029831</v>
      </c>
      <c r="CN9" s="214">
        <f>SUM(CN7:CN8)</f>
        <v>83259.275737306787</v>
      </c>
    </row>
    <row r="10" spans="1:92" ht="18" customHeight="1" x14ac:dyDescent="0.25">
      <c r="B10" s="14" t="s">
        <v>139</v>
      </c>
      <c r="J10" s="67">
        <f>J9/D9-1</f>
        <v>0.30920382814090819</v>
      </c>
      <c r="K10" s="67">
        <f>K9/E9-1</f>
        <v>0.23651928338187278</v>
      </c>
      <c r="L10" s="67">
        <f>L9/F9-1</f>
        <v>0.18373784281082983</v>
      </c>
      <c r="M10" s="67">
        <f>M9/G9-1</f>
        <v>0.11212779156327546</v>
      </c>
      <c r="N10" s="67">
        <f>N9/H9-1</f>
        <v>0.20368659539835465</v>
      </c>
      <c r="O10" s="120"/>
      <c r="P10" s="67">
        <f>P9/J9-1</f>
        <v>4.7204292713274754E-2</v>
      </c>
      <c r="Q10" s="67">
        <f>Q9/K9-1</f>
        <v>3.0047819570337531E-2</v>
      </c>
      <c r="R10" s="67">
        <f>R9/L9-1</f>
        <v>-5.566247224278309E-2</v>
      </c>
      <c r="S10" s="67">
        <f>S9/M9-1</f>
        <v>-8.3530888300097583E-2</v>
      </c>
      <c r="T10" s="67">
        <f>T9/N9-1</f>
        <v>-1.6848799385987379E-2</v>
      </c>
      <c r="U10" s="120"/>
      <c r="V10" s="67">
        <f>V9/P9-1</f>
        <v>-0.21023317986038914</v>
      </c>
      <c r="W10" s="67">
        <f>W9/Q9-1</f>
        <v>-0.30730321507760527</v>
      </c>
      <c r="X10" s="67">
        <f>X9/R9-1</f>
        <v>-0.22550556513560116</v>
      </c>
      <c r="Y10" s="67">
        <f>Y9/S9-1</f>
        <v>-0.14523737066342057</v>
      </c>
      <c r="Z10" s="67">
        <f>Z9/T9-1</f>
        <v>-0.22401486988847585</v>
      </c>
      <c r="AA10" s="120"/>
      <c r="AB10" s="67">
        <f>AB9/V9-1</f>
        <v>0.11772449459332401</v>
      </c>
      <c r="AC10" s="67">
        <f>AC9/W9-1</f>
        <v>0.28928678603581082</v>
      </c>
      <c r="AD10" s="67">
        <f>AD9/X9-1</f>
        <v>0.2546300981682017</v>
      </c>
      <c r="AE10" s="67">
        <f>AE9/Y9-1</f>
        <v>0.22812639074321317</v>
      </c>
      <c r="AF10" s="67">
        <f>AF9/Z9-1</f>
        <v>0.2209207626712657</v>
      </c>
      <c r="AH10" s="67">
        <f>AH9/AB9-1</f>
        <v>0.14318162698746528</v>
      </c>
      <c r="AI10" s="67">
        <f>AI9/AC9-1</f>
        <v>0.1053611606796494</v>
      </c>
      <c r="AJ10" s="67">
        <f>AJ9/AD9-1</f>
        <v>0.20948616600790504</v>
      </c>
      <c r="AK10" s="67">
        <f>AK9/AE9-1</f>
        <v>0.20285548630236261</v>
      </c>
      <c r="AL10" s="67">
        <f>AL9/AF9-1</f>
        <v>0.16589825587098539</v>
      </c>
      <c r="AN10" s="67">
        <f>AN9/AH9-1</f>
        <v>0.16726764294650076</v>
      </c>
      <c r="AO10" s="239">
        <f>AO9/AI9-1</f>
        <v>0.21555415175124581</v>
      </c>
      <c r="AP10" s="67">
        <f>AP9/AJ9-1</f>
        <v>0.12111511271175135</v>
      </c>
      <c r="AQ10" s="239">
        <f>AQ9/AK9-1</f>
        <v>2.8499126348135118E-2</v>
      </c>
      <c r="AR10" s="239">
        <f>AR9/AL9-1</f>
        <v>0.12844330018341821</v>
      </c>
      <c r="AS10" s="120"/>
      <c r="AT10" s="67">
        <f>AT9/AN9-1</f>
        <v>-3.9717563989408733E-3</v>
      </c>
      <c r="AU10" s="239">
        <f>AU9/AO9-1</f>
        <v>-3.6320591292297033E-2</v>
      </c>
      <c r="AV10" s="264">
        <f>AV9/AP9-1</f>
        <v>-4.1879833432480695E-2</v>
      </c>
      <c r="AW10" s="67">
        <f>AW9/AQ9-1</f>
        <v>-2.2422378441710578E-2</v>
      </c>
      <c r="AX10" s="67">
        <f>AX9/AR9-1</f>
        <v>-2.6524753951685076E-2</v>
      </c>
      <c r="AZ10" s="67">
        <f>AZ9/AT9-1</f>
        <v>-2.5631369073991883E-2</v>
      </c>
      <c r="BA10" s="67">
        <f>BA9/AU9-1</f>
        <v>-1.4428665588111844E-2</v>
      </c>
      <c r="BB10" s="67">
        <f>BB9/AV9-1</f>
        <v>4.7119086054885351E-3</v>
      </c>
      <c r="BC10" s="67">
        <f>BC9/AW9-1</f>
        <v>1.596035895668857E-2</v>
      </c>
      <c r="BD10" s="67">
        <f>BD9/AX9-1</f>
        <v>-4.6495050263283266E-3</v>
      </c>
      <c r="BF10" s="67">
        <f>BF9/AZ9-1</f>
        <v>4.7262473213854905E-2</v>
      </c>
      <c r="BG10" s="67">
        <f>BG9/BA9-1</f>
        <v>4.7249971877159513E-2</v>
      </c>
      <c r="BH10" s="67">
        <f>BH9/BB9-1</f>
        <v>4.7140929061779024E-2</v>
      </c>
      <c r="BI10" s="67">
        <f>BI9/BC9-1</f>
        <v>4.6918490955087488E-2</v>
      </c>
      <c r="BJ10" s="67">
        <f>BJ9/BD9-1</f>
        <v>4.7139289908539439E-2</v>
      </c>
      <c r="BL10" s="67">
        <f>BL9/BF9-1</f>
        <v>4.0882711884479228E-2</v>
      </c>
      <c r="BM10" s="67">
        <f>BM9/BG9-1</f>
        <v>4.1106522812756285E-2</v>
      </c>
      <c r="BN10" s="67">
        <f>BN9/BH9-1</f>
        <v>4.0994579525086117E-2</v>
      </c>
      <c r="BO10" s="67">
        <f>BO9/BI9-1</f>
        <v>4.1229443286203482E-2</v>
      </c>
      <c r="BP10" s="67">
        <f>BP9/BJ9-1</f>
        <v>4.105767968170615E-2</v>
      </c>
      <c r="BR10" s="67">
        <f>BR9/BL9-1</f>
        <v>4.0951229043203696E-2</v>
      </c>
      <c r="BS10" s="67">
        <f>BS9/BM9-1</f>
        <v>4.1175115343144331E-2</v>
      </c>
      <c r="BT10" s="67">
        <f>BT9/BN9-1</f>
        <v>4.1063213581539193E-2</v>
      </c>
      <c r="BU10" s="67">
        <f>BU9/BO9-1</f>
        <v>4.1302437546609561E-2</v>
      </c>
      <c r="BV10" s="67">
        <f>BV9/BP9-1</f>
        <v>4.1127429009476524E-2</v>
      </c>
      <c r="BX10" s="67">
        <f>BX9/BR9-1</f>
        <v>4.101949966914753E-2</v>
      </c>
      <c r="BY10" s="67">
        <f>BY9/BS9-1</f>
        <v>4.1243436445422388E-2</v>
      </c>
      <c r="BZ10" s="67">
        <f>BZ9/BT9-1</f>
        <v>4.1131574100899515E-2</v>
      </c>
      <c r="CA10" s="67">
        <f>CA9/BU9-1</f>
        <v>4.1375056219449702E-2</v>
      </c>
      <c r="CB10" s="67">
        <f>CB9/BV9-1</f>
        <v>4.1196885682379669E-2</v>
      </c>
      <c r="CD10" s="67">
        <f>CD9/BX9-1</f>
        <v>4.1087520047068837E-2</v>
      </c>
      <c r="CE10" s="67">
        <f>CE9/BY9-1</f>
        <v>4.1311482584499126E-2</v>
      </c>
      <c r="CF10" s="67">
        <f>CF9/BZ9-1</f>
        <v>4.1199657772132747E-2</v>
      </c>
      <c r="CG10" s="67">
        <f>CG9/CA9-1</f>
        <v>4.144729636494815E-2</v>
      </c>
      <c r="CH10" s="67">
        <f>CH9/CB9-1</f>
        <v>4.1266046322080419E-2</v>
      </c>
      <c r="CJ10" s="67">
        <f>CJ9/CD9-1</f>
        <v>4.1155286522658097E-2</v>
      </c>
      <c r="CK10" s="67">
        <f>CK9/CE9-1</f>
        <v>4.1379250293559267E-2</v>
      </c>
      <c r="CL10" s="67">
        <f>CL9/CF9-1</f>
        <v>4.1267461350085188E-2</v>
      </c>
      <c r="CM10" s="67">
        <f>CM9/CG9-1</f>
        <v>4.1519155142908826E-2</v>
      </c>
      <c r="CN10" s="67">
        <f>CN9/CH9-1</f>
        <v>4.1334907623628903E-2</v>
      </c>
    </row>
    <row r="11" spans="1:92" ht="18" customHeight="1" x14ac:dyDescent="0.25">
      <c r="B11" s="14" t="s">
        <v>140</v>
      </c>
      <c r="J11" s="123">
        <f>J9-D9</f>
        <v>3037</v>
      </c>
      <c r="K11" s="123">
        <f>K9-E9</f>
        <v>2680</v>
      </c>
      <c r="L11" s="123">
        <f>L9-F9</f>
        <v>2097</v>
      </c>
      <c r="M11" s="123">
        <f>M9-G9</f>
        <v>1446</v>
      </c>
      <c r="N11" s="123">
        <f>N9-H9</f>
        <v>9260</v>
      </c>
      <c r="O11" s="120"/>
      <c r="P11" s="123">
        <f>P9-J9</f>
        <v>607</v>
      </c>
      <c r="Q11" s="123">
        <f>Q9-K9</f>
        <v>421</v>
      </c>
      <c r="R11" s="123">
        <f>R9-L9</f>
        <v>-752</v>
      </c>
      <c r="S11" s="123">
        <f>S9-M9</f>
        <v>-1198</v>
      </c>
      <c r="T11" s="123">
        <f>T9-N9</f>
        <v>-922</v>
      </c>
      <c r="U11" s="120"/>
      <c r="V11" s="123">
        <f>V9-P9</f>
        <v>-2831</v>
      </c>
      <c r="W11" s="123">
        <f>W9-Q9</f>
        <v>-4435</v>
      </c>
      <c r="X11" s="123">
        <f>X9-R9</f>
        <v>-2877</v>
      </c>
      <c r="Y11" s="123">
        <f>Y9-S9</f>
        <v>-1909</v>
      </c>
      <c r="Z11" s="123">
        <f>Z9-T9</f>
        <v>-12052</v>
      </c>
      <c r="AA11" s="120"/>
      <c r="AB11" s="123">
        <f>AB9-V9</f>
        <v>1252</v>
      </c>
      <c r="AC11" s="123">
        <f>AC9-W9</f>
        <v>2892</v>
      </c>
      <c r="AD11" s="123">
        <f>AD9-X9</f>
        <v>2516</v>
      </c>
      <c r="AE11" s="123">
        <f>AE9-Y9</f>
        <v>2563</v>
      </c>
      <c r="AF11" s="123">
        <f>AF9-Z9</f>
        <v>9223</v>
      </c>
      <c r="AH11" s="123">
        <f>AH9-AB9</f>
        <v>1702</v>
      </c>
      <c r="AI11" s="123">
        <f>AI9-AC9</f>
        <v>1358</v>
      </c>
      <c r="AJ11" s="123">
        <f>AJ9-AD9</f>
        <v>2597</v>
      </c>
      <c r="AK11" s="123">
        <f>AK9-AE9</f>
        <v>2799</v>
      </c>
      <c r="AL11" s="123">
        <f>AL9-AF9</f>
        <v>8456</v>
      </c>
      <c r="AN11" s="123">
        <f>AN9-AH9</f>
        <v>2273</v>
      </c>
      <c r="AO11" s="240">
        <f>AO9-AI9</f>
        <v>3071</v>
      </c>
      <c r="AP11" s="123">
        <f>AP9-AJ9</f>
        <v>1816</v>
      </c>
      <c r="AQ11" s="240">
        <f>AQ9-AK9</f>
        <v>473</v>
      </c>
      <c r="AR11" s="240">
        <f>AR9-AL9</f>
        <v>7633</v>
      </c>
      <c r="AS11" s="120"/>
      <c r="AT11" s="123">
        <f>AT9-AN9</f>
        <v>-63</v>
      </c>
      <c r="AU11" s="240">
        <f>AU9-AO9</f>
        <v>-629</v>
      </c>
      <c r="AV11" s="303">
        <f>AV9-AP9</f>
        <v>-704</v>
      </c>
      <c r="AW11" s="123">
        <f>AW9-AQ9</f>
        <v>-382.75</v>
      </c>
      <c r="AX11" s="123">
        <f>AX9-AR9</f>
        <v>-1778.75</v>
      </c>
      <c r="AZ11" s="123">
        <f>AZ9-AT9</f>
        <v>-404.94999999999709</v>
      </c>
      <c r="BA11" s="123">
        <f>BA9-AU9</f>
        <v>-240.79999999999927</v>
      </c>
      <c r="BB11" s="123">
        <f>BB9-AV9</f>
        <v>75.889999999999418</v>
      </c>
      <c r="BC11" s="123">
        <f>BC9-AW9</f>
        <v>266.33450000000084</v>
      </c>
      <c r="BD11" s="123">
        <f>BD9-AX9</f>
        <v>-303.5254999999961</v>
      </c>
      <c r="BF11" s="123">
        <f>BF9-AZ9</f>
        <v>727.56087577774451</v>
      </c>
      <c r="BG11" s="123">
        <f>BG9-BA9</f>
        <v>777.17698742989523</v>
      </c>
      <c r="BH11" s="123">
        <f>BH9-BB9</f>
        <v>762.82932857550986</v>
      </c>
      <c r="BI11" s="123">
        <f>BI9-BC9</f>
        <v>795.43660101956266</v>
      </c>
      <c r="BJ11" s="123">
        <f>BJ9-BD9</f>
        <v>3063.0037928027086</v>
      </c>
      <c r="BL11" s="123">
        <f>BL9-BF9</f>
        <v>659.09517254810999</v>
      </c>
      <c r="BM11" s="123">
        <f>BM9-BG9</f>
        <v>708.07535209211346</v>
      </c>
      <c r="BN11" s="123">
        <f>BN9-BH9</f>
        <v>694.64164404555413</v>
      </c>
      <c r="BO11" s="123">
        <f>BO9-BI9</f>
        <v>731.78225887011649</v>
      </c>
      <c r="BP11" s="123">
        <f>BP9-BJ9</f>
        <v>2793.5944275559013</v>
      </c>
      <c r="BR11" s="123">
        <f>BR9-BL9</f>
        <v>687.19053689166685</v>
      </c>
      <c r="BS11" s="123">
        <f>BS9-BM9</f>
        <v>738.41196858059993</v>
      </c>
      <c r="BT11" s="123">
        <f>BT9-BN9</f>
        <v>724.32884706060577</v>
      </c>
      <c r="BU11" s="123">
        <f>BU9-BO9</f>
        <v>763.302226583015</v>
      </c>
      <c r="BV11" s="123">
        <f>BV9-BP9</f>
        <v>2913.2335791158985</v>
      </c>
      <c r="BX11" s="123">
        <f>BX9-BR9</f>
        <v>716.52437819803163</v>
      </c>
      <c r="BY11" s="123">
        <f>BY9-BS9</f>
        <v>770.09184890878169</v>
      </c>
      <c r="BZ11" s="123">
        <f>BZ9-BT9</f>
        <v>755.32746858417158</v>
      </c>
      <c r="CA11" s="123">
        <f>CA9-BU9</f>
        <v>796.22595053333498</v>
      </c>
      <c r="CB11" s="123">
        <f>CB9-BV9</f>
        <v>3038.1696462243126</v>
      </c>
      <c r="CD11" s="123">
        <f>CD9-BX9</f>
        <v>747.1527608786746</v>
      </c>
      <c r="CE11" s="123">
        <f>CE9-BY9</f>
        <v>803.17603318897091</v>
      </c>
      <c r="CF11" s="123">
        <f>CF9-BZ9</f>
        <v>787.69696921604191</v>
      </c>
      <c r="CG11" s="123">
        <f>CG9-CA9</f>
        <v>830.6175604661039</v>
      </c>
      <c r="CH11" s="123">
        <f>CH9-CB9</f>
        <v>3168.643323749784</v>
      </c>
      <c r="CJ11" s="123">
        <f>CJ9-CD9</f>
        <v>779.13434094815602</v>
      </c>
      <c r="CK11" s="123">
        <f>CK9-CE9</f>
        <v>837.72839212449253</v>
      </c>
      <c r="CL11" s="123">
        <f>CL9-CF9</f>
        <v>821.49956122782532</v>
      </c>
      <c r="CM11" s="123">
        <f>CM9-CG9</f>
        <v>866.54417355769692</v>
      </c>
      <c r="CN11" s="123">
        <f>CN9-CH9</f>
        <v>3304.9064678581781</v>
      </c>
    </row>
    <row r="12" spans="1:92" ht="18" customHeight="1" x14ac:dyDescent="0.25">
      <c r="B12" s="14" t="s">
        <v>149</v>
      </c>
      <c r="J12" s="9">
        <f>J9/G9-1</f>
        <v>-2.8691066997518222E-3</v>
      </c>
      <c r="K12" s="9">
        <f>K9/J9-1</f>
        <v>8.9587059646939915E-2</v>
      </c>
      <c r="L12" s="9">
        <f>L9/K9-1</f>
        <v>-3.5757619013632169E-2</v>
      </c>
      <c r="M12" s="9">
        <f>M9/L9-1</f>
        <v>6.1584011843079267E-2</v>
      </c>
      <c r="N12" s="9">
        <f>AVERAGE(J12:M12)</f>
        <v>2.8136086444158798E-2</v>
      </c>
      <c r="P12" s="9">
        <f>P9/M9-1</f>
        <v>-6.1079347371356896E-2</v>
      </c>
      <c r="Q12" s="9">
        <f>Q9/P9-1</f>
        <v>7.1736224565572604E-2</v>
      </c>
      <c r="R12" s="9">
        <f>R9/Q9-1</f>
        <v>-0.1159922394678492</v>
      </c>
      <c r="S12" s="9">
        <f>S9/R9-1</f>
        <v>3.0255525944505424E-2</v>
      </c>
      <c r="T12" s="9">
        <f>AVERAGE(P12:S12)</f>
        <v>-1.8769959082282017E-2</v>
      </c>
      <c r="V12" s="9">
        <f>V9/S9-1</f>
        <v>-0.1908855751673767</v>
      </c>
      <c r="W12" s="9">
        <f>W9/V9-1</f>
        <v>-5.9990597085096353E-2</v>
      </c>
      <c r="X12" s="9">
        <f>X9/W9-1</f>
        <v>-1.1603481044313302E-2</v>
      </c>
      <c r="Y12" s="9">
        <f>Y9/X9-1</f>
        <v>0.13703066491245819</v>
      </c>
      <c r="Z12" s="9">
        <f>AVERAGE(V12:Y12)</f>
        <v>-3.1362247096082041E-2</v>
      </c>
      <c r="AB12" s="9">
        <f>AB9/Y9-1</f>
        <v>5.8032932799287895E-2</v>
      </c>
      <c r="AC12" s="9">
        <f>AC9/AB9-1</f>
        <v>8.4293766299318618E-2</v>
      </c>
      <c r="AD12" s="9">
        <f>AD9/AC9-1</f>
        <v>-3.8172084723407607E-2</v>
      </c>
      <c r="AE12" s="9">
        <f>AE9/AD9-1</f>
        <v>0.11301121239009437</v>
      </c>
      <c r="AF12" s="9">
        <f>AVERAGE(AB12:AE12)</f>
        <v>5.429145669132332E-2</v>
      </c>
      <c r="AH12" s="9">
        <f>AH9/AE9-1</f>
        <v>-1.5147122771416166E-2</v>
      </c>
      <c r="AI12" s="9">
        <f>AI9/AH9-1</f>
        <v>4.8421517403782532E-2</v>
      </c>
      <c r="AJ12" s="9">
        <f>AJ9/AI9-1</f>
        <v>5.243209096651924E-2</v>
      </c>
      <c r="AK12" s="9">
        <f>AK9/AJ9-1</f>
        <v>0.10690943043884227</v>
      </c>
      <c r="AL12" s="9">
        <f>AVERAGE(AH12:AK12)</f>
        <v>4.8153979009431969E-2</v>
      </c>
      <c r="AN12" s="9">
        <f>AN9/AK9-1</f>
        <v>-4.4285111767186858E-2</v>
      </c>
      <c r="AO12" s="241">
        <f>AO9/AN9-1</f>
        <v>9.1791703442188899E-2</v>
      </c>
      <c r="AP12" s="9">
        <f>AP9/AO9-1</f>
        <v>-2.9333641298071367E-2</v>
      </c>
      <c r="AQ12" s="241">
        <f>AQ9/AP9-1</f>
        <v>1.5466983938132062E-2</v>
      </c>
      <c r="AR12" s="241">
        <f>AVERAGE(AN12:AQ12)</f>
        <v>8.409983578765684E-3</v>
      </c>
      <c r="AS12" s="9"/>
      <c r="AT12" s="9">
        <f>AT9/AQ9-1</f>
        <v>-7.4458113649677804E-2</v>
      </c>
      <c r="AU12" s="241">
        <f>AU9/AT9-1</f>
        <v>5.6332679283499054E-2</v>
      </c>
      <c r="AV12" s="109">
        <f>AV9/AU9-1</f>
        <v>-3.493318952603508E-2</v>
      </c>
      <c r="AW12" s="9">
        <f>AW9/AV9-1</f>
        <v>3.6089035142182979E-2</v>
      </c>
      <c r="AX12" s="9">
        <f>AVERAGE(AT12:AW12)</f>
        <v>-4.2423971875077127E-3</v>
      </c>
      <c r="AZ12" s="9">
        <f>AZ9/AW9-1</f>
        <v>-7.7496292079281881E-2</v>
      </c>
      <c r="BA12" s="9">
        <f>BA9/AZ9-1</f>
        <v>6.8477756016122937E-2</v>
      </c>
      <c r="BB12" s="9">
        <f>BB9/BA9-1</f>
        <v>-1.6190829391666051E-2</v>
      </c>
      <c r="BC12" s="9">
        <f>BC9/BB9-1</f>
        <v>4.7688774302631076E-2</v>
      </c>
      <c r="BD12" s="9">
        <f>AVERAGE(AZ12:BC12)</f>
        <v>5.6198522119515204E-3</v>
      </c>
      <c r="BF12" s="9">
        <f>BF9/BC9-1</f>
        <v>-4.9073611791196958E-2</v>
      </c>
      <c r="BG12" s="9">
        <f>BG9/BF9-1</f>
        <v>6.846500142926315E-2</v>
      </c>
      <c r="BH12" s="9">
        <f>BH9/BG9-1</f>
        <v>-1.6293266560098774E-2</v>
      </c>
      <c r="BI12" s="9">
        <f>BI9/BH9-1</f>
        <v>4.7466219820335498E-2</v>
      </c>
      <c r="BJ12" s="9">
        <f>AVERAGE(BF12:BI12)</f>
        <v>1.2641085724575729E-2</v>
      </c>
      <c r="BL12" s="9">
        <f>BL9/BI9-1</f>
        <v>-5.4555969435299279E-2</v>
      </c>
      <c r="BM12" s="9">
        <f>BM9/BL9-1</f>
        <v>6.8694743110118139E-2</v>
      </c>
      <c r="BN12" s="9">
        <f>BN9/BM9-1</f>
        <v>-1.6399038028657942E-2</v>
      </c>
      <c r="BO12" s="9">
        <f>BO9/BN9-1</f>
        <v>4.7702543679142506E-2</v>
      </c>
      <c r="BP12" s="9">
        <f>AVERAGE(BL12:BO12)</f>
        <v>1.1360569831325856E-2</v>
      </c>
      <c r="BR12" s="9">
        <f>BR9/BO9-1</f>
        <v>-5.4808590024313819E-2</v>
      </c>
      <c r="BS12" s="9">
        <f>BS9/BR9-1</f>
        <v>6.892459644534199E-2</v>
      </c>
      <c r="BT12" s="9">
        <f>BT9/BS9-1</f>
        <v>-1.6504751927059025E-2</v>
      </c>
      <c r="BU12" s="9">
        <f>BU9/BT9-1</f>
        <v>4.794329328343494E-2</v>
      </c>
      <c r="BV12" s="9">
        <f>AVERAGE(BR12:BU12)</f>
        <v>1.1388636944351022E-2</v>
      </c>
      <c r="BX12" s="9">
        <f>BX9/BU9-1</f>
        <v>-5.5065413058325019E-2</v>
      </c>
      <c r="BY12" s="9">
        <f>BY9/BX9-1</f>
        <v>6.9154535969323083E-2</v>
      </c>
      <c r="BZ12" s="9">
        <f>BZ9/BY9-1</f>
        <v>-1.6610410297067113E-2</v>
      </c>
      <c r="CA12" s="9">
        <f>CA9/BZ9-1</f>
        <v>4.8188368410840843E-2</v>
      </c>
      <c r="CB12" s="9">
        <f>AVERAGE(BX12:CA12)</f>
        <v>1.1416770256192948E-2</v>
      </c>
      <c r="CD12" s="9">
        <f>CD9/CA9-1</f>
        <v>-5.5326320857735922E-2</v>
      </c>
      <c r="CE12" s="9">
        <f>CE9/CD9-1</f>
        <v>6.9384536385397766E-2</v>
      </c>
      <c r="CF12" s="9">
        <f>CF9/CE9-1</f>
        <v>-1.6716014967898762E-2</v>
      </c>
      <c r="CG12" s="9">
        <f>CG9/CF9-1</f>
        <v>4.843766919635395E-2</v>
      </c>
      <c r="CH12" s="9">
        <f>AVERAGE(CD12:CG12)</f>
        <v>1.1444967439029258E-2</v>
      </c>
      <c r="CJ12" s="9">
        <f>CJ9/CG9-1</f>
        <v>-5.5591196490928807E-2</v>
      </c>
      <c r="CK12" s="9">
        <f>CK9/CJ9-1</f>
        <v>6.9614572573478695E-2</v>
      </c>
      <c r="CL12" s="9">
        <f>CL9/CK9-1</f>
        <v>-1.6821567558648609E-2</v>
      </c>
      <c r="CM12" s="9">
        <f>CM9/CL9-1</f>
        <v>4.8691096162329472E-2</v>
      </c>
      <c r="CN12" s="9">
        <f>AVERAGE(CJ12:CM12)</f>
        <v>1.1473226171557688E-2</v>
      </c>
    </row>
    <row r="13" spans="1:92" ht="18" customHeight="1" x14ac:dyDescent="0.25">
      <c r="B13" s="14" t="s">
        <v>146</v>
      </c>
      <c r="J13" s="125">
        <f>J9-G9</f>
        <v>-37</v>
      </c>
      <c r="K13" s="125">
        <f>K9-J9</f>
        <v>1152</v>
      </c>
      <c r="L13" s="125">
        <f>L9-K9</f>
        <v>-501</v>
      </c>
      <c r="M13" s="125">
        <f>M9-L9</f>
        <v>832</v>
      </c>
      <c r="N13" s="125">
        <f>AVERAGE(J13:M13)</f>
        <v>361.5</v>
      </c>
      <c r="P13" s="125">
        <f>P9-M9</f>
        <v>-876</v>
      </c>
      <c r="Q13" s="125">
        <f>Q9-P9</f>
        <v>966</v>
      </c>
      <c r="R13" s="125">
        <f>R9-Q9</f>
        <v>-1674</v>
      </c>
      <c r="S13" s="125">
        <f>S9-R9</f>
        <v>386</v>
      </c>
      <c r="T13" s="125">
        <f>AVERAGE(P13:S13)</f>
        <v>-299.5</v>
      </c>
      <c r="V13" s="125">
        <f>V9-S9</f>
        <v>-2509</v>
      </c>
      <c r="W13" s="125">
        <f>W9-V9</f>
        <v>-638</v>
      </c>
      <c r="X13" s="125">
        <f>X9-W9</f>
        <v>-116</v>
      </c>
      <c r="Y13" s="125">
        <f>Y9-X9</f>
        <v>1354</v>
      </c>
      <c r="Z13" s="125">
        <f>AVERAGE(V13:Y13)</f>
        <v>-477.25</v>
      </c>
      <c r="AB13" s="125">
        <f>AB9-Y9</f>
        <v>652</v>
      </c>
      <c r="AC13" s="125">
        <f>AC9-AB9</f>
        <v>1002</v>
      </c>
      <c r="AD13" s="125">
        <f>AD9-AC9</f>
        <v>-492</v>
      </c>
      <c r="AE13" s="125">
        <f>AE9-AD9</f>
        <v>1401</v>
      </c>
      <c r="AF13" s="125">
        <f>AVERAGE(AB13:AE13)</f>
        <v>640.75</v>
      </c>
      <c r="AH13" s="125">
        <f>AH9-AE9</f>
        <v>-209</v>
      </c>
      <c r="AI13" s="125">
        <f>AI9-AH9</f>
        <v>658</v>
      </c>
      <c r="AJ13" s="125">
        <f>AJ9-AI9</f>
        <v>747</v>
      </c>
      <c r="AK13" s="125">
        <f>AK9-AJ9</f>
        <v>1603</v>
      </c>
      <c r="AL13" s="125">
        <f>AVERAGE(AH13:AK13)</f>
        <v>699.75</v>
      </c>
      <c r="AN13" s="125">
        <f>AN9-AK9</f>
        <v>-735</v>
      </c>
      <c r="AO13" s="242">
        <f>AO9-AN9</f>
        <v>1456</v>
      </c>
      <c r="AP13" s="125">
        <f>AP9-AO9</f>
        <v>-508</v>
      </c>
      <c r="AQ13" s="242">
        <f>AQ9-AP9</f>
        <v>260</v>
      </c>
      <c r="AR13" s="242">
        <f>AVERAGE(AN13:AQ13)</f>
        <v>118.25</v>
      </c>
      <c r="AS13" s="125"/>
      <c r="AT13" s="125">
        <f>AT9-AQ9</f>
        <v>-1271</v>
      </c>
      <c r="AU13" s="242">
        <f>AU9-AT9</f>
        <v>890</v>
      </c>
      <c r="AV13" s="174">
        <f>AV9-AU9</f>
        <v>-583</v>
      </c>
      <c r="AW13" s="125">
        <f>AW9-AV9</f>
        <v>581.25</v>
      </c>
      <c r="AX13" s="125">
        <f>AVERAGE(AT13:AW13)</f>
        <v>-95.6875</v>
      </c>
      <c r="AZ13" s="125">
        <f>AZ9-AW9</f>
        <v>-1293.1999999999971</v>
      </c>
      <c r="BA13" s="125">
        <f>BA9-AZ9</f>
        <v>1054.1499999999978</v>
      </c>
      <c r="BB13" s="125">
        <f>BB9-BA9</f>
        <v>-266.31000000000131</v>
      </c>
      <c r="BC13" s="125">
        <f>BC9-BB9</f>
        <v>771.69450000000143</v>
      </c>
      <c r="BD13" s="125">
        <f>AVERAGE(AZ13:BC13)</f>
        <v>66.583625000000211</v>
      </c>
      <c r="BF13" s="125">
        <f>BF9-BC9</f>
        <v>-831.97362422225342</v>
      </c>
      <c r="BG13" s="125">
        <f>BG9-BF9</f>
        <v>1103.7661116521485</v>
      </c>
      <c r="BH13" s="125">
        <f>BH9-BG9</f>
        <v>-280.65765885438668</v>
      </c>
      <c r="BI13" s="125">
        <f>BI9-BH9</f>
        <v>804.30177244405422</v>
      </c>
      <c r="BJ13" s="125">
        <f>AVERAGE(BF13:BI13)</f>
        <v>198.85915025489066</v>
      </c>
      <c r="BL13" s="125">
        <f>BL9-BI9</f>
        <v>-968.31505269370609</v>
      </c>
      <c r="BM13" s="125">
        <f>BM9-BL9</f>
        <v>1152.746291196152</v>
      </c>
      <c r="BN13" s="125">
        <f>BN9-BM9</f>
        <v>-294.09136690094601</v>
      </c>
      <c r="BO13" s="125">
        <f>BO9-BN9</f>
        <v>841.44238726861659</v>
      </c>
      <c r="BP13" s="125">
        <f>AVERAGE(BL13:BO13)</f>
        <v>182.94556471752912</v>
      </c>
      <c r="BR13" s="125">
        <f>BR9-BO9</f>
        <v>-1012.9067746721557</v>
      </c>
      <c r="BS13" s="125">
        <f>BS9-BR9</f>
        <v>1203.9677228850851</v>
      </c>
      <c r="BT13" s="125">
        <f>BT9-BS9</f>
        <v>-308.17448842094018</v>
      </c>
      <c r="BU13" s="125">
        <f>BU9-BT9</f>
        <v>880.41576679102582</v>
      </c>
      <c r="BV13" s="125">
        <f>AVERAGE(BR13:BU13)</f>
        <v>190.82555664575375</v>
      </c>
      <c r="BX13" s="125">
        <f>BX9-BU9</f>
        <v>-1059.6846230571391</v>
      </c>
      <c r="BY13" s="125">
        <f>BY9-BX9</f>
        <v>1257.5351935958352</v>
      </c>
      <c r="BZ13" s="125">
        <f>BZ9-BY9</f>
        <v>-322.93886874555028</v>
      </c>
      <c r="CA13" s="125">
        <f>CA9-BZ9</f>
        <v>921.31424874018921</v>
      </c>
      <c r="CB13" s="125">
        <f>AVERAGE(BX13:CA13)</f>
        <v>199.05648763333375</v>
      </c>
      <c r="CD13" s="125">
        <f>CD9-CA9</f>
        <v>-1108.7578127117995</v>
      </c>
      <c r="CE13" s="125">
        <f>CE9-CD9</f>
        <v>1313.5584659061315</v>
      </c>
      <c r="CF13" s="125">
        <f>CF9-CE9</f>
        <v>-338.41793271847928</v>
      </c>
      <c r="CG13" s="125">
        <f>CG9-CF9</f>
        <v>964.2348399902512</v>
      </c>
      <c r="CH13" s="125">
        <f>AVERAGE(CD13:CG13)</f>
        <v>207.65439011652597</v>
      </c>
      <c r="CJ13" s="125">
        <f>CJ9-CG9</f>
        <v>-1160.2410322297474</v>
      </c>
      <c r="CK13" s="125">
        <f>CK9-CJ9</f>
        <v>1372.152517082468</v>
      </c>
      <c r="CL13" s="125">
        <f>CL9-CK9</f>
        <v>-354.64676361514648</v>
      </c>
      <c r="CM13" s="125">
        <f>CM9-CL9</f>
        <v>1009.2794523201228</v>
      </c>
      <c r="CN13" s="125">
        <f>AVERAGE(CJ13:CM13)</f>
        <v>216.63604338942423</v>
      </c>
    </row>
    <row r="14" spans="1:92" ht="18" customHeight="1" thickBot="1" x14ac:dyDescent="0.3">
      <c r="B14" s="163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H14" s="120"/>
      <c r="AI14" s="120"/>
      <c r="AJ14" s="120"/>
      <c r="AK14" s="120"/>
      <c r="AL14" s="120"/>
      <c r="AN14" s="120"/>
      <c r="AO14" s="237"/>
      <c r="AP14" s="120"/>
      <c r="AQ14" s="237"/>
      <c r="AR14" s="237"/>
      <c r="AS14" s="120"/>
      <c r="AT14" s="120"/>
      <c r="AU14" s="237"/>
      <c r="AV14" s="262"/>
      <c r="AW14" s="120"/>
      <c r="AX14" s="120"/>
      <c r="AZ14" s="120"/>
      <c r="BA14" s="120"/>
      <c r="BB14" s="120"/>
      <c r="BC14" s="120"/>
      <c r="BD14" s="120"/>
      <c r="BF14" s="120"/>
      <c r="BG14" s="120"/>
      <c r="BH14" s="120"/>
      <c r="BI14" s="120"/>
      <c r="BJ14" s="120"/>
      <c r="BL14" s="120"/>
      <c r="BM14" s="120"/>
      <c r="BN14" s="120"/>
      <c r="BO14" s="120"/>
      <c r="BP14" s="120"/>
      <c r="BR14" s="120"/>
      <c r="BS14" s="120"/>
      <c r="BT14" s="120"/>
      <c r="BU14" s="120"/>
      <c r="BV14" s="120"/>
      <c r="BX14" s="120"/>
      <c r="BY14" s="120"/>
      <c r="BZ14" s="120"/>
      <c r="CA14" s="120"/>
      <c r="CB14" s="120"/>
      <c r="CD14" s="120"/>
      <c r="CE14" s="120"/>
      <c r="CF14" s="120"/>
      <c r="CG14" s="120"/>
      <c r="CH14" s="120"/>
      <c r="CJ14" s="120"/>
      <c r="CK14" s="120"/>
      <c r="CL14" s="120"/>
      <c r="CM14" s="120"/>
      <c r="CN14" s="120"/>
    </row>
    <row r="15" spans="1:92" ht="18" customHeight="1" collapsed="1" thickBot="1" x14ac:dyDescent="0.3">
      <c r="B15" s="151" t="s">
        <v>392</v>
      </c>
      <c r="C15" s="151"/>
      <c r="D15" s="399">
        <v>6801</v>
      </c>
      <c r="E15" s="399">
        <v>7816</v>
      </c>
      <c r="F15" s="399">
        <v>7678</v>
      </c>
      <c r="G15" s="455">
        <f>H15-SUM(D15:F15)</f>
        <v>8965</v>
      </c>
      <c r="H15" s="399">
        <v>31260</v>
      </c>
      <c r="I15" s="399"/>
      <c r="J15" s="399">
        <v>8566</v>
      </c>
      <c r="K15" s="399">
        <v>9422</v>
      </c>
      <c r="L15" s="399">
        <v>9022</v>
      </c>
      <c r="M15" s="455">
        <f>N15-SUM(J15:L15)</f>
        <v>9987</v>
      </c>
      <c r="N15" s="399">
        <v>36997</v>
      </c>
      <c r="O15" s="399"/>
      <c r="P15" s="399">
        <v>9003</v>
      </c>
      <c r="Q15" s="399">
        <v>9941</v>
      </c>
      <c r="R15" s="399">
        <v>8569</v>
      </c>
      <c r="S15" s="455">
        <f>T15-SUM(P15:R15)</f>
        <v>9117</v>
      </c>
      <c r="T15" s="399">
        <v>36630</v>
      </c>
      <c r="U15" s="399"/>
      <c r="V15" s="399">
        <v>7266</v>
      </c>
      <c r="W15" s="399">
        <v>7113</v>
      </c>
      <c r="X15" s="399">
        <v>6919</v>
      </c>
      <c r="Y15" s="455">
        <f>Z15-SUM(V15:X15)</f>
        <v>7784</v>
      </c>
      <c r="Z15" s="399">
        <v>29082</v>
      </c>
      <c r="AA15" s="399"/>
      <c r="AB15" s="399">
        <v>8012</v>
      </c>
      <c r="AC15" s="399">
        <v>8881</v>
      </c>
      <c r="AD15" s="399">
        <v>8617</v>
      </c>
      <c r="AE15" s="455">
        <f>AF15-SUM(AB15:AD15)</f>
        <v>10003</v>
      </c>
      <c r="AF15" s="399">
        <v>35513</v>
      </c>
      <c r="AG15" s="399"/>
      <c r="AH15" s="399">
        <v>9559</v>
      </c>
      <c r="AI15" s="399">
        <v>9975</v>
      </c>
      <c r="AJ15" s="399">
        <v>10202</v>
      </c>
      <c r="AK15" s="455">
        <f>AL15-SUM(AH15:AJ15)</f>
        <v>11614</v>
      </c>
      <c r="AL15" s="399">
        <v>41350</v>
      </c>
      <c r="AM15" s="399"/>
      <c r="AN15" s="399">
        <v>10103</v>
      </c>
      <c r="AO15" s="399">
        <v>11065</v>
      </c>
      <c r="AP15" s="399">
        <v>10583</v>
      </c>
      <c r="AQ15" s="455">
        <f>AR15-SUM(AN15:AP15)</f>
        <v>11016</v>
      </c>
      <c r="AR15" s="399">
        <v>42767</v>
      </c>
      <c r="AS15" s="399"/>
      <c r="AT15" s="399">
        <v>9662</v>
      </c>
      <c r="AU15" s="399">
        <v>10150</v>
      </c>
      <c r="AV15" s="400">
        <v>10066</v>
      </c>
      <c r="AW15" s="214">
        <f>AW9-AW17</f>
        <v>10650.102412306773</v>
      </c>
      <c r="AX15" s="214">
        <f t="shared" ref="AX15" si="57">AX9-AX17</f>
        <v>40528.102412306769</v>
      </c>
      <c r="AY15" s="151"/>
      <c r="AZ15" s="214">
        <f t="shared" ref="AZ15:BD15" si="58">AZ9-AZ17</f>
        <v>9611.837298268174</v>
      </c>
      <c r="BA15" s="214">
        <f t="shared" si="58"/>
        <v>9971.0437799582924</v>
      </c>
      <c r="BB15" s="214">
        <f t="shared" si="58"/>
        <v>10202.696346963145</v>
      </c>
      <c r="BC15" s="214">
        <f t="shared" si="58"/>
        <v>10781.065049390449</v>
      </c>
      <c r="BD15" s="214">
        <f t="shared" si="58"/>
        <v>40566.642474580061</v>
      </c>
      <c r="BE15" s="151"/>
      <c r="BF15" s="214">
        <f t="shared" ref="BF15:BJ15" si="59">BF9-BF17</f>
        <v>9955.9623794386225</v>
      </c>
      <c r="BG15" s="214">
        <f t="shared" si="59"/>
        <v>10324.0297321696</v>
      </c>
      <c r="BH15" s="214">
        <f t="shared" si="59"/>
        <v>10556.059477375626</v>
      </c>
      <c r="BI15" s="214">
        <f t="shared" si="59"/>
        <v>11151.237000587662</v>
      </c>
      <c r="BJ15" s="214">
        <f t="shared" si="59"/>
        <v>41987.288589571508</v>
      </c>
      <c r="BK15" s="151"/>
      <c r="BL15" s="214">
        <f t="shared" ref="BL15:BP15" si="60">BL9-BL17</f>
        <v>10310.133362265897</v>
      </c>
      <c r="BM15" s="214">
        <f t="shared" si="60"/>
        <v>10692.062905349954</v>
      </c>
      <c r="BN15" s="214">
        <f t="shared" si="60"/>
        <v>10923.020231628063</v>
      </c>
      <c r="BO15" s="214">
        <f t="shared" si="60"/>
        <v>11540.477532772316</v>
      </c>
      <c r="BP15" s="214">
        <f t="shared" si="60"/>
        <v>43465.694032016239</v>
      </c>
      <c r="BQ15" s="151"/>
      <c r="BR15" s="214">
        <f t="shared" ref="BR15:BV15" si="61">BR9-BR17</f>
        <v>10676.276700935532</v>
      </c>
      <c r="BS15" s="214">
        <f t="shared" si="61"/>
        <v>11072.537073057392</v>
      </c>
      <c r="BT15" s="214">
        <f t="shared" si="61"/>
        <v>11302.234902120617</v>
      </c>
      <c r="BU15" s="214">
        <f t="shared" si="61"/>
        <v>11943.128777498107</v>
      </c>
      <c r="BV15" s="214">
        <f t="shared" si="61"/>
        <v>44994.177453611665</v>
      </c>
      <c r="BW15" s="151"/>
      <c r="BX15" s="214">
        <f t="shared" ref="BX15:CB15" si="62">BX9-BX17</f>
        <v>11058.352058725262</v>
      </c>
      <c r="BY15" s="214">
        <f t="shared" si="62"/>
        <v>11469.660143544217</v>
      </c>
      <c r="BZ15" s="214">
        <f t="shared" si="62"/>
        <v>11697.990410777955</v>
      </c>
      <c r="CA15" s="214">
        <f t="shared" si="62"/>
        <v>12363.463542998747</v>
      </c>
      <c r="CB15" s="214">
        <f t="shared" si="62"/>
        <v>46589.46615604619</v>
      </c>
      <c r="CC15" s="151"/>
      <c r="CD15" s="214">
        <f t="shared" ref="CD15:CH15" si="63">CD9-CD17</f>
        <v>11457.075195928333</v>
      </c>
      <c r="CE15" s="214">
        <f t="shared" si="63"/>
        <v>11884.18375468623</v>
      </c>
      <c r="CF15" s="214">
        <f t="shared" si="63"/>
        <v>12111.031387984773</v>
      </c>
      <c r="CG15" s="214">
        <f t="shared" si="63"/>
        <v>12802.283591860541</v>
      </c>
      <c r="CH15" s="214">
        <f t="shared" si="63"/>
        <v>48254.573930459876</v>
      </c>
      <c r="CI15" s="151"/>
      <c r="CJ15" s="214">
        <f t="shared" ref="CJ15:CN15" si="64">CJ9-CJ17</f>
        <v>11867.554945661235</v>
      </c>
      <c r="CK15" s="214">
        <f t="shared" si="64"/>
        <v>12311.181119409501</v>
      </c>
      <c r="CL15" s="214">
        <f t="shared" si="64"/>
        <v>12536.252440166285</v>
      </c>
      <c r="CM15" s="214">
        <f t="shared" si="64"/>
        <v>13254.540268574194</v>
      </c>
      <c r="CN15" s="214">
        <f t="shared" si="64"/>
        <v>49969.528773811224</v>
      </c>
    </row>
    <row r="16" spans="1:92" ht="18" customHeight="1" thickBot="1" x14ac:dyDescent="0.3">
      <c r="B16" s="14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H16" s="120"/>
      <c r="AI16" s="120"/>
      <c r="AJ16" s="120"/>
      <c r="AK16" s="120"/>
      <c r="AL16" s="120"/>
      <c r="AN16" s="120"/>
      <c r="AO16" s="237"/>
      <c r="AP16" s="120"/>
      <c r="AQ16" s="237"/>
      <c r="AR16" s="237"/>
      <c r="AS16" s="120"/>
      <c r="AT16" s="120"/>
      <c r="AU16" s="237"/>
      <c r="AV16" s="262"/>
      <c r="AW16" s="120"/>
      <c r="AX16" s="120"/>
      <c r="AZ16" s="120"/>
      <c r="BA16" s="120"/>
      <c r="BB16" s="120"/>
      <c r="BC16" s="120"/>
      <c r="BD16" s="120"/>
      <c r="BF16" s="120"/>
      <c r="BG16" s="120"/>
      <c r="BH16" s="120"/>
      <c r="BI16" s="120"/>
      <c r="BJ16" s="120"/>
      <c r="BL16" s="120"/>
      <c r="BM16" s="120"/>
      <c r="BN16" s="120"/>
      <c r="BO16" s="120"/>
      <c r="BP16" s="120"/>
      <c r="BR16" s="120"/>
      <c r="BS16" s="120"/>
      <c r="BT16" s="120"/>
      <c r="BU16" s="120"/>
      <c r="BV16" s="120"/>
      <c r="BX16" s="120"/>
      <c r="BY16" s="120"/>
      <c r="BZ16" s="120"/>
      <c r="CA16" s="120"/>
      <c r="CB16" s="120"/>
      <c r="CD16" s="120"/>
      <c r="CE16" s="120"/>
      <c r="CF16" s="120"/>
      <c r="CG16" s="120"/>
      <c r="CH16" s="120"/>
      <c r="CJ16" s="120"/>
      <c r="CK16" s="120"/>
      <c r="CL16" s="120"/>
      <c r="CM16" s="120"/>
      <c r="CN16" s="120"/>
    </row>
    <row r="17" spans="2:92" ht="18" customHeight="1" thickBot="1" x14ac:dyDescent="0.3">
      <c r="B17" s="151" t="s">
        <v>221</v>
      </c>
      <c r="C17" s="151"/>
      <c r="D17" s="214">
        <f>D9-D15</f>
        <v>3021</v>
      </c>
      <c r="E17" s="214">
        <f>E9-E15</f>
        <v>3515</v>
      </c>
      <c r="F17" s="214">
        <f>F9-F15</f>
        <v>3735</v>
      </c>
      <c r="G17" s="214">
        <f>G9-G15</f>
        <v>3931</v>
      </c>
      <c r="H17" s="214">
        <f>H9-H15</f>
        <v>14202</v>
      </c>
      <c r="I17" s="214"/>
      <c r="J17" s="214">
        <f>J9-J15</f>
        <v>4293</v>
      </c>
      <c r="K17" s="214">
        <f>K9-K15</f>
        <v>4589</v>
      </c>
      <c r="L17" s="214">
        <f>L9-L15</f>
        <v>4488</v>
      </c>
      <c r="M17" s="214">
        <f>M9-M15</f>
        <v>4355</v>
      </c>
      <c r="N17" s="214">
        <f>N9-N15</f>
        <v>17725</v>
      </c>
      <c r="O17" s="215"/>
      <c r="P17" s="214">
        <f>P9-P15</f>
        <v>4463</v>
      </c>
      <c r="Q17" s="214">
        <f>Q9-Q15</f>
        <v>4491</v>
      </c>
      <c r="R17" s="214">
        <f>R9-R15</f>
        <v>4189</v>
      </c>
      <c r="S17" s="214">
        <f>S9-S15</f>
        <v>4027</v>
      </c>
      <c r="T17" s="214">
        <f>T9-T15</f>
        <v>17170</v>
      </c>
      <c r="U17" s="215"/>
      <c r="V17" s="214">
        <f>V9-V15</f>
        <v>3369</v>
      </c>
      <c r="W17" s="214">
        <f>W9-W15</f>
        <v>2884</v>
      </c>
      <c r="X17" s="214">
        <f>X9-X15</f>
        <v>2962</v>
      </c>
      <c r="Y17" s="214">
        <f>Y9-Y15</f>
        <v>3451</v>
      </c>
      <c r="Z17" s="214">
        <f>Z9-Z15</f>
        <v>12666</v>
      </c>
      <c r="AA17" s="215"/>
      <c r="AB17" s="214">
        <f>AB9-AB15</f>
        <v>3875</v>
      </c>
      <c r="AC17" s="214">
        <f>AC9-AC15</f>
        <v>4008</v>
      </c>
      <c r="AD17" s="214">
        <f>AD9-AD15</f>
        <v>3780</v>
      </c>
      <c r="AE17" s="214">
        <f>AE9-AE15</f>
        <v>3795</v>
      </c>
      <c r="AF17" s="214">
        <f>AF9-AF15</f>
        <v>15458</v>
      </c>
      <c r="AG17" s="214"/>
      <c r="AH17" s="214">
        <f>AH9-AH15</f>
        <v>4030</v>
      </c>
      <c r="AI17" s="214">
        <f>AI9-AI15</f>
        <v>4272</v>
      </c>
      <c r="AJ17" s="214">
        <f>AJ9-AJ15</f>
        <v>4792</v>
      </c>
      <c r="AK17" s="214">
        <f>AK9-AK15</f>
        <v>4983</v>
      </c>
      <c r="AL17" s="214">
        <f>AL9-AL15</f>
        <v>18077</v>
      </c>
      <c r="AM17" s="214"/>
      <c r="AN17" s="214">
        <f>AN9-AN15</f>
        <v>5759</v>
      </c>
      <c r="AO17" s="214">
        <f>AO9-AO15</f>
        <v>6253</v>
      </c>
      <c r="AP17" s="214">
        <f>AP9-AP15</f>
        <v>6227</v>
      </c>
      <c r="AQ17" s="214">
        <f>AQ9-AQ15</f>
        <v>6054</v>
      </c>
      <c r="AR17" s="214">
        <f>AR9-AR15</f>
        <v>24293</v>
      </c>
      <c r="AS17" s="215"/>
      <c r="AT17" s="214">
        <f>AT9-AT15</f>
        <v>6137</v>
      </c>
      <c r="AU17" s="214">
        <f>AU9-AU15</f>
        <v>6539</v>
      </c>
      <c r="AV17" s="302">
        <f>AV9-AV15</f>
        <v>6040</v>
      </c>
      <c r="AW17" s="214">
        <f>AW42+AW39</f>
        <v>6037.1475876932273</v>
      </c>
      <c r="AX17" s="214">
        <f t="shared" ref="AX17" si="65">AX42+AX39</f>
        <v>24753.147587693231</v>
      </c>
      <c r="AY17" s="214"/>
      <c r="AZ17" s="214">
        <f t="shared" ref="AZ17:BD17" si="66">AZ42+AZ39</f>
        <v>5782.2127017318289</v>
      </c>
      <c r="BA17" s="214">
        <f t="shared" si="66"/>
        <v>6477.1562200417084</v>
      </c>
      <c r="BB17" s="214">
        <f t="shared" si="66"/>
        <v>5979.1936530368539</v>
      </c>
      <c r="BC17" s="214">
        <f t="shared" si="66"/>
        <v>6172.5194506095522</v>
      </c>
      <c r="BD17" s="214">
        <f t="shared" si="66"/>
        <v>24411.082025419943</v>
      </c>
      <c r="BE17" s="214"/>
      <c r="BF17" s="214">
        <f t="shared" ref="BF17:BJ17" si="67">BF42+BF39</f>
        <v>6165.6484963391249</v>
      </c>
      <c r="BG17" s="214">
        <f t="shared" si="67"/>
        <v>6901.3472552602962</v>
      </c>
      <c r="BH17" s="214">
        <f t="shared" si="67"/>
        <v>6388.6598511998836</v>
      </c>
      <c r="BI17" s="214">
        <f t="shared" si="67"/>
        <v>6597.7841004319025</v>
      </c>
      <c r="BJ17" s="214">
        <f t="shared" si="67"/>
        <v>26053.439703231204</v>
      </c>
      <c r="BK17" s="214"/>
      <c r="BL17" s="214">
        <f t="shared" ref="BL17:BP17" si="68">BL42+BL39</f>
        <v>6470.5726860599607</v>
      </c>
      <c r="BM17" s="214">
        <f t="shared" si="68"/>
        <v>7241.3894341720561</v>
      </c>
      <c r="BN17" s="214">
        <f t="shared" si="68"/>
        <v>6716.3407409929996</v>
      </c>
      <c r="BO17" s="214">
        <f t="shared" si="68"/>
        <v>6940.3258271173636</v>
      </c>
      <c r="BP17" s="214">
        <f t="shared" si="68"/>
        <v>27368.628688342378</v>
      </c>
      <c r="BQ17" s="214"/>
      <c r="BR17" s="214">
        <f t="shared" ref="BR17:BV17" si="69">BR42+BR39</f>
        <v>6791.6198842819922</v>
      </c>
      <c r="BS17" s="214">
        <f t="shared" si="69"/>
        <v>7599.3272350452171</v>
      </c>
      <c r="BT17" s="214">
        <f t="shared" si="69"/>
        <v>7061.4549175610509</v>
      </c>
      <c r="BU17" s="214">
        <f t="shared" si="69"/>
        <v>7300.9768089745885</v>
      </c>
      <c r="BV17" s="214">
        <f t="shared" si="69"/>
        <v>28753.378845862848</v>
      </c>
      <c r="BW17" s="214"/>
      <c r="BX17" s="214">
        <f t="shared" ref="BX17:CB17" si="70">BX42+BX39</f>
        <v>7126.0689046902935</v>
      </c>
      <c r="BY17" s="214">
        <f t="shared" si="70"/>
        <v>7972.2960134671739</v>
      </c>
      <c r="BZ17" s="214">
        <f t="shared" si="70"/>
        <v>7421.0268774878859</v>
      </c>
      <c r="CA17" s="214">
        <f t="shared" si="70"/>
        <v>7676.8679940072825</v>
      </c>
      <c r="CB17" s="214">
        <f t="shared" si="70"/>
        <v>30196.259789652635</v>
      </c>
      <c r="CC17" s="214"/>
      <c r="CD17" s="214">
        <f t="shared" ref="CD17:CH17" si="71">CD42+CD39</f>
        <v>7474.4985283658971</v>
      </c>
      <c r="CE17" s="214">
        <f t="shared" si="71"/>
        <v>8360.9484355141321</v>
      </c>
      <c r="CF17" s="214">
        <f t="shared" si="71"/>
        <v>7795.68286949711</v>
      </c>
      <c r="CG17" s="214">
        <f t="shared" si="71"/>
        <v>8068.6655056115915</v>
      </c>
      <c r="CH17" s="214">
        <f t="shared" si="71"/>
        <v>31699.795338988733</v>
      </c>
      <c r="CI17" s="214"/>
      <c r="CJ17" s="214">
        <f t="shared" ref="CJ17:CN17" si="72">CJ42+CJ39</f>
        <v>7843.1531195811513</v>
      </c>
      <c r="CK17" s="214">
        <f t="shared" si="72"/>
        <v>8771.6794629153537</v>
      </c>
      <c r="CL17" s="214">
        <f t="shared" si="72"/>
        <v>8191.961378543424</v>
      </c>
      <c r="CM17" s="214">
        <f t="shared" si="72"/>
        <v>8482.953002455637</v>
      </c>
      <c r="CN17" s="214">
        <f t="shared" si="72"/>
        <v>33289.746963495563</v>
      </c>
    </row>
    <row r="18" spans="2:92" ht="18" customHeight="1" x14ac:dyDescent="0.25">
      <c r="B18" s="14" t="s">
        <v>136</v>
      </c>
      <c r="D18" s="9">
        <f>D17/D9</f>
        <v>0.30757483200977398</v>
      </c>
      <c r="E18" s="9">
        <f>E17/E9</f>
        <v>0.3102109257788368</v>
      </c>
      <c r="F18" s="9">
        <f>F17/F9</f>
        <v>0.32725838955576975</v>
      </c>
      <c r="G18" s="9">
        <f>G17/G9</f>
        <v>0.30482320099255583</v>
      </c>
      <c r="H18" s="9">
        <f>H17/H9</f>
        <v>0.31239276758611589</v>
      </c>
      <c r="J18" s="9">
        <f>J17/J9</f>
        <v>0.33385177696554941</v>
      </c>
      <c r="K18" s="9">
        <f>K17/K9</f>
        <v>0.32752837056598388</v>
      </c>
      <c r="L18" s="9">
        <f>L17/L9</f>
        <v>0.33219837157660992</v>
      </c>
      <c r="M18" s="9">
        <f>M17/M9</f>
        <v>0.30365360479709941</v>
      </c>
      <c r="N18" s="9">
        <f>N17/N9</f>
        <v>0.32390994481195862</v>
      </c>
      <c r="O18" s="120"/>
      <c r="P18" s="9">
        <f>P17/P9</f>
        <v>0.33142729838110796</v>
      </c>
      <c r="Q18" s="9">
        <f>Q17/Q9</f>
        <v>0.31118348115299332</v>
      </c>
      <c r="R18" s="9">
        <f>R17/R9</f>
        <v>0.32834300047029313</v>
      </c>
      <c r="S18" s="9">
        <f>S17/S9</f>
        <v>0.30637553256238587</v>
      </c>
      <c r="T18" s="9">
        <f>T17/T9</f>
        <v>0.31914498141263942</v>
      </c>
      <c r="U18" s="120"/>
      <c r="V18" s="9">
        <f>V17/V9</f>
        <v>0.3167842031029619</v>
      </c>
      <c r="W18" s="9">
        <f>W17/W9</f>
        <v>0.28848654596378914</v>
      </c>
      <c r="X18" s="9">
        <f>X17/X9</f>
        <v>0.2997672300374456</v>
      </c>
      <c r="Y18" s="9">
        <f>Y17/Y9</f>
        <v>0.30716510903426791</v>
      </c>
      <c r="Z18" s="9">
        <f>Z17/Z9</f>
        <v>0.30339177924691002</v>
      </c>
      <c r="AA18" s="120"/>
      <c r="AB18" s="9">
        <f>AB17/AB9</f>
        <v>0.32598637166652644</v>
      </c>
      <c r="AC18" s="9">
        <f>AC17/AC9</f>
        <v>0.3109628365272713</v>
      </c>
      <c r="AD18" s="9">
        <f>AD17/AD9</f>
        <v>0.3049124788255223</v>
      </c>
      <c r="AE18" s="9">
        <f>AE17/AE9</f>
        <v>0.27503986084939847</v>
      </c>
      <c r="AF18" s="9">
        <f>AF17/AF9</f>
        <v>0.30327048713974614</v>
      </c>
      <c r="AH18" s="9">
        <f>AH17/AH9</f>
        <v>0.29656339686511146</v>
      </c>
      <c r="AI18" s="9">
        <f>AI17/AI9</f>
        <v>0.29985260054748369</v>
      </c>
      <c r="AJ18" s="9">
        <f>AJ17/AJ9</f>
        <v>0.31959450446845405</v>
      </c>
      <c r="AK18" s="9">
        <f>AK17/AK9</f>
        <v>0.30023498222570344</v>
      </c>
      <c r="AL18" s="9">
        <f>AL17/AL9</f>
        <v>0.30418833190300704</v>
      </c>
      <c r="AN18" s="9">
        <f>AN17/AN9</f>
        <v>0.36306896986508636</v>
      </c>
      <c r="AO18" s="241">
        <f>AO17/AO9</f>
        <v>0.36106940755283518</v>
      </c>
      <c r="AP18" s="9">
        <f>AP17/AP9</f>
        <v>0.37043426531826296</v>
      </c>
      <c r="AQ18" s="241">
        <f>AQ17/AQ9</f>
        <v>0.3546572934973638</v>
      </c>
      <c r="AR18" s="241">
        <f>AR17/AR9</f>
        <v>0.36225767968983003</v>
      </c>
      <c r="AS18" s="120"/>
      <c r="AT18" s="9">
        <f>AT17/AT9</f>
        <v>0.38844230647509337</v>
      </c>
      <c r="AU18" s="241">
        <f>AU17/AU9</f>
        <v>0.39181496794295645</v>
      </c>
      <c r="AV18" s="109">
        <f>AV17/AV9</f>
        <v>0.37501552216565254</v>
      </c>
      <c r="AW18" s="9">
        <f>AW17/AW9</f>
        <v>0.36178205442437955</v>
      </c>
      <c r="AX18" s="9">
        <f t="shared" ref="AX18" si="73">AX17/AX9</f>
        <v>0.37917698554628215</v>
      </c>
      <c r="AZ18" s="9">
        <f t="shared" ref="AZ18" si="74">AZ17/AZ9</f>
        <v>0.37561348064556294</v>
      </c>
      <c r="BA18" s="9">
        <f t="shared" ref="BA18" si="75">BA17/BA9</f>
        <v>0.39379118809606573</v>
      </c>
      <c r="BB18" s="9">
        <f t="shared" ref="BB18" si="76">BB17/BB9</f>
        <v>0.369499091455748</v>
      </c>
      <c r="BC18" s="9">
        <f t="shared" ref="BC18:BD18" si="77">BC17/BC9</f>
        <v>0.36408344504429441</v>
      </c>
      <c r="BD18" s="9">
        <f t="shared" si="77"/>
        <v>0.3756838549404718</v>
      </c>
      <c r="BF18" s="9">
        <f t="shared" ref="BF18" si="78">BF17/BF9</f>
        <v>0.38244618009003262</v>
      </c>
      <c r="BG18" s="9">
        <f t="shared" ref="BG18" si="79">BG17/BG9</f>
        <v>0.4006499979824249</v>
      </c>
      <c r="BH18" s="9">
        <f t="shared" ref="BH18" si="80">BH17/BH9</f>
        <v>0.37702954692356999</v>
      </c>
      <c r="BI18" s="9">
        <f t="shared" ref="BI18" si="81">BI17/BI9</f>
        <v>0.3717266469446534</v>
      </c>
      <c r="BJ18" s="9">
        <f t="shared" ref="BJ18" si="82">BJ17/BJ9</f>
        <v>0.38290947726359237</v>
      </c>
      <c r="BL18" s="9">
        <f t="shared" ref="BL18" si="83">BL17/BL9</f>
        <v>0.38559597357975905</v>
      </c>
      <c r="BM18" s="9">
        <f t="shared" ref="BM18" si="84">BM17/BM9</f>
        <v>0.40379227028213494</v>
      </c>
      <c r="BN18" s="9">
        <f t="shared" ref="BN18" si="85">BN17/BN9</f>
        <v>0.38075873334741372</v>
      </c>
      <c r="BO18" s="9">
        <f t="shared" ref="BO18" si="86">BO17/BO9</f>
        <v>0.37554243135233456</v>
      </c>
      <c r="BP18" s="9">
        <f t="shared" ref="BP18" si="87">BP17/BP9</f>
        <v>0.38637524348738234</v>
      </c>
      <c r="BR18" s="9">
        <f t="shared" ref="BR18" si="88">BR17/BR9</f>
        <v>0.3888058216482404</v>
      </c>
      <c r="BS18" s="9">
        <f t="shared" ref="BS18" si="89">BS17/BS9</f>
        <v>0.4069934908292745</v>
      </c>
      <c r="BT18" s="9">
        <f t="shared" ref="BT18" si="90">BT17/BT9</f>
        <v>0.38453355436186842</v>
      </c>
      <c r="BU18" s="9">
        <f t="shared" ref="BU18" si="91">BU17/BU9</f>
        <v>0.37938769230754382</v>
      </c>
      <c r="BV18" s="9">
        <f t="shared" ref="BV18" si="92">BV17/BV9</f>
        <v>0.38988924228351318</v>
      </c>
      <c r="BX18" s="9">
        <f t="shared" ref="BX18" si="93">BX17/BX9</f>
        <v>0.39187769129558325</v>
      </c>
      <c r="BY18" s="9">
        <f t="shared" ref="BY18" si="94">BY17/BY9</f>
        <v>0.41005626949694096</v>
      </c>
      <c r="BZ18" s="9">
        <f t="shared" ref="BZ18" si="95">BZ17/BZ9</f>
        <v>0.38814897050396452</v>
      </c>
      <c r="CA18" s="9">
        <f t="shared" ref="CA18" si="96">CA17/CA9</f>
        <v>0.38307090777571962</v>
      </c>
      <c r="CB18" s="9">
        <f t="shared" ref="CB18" si="97">CB17/CB9</f>
        <v>0.39325355614931301</v>
      </c>
      <c r="CD18" s="9">
        <f t="shared" ref="CD18" si="98">CD17/CD9</f>
        <v>0.39481654495390062</v>
      </c>
      <c r="CE18" s="9">
        <f t="shared" ref="CE18" si="99">CE17/CE9</f>
        <v>0.41298561831872066</v>
      </c>
      <c r="CF18" s="9">
        <f t="shared" ref="CF18" si="100">CF17/CF9</f>
        <v>0.39161072835348126</v>
      </c>
      <c r="CG18" s="9">
        <f t="shared" ref="CG18" si="101">CG17/CG9</f>
        <v>0.38659791981328051</v>
      </c>
      <c r="CH18" s="9">
        <f t="shared" ref="CH18" si="102">CH17/CH9</f>
        <v>0.39647358397837495</v>
      </c>
      <c r="CJ18" s="9">
        <f t="shared" ref="CJ18" si="103">CJ17/CJ9</f>
        <v>0.39791331156751636</v>
      </c>
      <c r="CK18" s="9">
        <f t="shared" ref="CK18" si="104">CK17/CK9</f>
        <v>0.41605736700973245</v>
      </c>
      <c r="CL18" s="9">
        <f t="shared" ref="CL18" si="105">CL17/CL9</f>
        <v>0.39520826300764966</v>
      </c>
      <c r="CM18" s="9">
        <f t="shared" ref="CM18" si="106">CM17/CM9</f>
        <v>0.39024522729863736</v>
      </c>
      <c r="CN18" s="9">
        <f t="shared" ref="CN18" si="107">CN17/CN9</f>
        <v>0.39983229098135314</v>
      </c>
    </row>
    <row r="19" spans="2:92" ht="18" customHeight="1" x14ac:dyDescent="0.25">
      <c r="B19" s="14"/>
      <c r="J19" s="120"/>
      <c r="K19" s="120"/>
      <c r="L19" s="120"/>
      <c r="M19" s="120"/>
      <c r="N19" s="120"/>
      <c r="O19" s="120"/>
      <c r="P19" s="123"/>
      <c r="Q19" s="123"/>
      <c r="R19" s="123"/>
      <c r="S19" s="123"/>
      <c r="T19" s="123"/>
      <c r="U19" s="120"/>
      <c r="V19" s="67"/>
      <c r="W19" s="67"/>
      <c r="X19" s="67"/>
      <c r="Y19" s="67"/>
      <c r="Z19" s="67"/>
      <c r="AA19" s="120"/>
      <c r="AB19" s="67"/>
      <c r="AC19" s="67"/>
      <c r="AD19" s="67"/>
      <c r="AE19" s="67"/>
      <c r="AF19" s="67"/>
      <c r="AH19" s="156"/>
      <c r="AI19" s="156"/>
      <c r="AJ19" s="156"/>
      <c r="AK19" s="67"/>
      <c r="AL19" s="156"/>
      <c r="AN19" s="67"/>
      <c r="AO19" s="239"/>
      <c r="AP19" s="67"/>
      <c r="AQ19" s="239"/>
      <c r="AR19" s="239"/>
      <c r="AS19" s="120"/>
      <c r="AT19" s="67"/>
      <c r="AU19" s="239"/>
      <c r="AV19" s="264"/>
      <c r="AW19" s="67"/>
      <c r="AX19" s="67"/>
      <c r="AZ19" s="67"/>
      <c r="BA19" s="67"/>
      <c r="BB19" s="67"/>
      <c r="BC19" s="67"/>
      <c r="BD19" s="67"/>
      <c r="BF19" s="67"/>
      <c r="BG19" s="67"/>
      <c r="BH19" s="67"/>
      <c r="BI19" s="67"/>
      <c r="BJ19" s="67"/>
      <c r="BL19" s="67"/>
      <c r="BM19" s="67"/>
      <c r="BN19" s="67"/>
      <c r="BO19" s="67"/>
      <c r="BP19" s="67"/>
      <c r="BR19" s="67"/>
      <c r="BS19" s="67"/>
      <c r="BT19" s="67"/>
      <c r="BU19" s="67"/>
      <c r="BV19" s="67"/>
      <c r="BX19" s="67"/>
      <c r="BY19" s="67"/>
      <c r="BZ19" s="67"/>
      <c r="CA19" s="67"/>
      <c r="CB19" s="67"/>
      <c r="CD19" s="67"/>
      <c r="CE19" s="67"/>
      <c r="CF19" s="67"/>
      <c r="CG19" s="67"/>
      <c r="CH19" s="67"/>
      <c r="CJ19" s="67"/>
      <c r="CK19" s="67"/>
      <c r="CL19" s="67"/>
      <c r="CM19" s="67"/>
      <c r="CN19" s="67"/>
    </row>
    <row r="20" spans="2:92" ht="18" customHeight="1" x14ac:dyDescent="0.25">
      <c r="B20" s="154" t="s">
        <v>194</v>
      </c>
      <c r="J20" s="120"/>
      <c r="K20" s="120"/>
      <c r="L20" s="120"/>
      <c r="M20" s="120"/>
      <c r="N20" s="120"/>
      <c r="O20" s="120"/>
      <c r="P20" s="123"/>
      <c r="Q20" s="123"/>
      <c r="R20" s="123"/>
      <c r="S20" s="123"/>
      <c r="T20" s="156"/>
      <c r="U20" s="120"/>
      <c r="V20" s="67"/>
      <c r="W20" s="67"/>
      <c r="X20" s="67"/>
      <c r="Y20" s="67"/>
      <c r="Z20" s="156"/>
      <c r="AA20" s="120"/>
      <c r="AB20" s="67"/>
      <c r="AC20" s="67"/>
      <c r="AD20" s="67"/>
      <c r="AE20" s="67"/>
      <c r="AF20" s="156"/>
      <c r="AH20" s="156"/>
      <c r="AI20" s="156"/>
      <c r="AJ20" s="156"/>
      <c r="AK20" s="67"/>
      <c r="AL20" s="156"/>
      <c r="AN20" s="67"/>
      <c r="AO20" s="239"/>
      <c r="AP20" s="67"/>
      <c r="AQ20" s="239"/>
      <c r="AR20" s="245"/>
      <c r="AS20" s="120"/>
      <c r="AT20" s="67"/>
      <c r="AU20" s="239"/>
      <c r="AV20" s="264"/>
      <c r="AW20" s="67"/>
      <c r="AX20" s="156"/>
      <c r="AZ20" s="67"/>
      <c r="BA20" s="67"/>
      <c r="BB20" s="67"/>
      <c r="BC20" s="67"/>
      <c r="BD20" s="156"/>
      <c r="BF20" s="67"/>
      <c r="BG20" s="67"/>
      <c r="BH20" s="67"/>
      <c r="BI20" s="67"/>
      <c r="BJ20" s="156"/>
      <c r="BL20" s="67"/>
      <c r="BM20" s="67"/>
      <c r="BN20" s="67"/>
      <c r="BO20" s="67"/>
      <c r="BP20" s="156"/>
      <c r="BR20" s="67"/>
      <c r="BS20" s="67"/>
      <c r="BT20" s="67"/>
      <c r="BU20" s="67"/>
      <c r="BV20" s="156"/>
      <c r="BX20" s="67"/>
      <c r="BY20" s="67"/>
      <c r="BZ20" s="67"/>
      <c r="CA20" s="67"/>
      <c r="CB20" s="156"/>
      <c r="CD20" s="67"/>
      <c r="CE20" s="67"/>
      <c r="CF20" s="67"/>
      <c r="CG20" s="67"/>
      <c r="CH20" s="156"/>
      <c r="CJ20" s="67"/>
      <c r="CK20" s="67"/>
      <c r="CL20" s="67"/>
      <c r="CM20" s="67"/>
      <c r="CN20" s="156"/>
    </row>
    <row r="21" spans="2:92" ht="18" customHeight="1" x14ac:dyDescent="0.25">
      <c r="B21" s="31" t="s">
        <v>245</v>
      </c>
      <c r="D21" s="121">
        <v>1061</v>
      </c>
      <c r="E21" s="121">
        <v>1304</v>
      </c>
      <c r="F21" s="121">
        <v>1254</v>
      </c>
      <c r="G21" s="153">
        <f>H21-SUM(D21:F21)</f>
        <v>1380</v>
      </c>
      <c r="H21" s="121">
        <v>4999</v>
      </c>
      <c r="I21" s="121"/>
      <c r="J21" s="121">
        <v>1276</v>
      </c>
      <c r="K21" s="121">
        <v>1440</v>
      </c>
      <c r="L21" s="121">
        <v>1299</v>
      </c>
      <c r="M21" s="153">
        <f>N21-SUM(J21:L21)</f>
        <v>1463</v>
      </c>
      <c r="N21" s="121">
        <v>5478</v>
      </c>
      <c r="O21" s="121"/>
      <c r="P21" s="121">
        <v>1319</v>
      </c>
      <c r="Q21" s="121">
        <v>1309</v>
      </c>
      <c r="R21" s="121">
        <v>1251</v>
      </c>
      <c r="S21" s="121">
        <v>1283</v>
      </c>
      <c r="T21" s="153">
        <f>+SUM(P21:S21)</f>
        <v>5162</v>
      </c>
      <c r="U21" s="121"/>
      <c r="V21" s="121">
        <v>1121</v>
      </c>
      <c r="W21" s="121">
        <v>1179</v>
      </c>
      <c r="X21" s="121">
        <v>1126</v>
      </c>
      <c r="Y21" s="153">
        <f>Z21-SUM(V21:X21)</f>
        <v>1216</v>
      </c>
      <c r="Z21" s="121">
        <v>4642</v>
      </c>
      <c r="AA21" s="121"/>
      <c r="AB21" s="121">
        <v>1239</v>
      </c>
      <c r="AC21" s="121">
        <v>1364</v>
      </c>
      <c r="AD21" s="121">
        <v>1340</v>
      </c>
      <c r="AE21" s="153">
        <f>AF21-SUM(AB21:AD21)</f>
        <v>1422</v>
      </c>
      <c r="AF21" s="121">
        <v>5365</v>
      </c>
      <c r="AG21" s="121"/>
      <c r="AH21" s="121">
        <v>1346</v>
      </c>
      <c r="AI21" s="121">
        <v>1425</v>
      </c>
      <c r="AJ21" s="121">
        <v>1401</v>
      </c>
      <c r="AK21" s="153">
        <f>AL21-SUM(AH21:AJ21)</f>
        <v>1479</v>
      </c>
      <c r="AL21" s="121">
        <v>5651</v>
      </c>
      <c r="AM21" s="121"/>
      <c r="AN21" s="121">
        <v>1463</v>
      </c>
      <c r="AO21" s="121">
        <v>1528</v>
      </c>
      <c r="AP21" s="121">
        <v>1624</v>
      </c>
      <c r="AQ21" s="153">
        <f>AR21-SUM(AN21:AP21)</f>
        <v>1756</v>
      </c>
      <c r="AR21" s="121">
        <v>6371</v>
      </c>
      <c r="AS21" s="121"/>
      <c r="AT21" s="121">
        <v>1577</v>
      </c>
      <c r="AU21" s="121">
        <v>1652</v>
      </c>
      <c r="AV21" s="263">
        <v>1669</v>
      </c>
      <c r="AW21" s="153">
        <f>AW$9*AW22</f>
        <v>1668.7250000000001</v>
      </c>
      <c r="AX21" s="153">
        <f>SUM(AT21:AW21)</f>
        <v>6566.7250000000004</v>
      </c>
      <c r="AY21" s="121"/>
      <c r="AZ21" s="153">
        <f>AZ$9*AZ22</f>
        <v>1539.4050000000004</v>
      </c>
      <c r="BA21" s="153">
        <f t="shared" ref="BA21:BC21" si="108">BA$9*BA22</f>
        <v>1644.8200000000002</v>
      </c>
      <c r="BB21" s="153">
        <f t="shared" si="108"/>
        <v>1618.1890000000001</v>
      </c>
      <c r="BC21" s="153">
        <f t="shared" si="108"/>
        <v>1695.3584500000002</v>
      </c>
      <c r="BD21" s="153">
        <f>SUM(AZ21:BC21)</f>
        <v>6497.7724500000004</v>
      </c>
      <c r="BE21" s="121"/>
      <c r="BF21" s="153">
        <f>BF$9*BF22</f>
        <v>1612.1610875777749</v>
      </c>
      <c r="BG21" s="153">
        <f t="shared" ref="BG21" si="109">BG$9*BG22</f>
        <v>1722.5376987429897</v>
      </c>
      <c r="BH21" s="153">
        <f t="shared" ref="BH21" si="110">BH$9*BH22</f>
        <v>1694.4719328575511</v>
      </c>
      <c r="BI21" s="153">
        <f t="shared" ref="BI21" si="111">BI$9*BI22</f>
        <v>1774.9021101019564</v>
      </c>
      <c r="BJ21" s="153">
        <f>SUM(BF21:BI21)</f>
        <v>6804.0728292802714</v>
      </c>
      <c r="BK21" s="121"/>
      <c r="BL21" s="153">
        <f>BL$9*BL22</f>
        <v>1678.0706048325858</v>
      </c>
      <c r="BM21" s="153">
        <f t="shared" ref="BM21" si="112">BM$9*BM22</f>
        <v>1793.3452339522009</v>
      </c>
      <c r="BN21" s="153">
        <f t="shared" ref="BN21" si="113">BN$9*BN22</f>
        <v>1763.9360972621064</v>
      </c>
      <c r="BO21" s="153">
        <f t="shared" ref="BO21" si="114">BO$9*BO22</f>
        <v>1848.080335988968</v>
      </c>
      <c r="BP21" s="153">
        <f>SUM(BL21:BO21)</f>
        <v>7083.4322720358605</v>
      </c>
      <c r="BQ21" s="121"/>
      <c r="BR21" s="153">
        <f>BR$9*BR22</f>
        <v>1746.7896585217525</v>
      </c>
      <c r="BS21" s="153">
        <f t="shared" ref="BS21" si="115">BS$9*BS22</f>
        <v>1867.1864308102611</v>
      </c>
      <c r="BT21" s="153">
        <f t="shared" ref="BT21" si="116">BT$9*BT22</f>
        <v>1836.368981968167</v>
      </c>
      <c r="BU21" s="153">
        <f t="shared" ref="BU21" si="117">BU$9*BU22</f>
        <v>1924.4105586472697</v>
      </c>
      <c r="BV21" s="153">
        <f>SUM(BR21:BU21)</f>
        <v>7374.75562994745</v>
      </c>
      <c r="BW21" s="121"/>
      <c r="BX21" s="153">
        <f>BX$9*BX22</f>
        <v>1818.4420963415557</v>
      </c>
      <c r="BY21" s="153">
        <f t="shared" ref="BY21" si="118">BY$9*BY22</f>
        <v>1944.1956157011391</v>
      </c>
      <c r="BZ21" s="153">
        <f t="shared" ref="BZ21" si="119">BZ$9*BZ22</f>
        <v>1911.9017288265841</v>
      </c>
      <c r="CA21" s="153">
        <f t="shared" ref="CA21" si="120">CA$9*CA22</f>
        <v>2004.0331537006032</v>
      </c>
      <c r="CB21" s="153">
        <f>SUM(BX21:CA21)</f>
        <v>7678.5725945698823</v>
      </c>
      <c r="CC21" s="121"/>
      <c r="CD21" s="153">
        <f>CD$9*CD22</f>
        <v>1893.157372429423</v>
      </c>
      <c r="CE21" s="153">
        <f t="shared" ref="CE21" si="121">CE$9*CE22</f>
        <v>2024.5132190200363</v>
      </c>
      <c r="CF21" s="153">
        <f t="shared" ref="CF21" si="122">CF$9*CF22</f>
        <v>1990.6714257481883</v>
      </c>
      <c r="CG21" s="153">
        <f t="shared" ref="CG21" si="123">CG$9*CG22</f>
        <v>2087.0949097472135</v>
      </c>
      <c r="CH21" s="153">
        <f>SUM(CD21:CG21)</f>
        <v>7995.4369269448616</v>
      </c>
      <c r="CI21" s="121"/>
      <c r="CJ21" s="153">
        <f>CJ$9*CJ22</f>
        <v>1971.0708065242388</v>
      </c>
      <c r="CK21" s="153">
        <f t="shared" ref="CK21" si="124">CK$9*CK22</f>
        <v>2108.2860582324856</v>
      </c>
      <c r="CL21" s="153">
        <f t="shared" ref="CL21" si="125">CL$9*CL22</f>
        <v>2072.821381870971</v>
      </c>
      <c r="CM21" s="153">
        <f t="shared" ref="CM21" si="126">CM$9*CM22</f>
        <v>2173.749327102983</v>
      </c>
      <c r="CN21" s="153">
        <f>SUM(CJ21:CM21)</f>
        <v>8325.927573730678</v>
      </c>
    </row>
    <row r="22" spans="2:92" ht="18" customHeight="1" x14ac:dyDescent="0.25">
      <c r="B22" s="14" t="s">
        <v>37</v>
      </c>
      <c r="D22" s="67">
        <f>D21/D$9</f>
        <v>0.10802280594583588</v>
      </c>
      <c r="E22" s="67">
        <f t="shared" ref="E22:H22" si="127">E21/E$9</f>
        <v>0.11508251698879181</v>
      </c>
      <c r="F22" s="67">
        <f t="shared" si="127"/>
        <v>0.10987470428458775</v>
      </c>
      <c r="G22" s="67">
        <f t="shared" si="127"/>
        <v>0.10700992555831265</v>
      </c>
      <c r="H22" s="67">
        <f t="shared" si="127"/>
        <v>0.10995996656548326</v>
      </c>
      <c r="J22" s="67">
        <f>J21/J$9</f>
        <v>9.9230111206159113E-2</v>
      </c>
      <c r="K22" s="67">
        <f t="shared" ref="K22" si="128">K21/K$9</f>
        <v>0.10277638997930198</v>
      </c>
      <c r="L22" s="67">
        <f t="shared" ref="L22" si="129">L21/L$9</f>
        <v>9.6150999259807551E-2</v>
      </c>
      <c r="M22" s="67">
        <f t="shared" ref="M22" si="130">M21/M$9</f>
        <v>0.10200808813275694</v>
      </c>
      <c r="N22" s="67">
        <f t="shared" ref="N22" si="131">N21/N$9</f>
        <v>0.10010599027813311</v>
      </c>
      <c r="O22" s="120"/>
      <c r="P22" s="67">
        <f>P21/P$9</f>
        <v>9.7950393583840778E-2</v>
      </c>
      <c r="Q22" s="67">
        <f t="shared" ref="Q22" si="132">Q21/Q$9</f>
        <v>9.0701219512195119E-2</v>
      </c>
      <c r="R22" s="67">
        <f t="shared" ref="R22" si="133">R21/R$9</f>
        <v>9.8056121649161304E-2</v>
      </c>
      <c r="S22" s="67">
        <f t="shared" ref="S22" si="134">S21/S$9</f>
        <v>9.7611077297626289E-2</v>
      </c>
      <c r="T22" s="67">
        <f t="shared" ref="T22" si="135">T21/T$9</f>
        <v>9.5947955390334572E-2</v>
      </c>
      <c r="U22" s="120"/>
      <c r="V22" s="67">
        <f>V21/V$9</f>
        <v>0.10540667606958157</v>
      </c>
      <c r="W22" s="67">
        <f t="shared" ref="W22" si="136">W21/W$9</f>
        <v>0.11793538061418425</v>
      </c>
      <c r="X22" s="67">
        <f t="shared" ref="X22" si="137">X21/X$9</f>
        <v>0.1139560773201093</v>
      </c>
      <c r="Y22" s="67">
        <f t="shared" ref="Y22" si="138">Y21/Y$9</f>
        <v>0.10823319982198487</v>
      </c>
      <c r="Z22" s="67">
        <f t="shared" ref="Z22" si="139">Z21/Z$9</f>
        <v>0.11119095525534158</v>
      </c>
      <c r="AB22" s="67">
        <f>AB21/AB$9</f>
        <v>0.10423151341801969</v>
      </c>
      <c r="AC22" s="67">
        <f t="shared" ref="AC22:AE22" si="140">AC21/AC$9</f>
        <v>0.10582667390798355</v>
      </c>
      <c r="AD22" s="67">
        <f t="shared" si="140"/>
        <v>0.10809066709687827</v>
      </c>
      <c r="AE22" s="67">
        <f t="shared" si="140"/>
        <v>0.10305841426293666</v>
      </c>
      <c r="AF22" s="67">
        <f t="shared" ref="AF22" si="141">AF21/AF$9</f>
        <v>0.10525592984245943</v>
      </c>
      <c r="AH22" s="67">
        <f>AH21/AH$9</f>
        <v>9.9050702774302751E-2</v>
      </c>
      <c r="AI22" s="67">
        <f t="shared" ref="AI22:AL22" si="142">AI21/AI$9</f>
        <v>0.10002105706464519</v>
      </c>
      <c r="AJ22" s="67">
        <f t="shared" si="142"/>
        <v>9.3437374949979987E-2</v>
      </c>
      <c r="AK22" s="67">
        <f t="shared" si="142"/>
        <v>8.9112490209073927E-2</v>
      </c>
      <c r="AL22" s="67">
        <f t="shared" si="142"/>
        <v>9.5091456745250477E-2</v>
      </c>
      <c r="AN22" s="67">
        <f>AN21/AN$9</f>
        <v>9.2233009708737865E-2</v>
      </c>
      <c r="AO22" s="239">
        <f t="shared" ref="AO22:AR22" si="143">AO21/AO$9</f>
        <v>8.8231897447742236E-2</v>
      </c>
      <c r="AP22" s="67">
        <f t="shared" si="143"/>
        <v>9.660916121356336E-2</v>
      </c>
      <c r="AQ22" s="239">
        <f t="shared" si="143"/>
        <v>0.1028705330990041</v>
      </c>
      <c r="AR22" s="239">
        <f t="shared" si="143"/>
        <v>9.5004473605726211E-2</v>
      </c>
      <c r="AT22" s="67">
        <f>AT21/AT$9</f>
        <v>9.9816444078739158E-2</v>
      </c>
      <c r="AU22" s="239">
        <f t="shared" ref="AU22:AV22" si="144">AU21/AU$9</f>
        <v>9.8987356941698121E-2</v>
      </c>
      <c r="AV22" s="264">
        <f t="shared" si="144"/>
        <v>0.10362597789643611</v>
      </c>
      <c r="AW22" s="539">
        <v>0.1</v>
      </c>
      <c r="AX22" s="67">
        <f t="shared" ref="AX22" si="145">AX21/AX$9</f>
        <v>0.10059128769746291</v>
      </c>
      <c r="AZ22" s="454">
        <v>0.1</v>
      </c>
      <c r="BA22" s="454">
        <v>0.1</v>
      </c>
      <c r="BB22" s="454">
        <v>0.1</v>
      </c>
      <c r="BC22" s="454">
        <v>0.1</v>
      </c>
      <c r="BD22" s="67">
        <f t="shared" ref="BD22" si="146">BD21/BD$9</f>
        <v>0.1</v>
      </c>
      <c r="BF22" s="454">
        <v>0.1</v>
      </c>
      <c r="BG22" s="454">
        <v>0.1</v>
      </c>
      <c r="BH22" s="454">
        <v>0.1</v>
      </c>
      <c r="BI22" s="454">
        <v>0.1</v>
      </c>
      <c r="BJ22" s="67">
        <f t="shared" ref="BJ22" si="147">BJ21/BJ$9</f>
        <v>0.1</v>
      </c>
      <c r="BL22" s="454">
        <v>0.1</v>
      </c>
      <c r="BM22" s="454">
        <v>0.1</v>
      </c>
      <c r="BN22" s="454">
        <v>0.1</v>
      </c>
      <c r="BO22" s="454">
        <v>0.1</v>
      </c>
      <c r="BP22" s="67">
        <f t="shared" ref="BP22" si="148">BP21/BP$9</f>
        <v>9.9999999999999992E-2</v>
      </c>
      <c r="BR22" s="454">
        <v>0.1</v>
      </c>
      <c r="BS22" s="454">
        <v>0.1</v>
      </c>
      <c r="BT22" s="454">
        <v>0.1</v>
      </c>
      <c r="BU22" s="454">
        <v>0.1</v>
      </c>
      <c r="BV22" s="67">
        <f t="shared" ref="BV22" si="149">BV21/BV$9</f>
        <v>9.9999999999999978E-2</v>
      </c>
      <c r="BX22" s="454">
        <v>0.1</v>
      </c>
      <c r="BY22" s="454">
        <v>0.1</v>
      </c>
      <c r="BZ22" s="454">
        <v>0.1</v>
      </c>
      <c r="CA22" s="454">
        <v>0.1</v>
      </c>
      <c r="CB22" s="67">
        <f t="shared" ref="CB22" si="150">CB21/CB$9</f>
        <v>9.9999999999999992E-2</v>
      </c>
      <c r="CD22" s="454">
        <v>0.1</v>
      </c>
      <c r="CE22" s="454">
        <v>0.1</v>
      </c>
      <c r="CF22" s="454">
        <v>0.1</v>
      </c>
      <c r="CG22" s="454">
        <v>0.1</v>
      </c>
      <c r="CH22" s="67">
        <f t="shared" ref="CH22" si="151">CH21/CH$9</f>
        <v>0.1</v>
      </c>
      <c r="CJ22" s="454">
        <v>0.1</v>
      </c>
      <c r="CK22" s="454">
        <v>0.1</v>
      </c>
      <c r="CL22" s="454">
        <v>0.1</v>
      </c>
      <c r="CM22" s="454">
        <v>0.1</v>
      </c>
      <c r="CN22" s="67">
        <f t="shared" ref="CN22" si="152">CN21/CN$9</f>
        <v>9.9999999999999992E-2</v>
      </c>
    </row>
    <row r="23" spans="2:92" ht="18" customHeight="1" x14ac:dyDescent="0.25">
      <c r="B23" s="14" t="s">
        <v>195</v>
      </c>
      <c r="J23" s="123">
        <f>J21-D21</f>
        <v>215</v>
      </c>
      <c r="K23" s="123">
        <f t="shared" ref="K23:K24" si="153">K21-E21</f>
        <v>136</v>
      </c>
      <c r="L23" s="123">
        <f t="shared" ref="L23:L24" si="154">L21-F21</f>
        <v>45</v>
      </c>
      <c r="M23" s="123">
        <f t="shared" ref="M23:M24" si="155">M21-G21</f>
        <v>83</v>
      </c>
      <c r="N23" s="123">
        <f t="shared" ref="N23:N24" si="156">N21-H21</f>
        <v>479</v>
      </c>
      <c r="O23" s="120"/>
      <c r="P23" s="123">
        <f>P21-J21</f>
        <v>43</v>
      </c>
      <c r="Q23" s="123">
        <f t="shared" ref="Q23:Q24" si="157">Q21-K21</f>
        <v>-131</v>
      </c>
      <c r="R23" s="123">
        <f t="shared" ref="R23:R24" si="158">R21-L21</f>
        <v>-48</v>
      </c>
      <c r="S23" s="123">
        <f t="shared" ref="S23:S24" si="159">S21-M21</f>
        <v>-180</v>
      </c>
      <c r="T23" s="123">
        <f t="shared" ref="T23:T24" si="160">T21-N21</f>
        <v>-316</v>
      </c>
      <c r="U23" s="120"/>
      <c r="V23" s="123">
        <f>V21-P21</f>
        <v>-198</v>
      </c>
      <c r="W23" s="123">
        <f t="shared" ref="W23:W24" si="161">W21-Q21</f>
        <v>-130</v>
      </c>
      <c r="X23" s="123">
        <f t="shared" ref="X23:X24" si="162">X21-R21</f>
        <v>-125</v>
      </c>
      <c r="Y23" s="123">
        <f t="shared" ref="Y23:Y24" si="163">Y21-S21</f>
        <v>-67</v>
      </c>
      <c r="Z23" s="123">
        <f t="shared" ref="Z23:Z24" si="164">Z21-T21</f>
        <v>-520</v>
      </c>
      <c r="AB23" s="123">
        <f>AB21-V21</f>
        <v>118</v>
      </c>
      <c r="AC23" s="123">
        <f t="shared" ref="AC23:AC24" si="165">AC21-W21</f>
        <v>185</v>
      </c>
      <c r="AD23" s="123">
        <f t="shared" ref="AD23:AD24" si="166">AD21-X21</f>
        <v>214</v>
      </c>
      <c r="AE23" s="123">
        <f t="shared" ref="AE23:AE24" si="167">AE21-Y21</f>
        <v>206</v>
      </c>
      <c r="AF23" s="123">
        <f t="shared" ref="AF23:AF24" si="168">AF21-Z21</f>
        <v>723</v>
      </c>
      <c r="AH23" s="123">
        <f>AH21-AB21</f>
        <v>107</v>
      </c>
      <c r="AI23" s="123">
        <f t="shared" ref="AI23:AI24" si="169">AI21-AC21</f>
        <v>61</v>
      </c>
      <c r="AJ23" s="123">
        <f t="shared" ref="AJ23:AJ24" si="170">AJ21-AD21</f>
        <v>61</v>
      </c>
      <c r="AK23" s="123">
        <f t="shared" ref="AK23:AK24" si="171">AK21-AE21</f>
        <v>57</v>
      </c>
      <c r="AL23" s="123">
        <f t="shared" ref="AL23:AL24" si="172">AL21-AF21</f>
        <v>286</v>
      </c>
      <c r="AN23" s="123">
        <f>AN21-AH21</f>
        <v>117</v>
      </c>
      <c r="AO23" s="240">
        <f t="shared" ref="AO23:AO24" si="173">AO21-AI21</f>
        <v>103</v>
      </c>
      <c r="AP23" s="123">
        <f t="shared" ref="AP23:AP24" si="174">AP21-AJ21</f>
        <v>223</v>
      </c>
      <c r="AQ23" s="240">
        <f t="shared" ref="AQ23:AQ24" si="175">AQ21-AK21</f>
        <v>277</v>
      </c>
      <c r="AR23" s="240">
        <f t="shared" ref="AR23:AR24" si="176">AR21-AL21</f>
        <v>720</v>
      </c>
      <c r="AS23" s="120"/>
      <c r="AT23" s="123">
        <f>AT21-AN21</f>
        <v>114</v>
      </c>
      <c r="AU23" s="240">
        <f t="shared" ref="AU23:AU24" si="177">AU21-AO21</f>
        <v>124</v>
      </c>
      <c r="AV23" s="303">
        <f t="shared" ref="AV23:AV24" si="178">AV21-AP21</f>
        <v>45</v>
      </c>
      <c r="AW23" s="123">
        <f t="shared" ref="AW23:AX24" si="179">AW21-AQ21</f>
        <v>-87.274999999999864</v>
      </c>
      <c r="AX23" s="123">
        <f t="shared" si="179"/>
        <v>195.72500000000036</v>
      </c>
      <c r="AZ23" s="123">
        <f>AZ21-AT21</f>
        <v>-37.594999999999573</v>
      </c>
      <c r="BA23" s="123">
        <f t="shared" ref="BA23:BA24" si="180">BA21-AU21</f>
        <v>-7.1799999999998363</v>
      </c>
      <c r="BB23" s="123">
        <f t="shared" ref="BB23:BB24" si="181">BB21-AV21</f>
        <v>-50.810999999999922</v>
      </c>
      <c r="BC23" s="123">
        <f t="shared" ref="BC23:BD24" si="182">BC21-AW21</f>
        <v>26.633450000000039</v>
      </c>
      <c r="BD23" s="123">
        <f t="shared" si="182"/>
        <v>-68.952549999999974</v>
      </c>
      <c r="BF23" s="123">
        <f>BF21-AZ21</f>
        <v>72.756087577774451</v>
      </c>
      <c r="BG23" s="123">
        <f t="shared" ref="BG23:BG24" si="183">BG21-BA21</f>
        <v>77.717698742989569</v>
      </c>
      <c r="BH23" s="123">
        <f t="shared" ref="BH23:BH24" si="184">BH21-BB21</f>
        <v>76.282932857551032</v>
      </c>
      <c r="BI23" s="123">
        <f t="shared" ref="BI23:BI24" si="185">BI21-BC21</f>
        <v>79.54366010195622</v>
      </c>
      <c r="BJ23" s="123">
        <f t="shared" ref="BJ23:BJ24" si="186">BJ21-BD21</f>
        <v>306.30037928027104</v>
      </c>
      <c r="BL23" s="123">
        <f>BL21-BF21</f>
        <v>65.909517254810908</v>
      </c>
      <c r="BM23" s="123">
        <f t="shared" ref="BM23:BM24" si="187">BM21-BG21</f>
        <v>70.80753520921121</v>
      </c>
      <c r="BN23" s="123">
        <f t="shared" ref="BN23:BN24" si="188">BN21-BH21</f>
        <v>69.464164404555277</v>
      </c>
      <c r="BO23" s="123">
        <f t="shared" ref="BO23:BO24" si="189">BO21-BI21</f>
        <v>73.178225887011649</v>
      </c>
      <c r="BP23" s="123">
        <f t="shared" ref="BP23:BP24" si="190">BP21-BJ21</f>
        <v>279.35944275558904</v>
      </c>
      <c r="BR23" s="123">
        <f>BR21-BL21</f>
        <v>68.719053689166685</v>
      </c>
      <c r="BS23" s="123">
        <f t="shared" ref="BS23:BS24" si="191">BS21-BM21</f>
        <v>73.84119685806013</v>
      </c>
      <c r="BT23" s="123">
        <f t="shared" ref="BT23:BT24" si="192">BT21-BN21</f>
        <v>72.432884706060577</v>
      </c>
      <c r="BU23" s="123">
        <f t="shared" ref="BU23:BU24" si="193">BU21-BO21</f>
        <v>76.330222658301636</v>
      </c>
      <c r="BV23" s="123">
        <f t="shared" ref="BV23:BV24" si="194">BV21-BP21</f>
        <v>291.32335791158948</v>
      </c>
      <c r="BX23" s="123">
        <f>BX21-BR21</f>
        <v>71.652437819803254</v>
      </c>
      <c r="BY23" s="123">
        <f t="shared" ref="BY23:BY24" si="195">BY21-BS21</f>
        <v>77.009184890878032</v>
      </c>
      <c r="BZ23" s="123">
        <f t="shared" ref="BZ23:BZ24" si="196">BZ21-BT21</f>
        <v>75.532746858417113</v>
      </c>
      <c r="CA23" s="123">
        <f t="shared" ref="CA23:CA24" si="197">CA21-BU21</f>
        <v>79.622595053333498</v>
      </c>
      <c r="CB23" s="123">
        <f t="shared" ref="CB23:CB24" si="198">CB21-BV21</f>
        <v>303.81696462243235</v>
      </c>
      <c r="CD23" s="123">
        <f>CD21-BX21</f>
        <v>74.715276087867323</v>
      </c>
      <c r="CE23" s="123">
        <f t="shared" ref="CE23:CE24" si="199">CE21-BY21</f>
        <v>80.317603318897227</v>
      </c>
      <c r="CF23" s="123">
        <f t="shared" ref="CF23:CF24" si="200">CF21-BZ21</f>
        <v>78.769696921604236</v>
      </c>
      <c r="CG23" s="123">
        <f t="shared" ref="CG23:CG24" si="201">CG21-CA21</f>
        <v>83.061756046610299</v>
      </c>
      <c r="CH23" s="123">
        <f t="shared" ref="CH23:CH24" si="202">CH21-CB21</f>
        <v>316.86433237497931</v>
      </c>
      <c r="CJ23" s="123">
        <f>CJ21-CD21</f>
        <v>77.913434094815784</v>
      </c>
      <c r="CK23" s="123">
        <f t="shared" ref="CK23:CK24" si="203">CK21-CE21</f>
        <v>83.772839212449298</v>
      </c>
      <c r="CL23" s="123">
        <f t="shared" ref="CL23:CL24" si="204">CL21-CF21</f>
        <v>82.149956122782669</v>
      </c>
      <c r="CM23" s="123">
        <f t="shared" ref="CM23:CM24" si="205">CM21-CG21</f>
        <v>86.65441735576951</v>
      </c>
      <c r="CN23" s="123">
        <f t="shared" ref="CN23:CN24" si="206">CN21-CH21</f>
        <v>330.49064678581635</v>
      </c>
    </row>
    <row r="24" spans="2:92" ht="18" customHeight="1" x14ac:dyDescent="0.25">
      <c r="B24" s="14" t="s">
        <v>222</v>
      </c>
      <c r="J24" s="67">
        <f>J22-D22</f>
        <v>-8.792694739676768E-3</v>
      </c>
      <c r="K24" s="67">
        <f t="shared" si="153"/>
        <v>-1.2306127009489826E-2</v>
      </c>
      <c r="L24" s="67">
        <f t="shared" si="154"/>
        <v>-1.3723705024780194E-2</v>
      </c>
      <c r="M24" s="67">
        <f t="shared" si="155"/>
        <v>-5.0018374255557108E-3</v>
      </c>
      <c r="N24" s="67">
        <f t="shared" si="156"/>
        <v>-9.853976287350158E-3</v>
      </c>
      <c r="O24" s="120"/>
      <c r="P24" s="67">
        <f>P22-J22</f>
        <v>-1.2797176223183354E-3</v>
      </c>
      <c r="Q24" s="67">
        <f t="shared" si="157"/>
        <v>-1.2075170467106863E-2</v>
      </c>
      <c r="R24" s="67">
        <f t="shared" si="158"/>
        <v>1.9051223893537528E-3</v>
      </c>
      <c r="S24" s="67">
        <f t="shared" si="159"/>
        <v>-4.3970108351306519E-3</v>
      </c>
      <c r="T24" s="67">
        <f t="shared" si="160"/>
        <v>-4.158034887798534E-3</v>
      </c>
      <c r="U24" s="120"/>
      <c r="V24" s="67">
        <f>V22-P22</f>
        <v>7.4562824857407894E-3</v>
      </c>
      <c r="W24" s="67">
        <f t="shared" si="161"/>
        <v>2.7234161101989132E-2</v>
      </c>
      <c r="X24" s="67">
        <f t="shared" si="162"/>
        <v>1.5899955670947999E-2</v>
      </c>
      <c r="Y24" s="67">
        <f t="shared" si="163"/>
        <v>1.0622122524358582E-2</v>
      </c>
      <c r="Z24" s="67">
        <f t="shared" si="164"/>
        <v>1.5242999865007004E-2</v>
      </c>
      <c r="AB24" s="67">
        <f>AB22-V22</f>
        <v>-1.1751626515618813E-3</v>
      </c>
      <c r="AC24" s="67">
        <f t="shared" si="165"/>
        <v>-1.2108706706200706E-2</v>
      </c>
      <c r="AD24" s="67">
        <f t="shared" si="166"/>
        <v>-5.8654102232310323E-3</v>
      </c>
      <c r="AE24" s="67">
        <f t="shared" si="167"/>
        <v>-5.1747855590482117E-3</v>
      </c>
      <c r="AF24" s="67">
        <f t="shared" si="168"/>
        <v>-5.9350254128821417E-3</v>
      </c>
      <c r="AH24" s="67">
        <f>AH22-AB22</f>
        <v>-5.1808106437169349E-3</v>
      </c>
      <c r="AI24" s="67">
        <f t="shared" si="169"/>
        <v>-5.805616843338357E-3</v>
      </c>
      <c r="AJ24" s="67">
        <f t="shared" si="170"/>
        <v>-1.4653292146898284E-2</v>
      </c>
      <c r="AK24" s="67">
        <f t="shared" si="171"/>
        <v>-1.3945924053862732E-2</v>
      </c>
      <c r="AL24" s="67">
        <f t="shared" si="172"/>
        <v>-1.0164473097208956E-2</v>
      </c>
      <c r="AN24" s="67">
        <f>AN22-AH22</f>
        <v>-6.8176930655648865E-3</v>
      </c>
      <c r="AO24" s="239">
        <f t="shared" si="173"/>
        <v>-1.1789159616902953E-2</v>
      </c>
      <c r="AP24" s="67">
        <f t="shared" si="174"/>
        <v>3.1717862635833732E-3</v>
      </c>
      <c r="AQ24" s="239">
        <f t="shared" si="175"/>
        <v>1.3758042889930169E-2</v>
      </c>
      <c r="AR24" s="239">
        <f t="shared" si="176"/>
        <v>-8.6983139524265951E-5</v>
      </c>
      <c r="AS24" s="120"/>
      <c r="AT24" s="67">
        <f>AT22-AN22</f>
        <v>7.5834343700012935E-3</v>
      </c>
      <c r="AU24" s="239">
        <f t="shared" si="177"/>
        <v>1.0755459493955885E-2</v>
      </c>
      <c r="AV24" s="264">
        <f t="shared" si="178"/>
        <v>7.0168166828727535E-3</v>
      </c>
      <c r="AW24" s="67">
        <f t="shared" si="179"/>
        <v>-2.8705330990040911E-3</v>
      </c>
      <c r="AX24" s="67">
        <f t="shared" si="179"/>
        <v>5.5868140917366971E-3</v>
      </c>
      <c r="AZ24" s="67">
        <f>AZ22-AT22</f>
        <v>1.835559212608473E-4</v>
      </c>
      <c r="BA24" s="67">
        <f t="shared" si="180"/>
        <v>1.0126430583018847E-3</v>
      </c>
      <c r="BB24" s="67">
        <f t="shared" si="181"/>
        <v>-3.6259778964361083E-3</v>
      </c>
      <c r="BC24" s="67">
        <f t="shared" si="182"/>
        <v>0</v>
      </c>
      <c r="BD24" s="67">
        <f t="shared" si="182"/>
        <v>-5.9128769746290277E-4</v>
      </c>
      <c r="BF24" s="67">
        <f>BF22-AZ22</f>
        <v>0</v>
      </c>
      <c r="BG24" s="67">
        <f t="shared" si="183"/>
        <v>0</v>
      </c>
      <c r="BH24" s="67">
        <f t="shared" si="184"/>
        <v>0</v>
      </c>
      <c r="BI24" s="67">
        <f t="shared" si="185"/>
        <v>0</v>
      </c>
      <c r="BJ24" s="67">
        <f t="shared" si="186"/>
        <v>0</v>
      </c>
      <c r="BL24" s="67">
        <f>BL22-BF22</f>
        <v>0</v>
      </c>
      <c r="BM24" s="67">
        <f t="shared" si="187"/>
        <v>0</v>
      </c>
      <c r="BN24" s="67">
        <f t="shared" si="188"/>
        <v>0</v>
      </c>
      <c r="BO24" s="67">
        <f t="shared" si="189"/>
        <v>0</v>
      </c>
      <c r="BP24" s="67">
        <f t="shared" si="190"/>
        <v>0</v>
      </c>
      <c r="BR24" s="67">
        <f>BR22-BL22</f>
        <v>0</v>
      </c>
      <c r="BS24" s="67">
        <f t="shared" si="191"/>
        <v>0</v>
      </c>
      <c r="BT24" s="67">
        <f t="shared" si="192"/>
        <v>0</v>
      </c>
      <c r="BU24" s="67">
        <f t="shared" si="193"/>
        <v>0</v>
      </c>
      <c r="BV24" s="67">
        <f t="shared" si="194"/>
        <v>0</v>
      </c>
      <c r="BX24" s="67">
        <f>BX22-BR22</f>
        <v>0</v>
      </c>
      <c r="BY24" s="67">
        <f t="shared" si="195"/>
        <v>0</v>
      </c>
      <c r="BZ24" s="67">
        <f t="shared" si="196"/>
        <v>0</v>
      </c>
      <c r="CA24" s="67">
        <f t="shared" si="197"/>
        <v>0</v>
      </c>
      <c r="CB24" s="67">
        <f t="shared" si="198"/>
        <v>0</v>
      </c>
      <c r="CD24" s="67">
        <f>CD22-BX22</f>
        <v>0</v>
      </c>
      <c r="CE24" s="67">
        <f t="shared" si="199"/>
        <v>0</v>
      </c>
      <c r="CF24" s="67">
        <f t="shared" si="200"/>
        <v>0</v>
      </c>
      <c r="CG24" s="67">
        <f t="shared" si="201"/>
        <v>0</v>
      </c>
      <c r="CH24" s="67">
        <f t="shared" si="202"/>
        <v>0</v>
      </c>
      <c r="CJ24" s="67">
        <f>CJ22-CD22</f>
        <v>0</v>
      </c>
      <c r="CK24" s="67">
        <f t="shared" si="203"/>
        <v>0</v>
      </c>
      <c r="CL24" s="67">
        <f t="shared" si="204"/>
        <v>0</v>
      </c>
      <c r="CM24" s="67">
        <f t="shared" si="205"/>
        <v>0</v>
      </c>
      <c r="CN24" s="67">
        <f t="shared" si="206"/>
        <v>0</v>
      </c>
    </row>
    <row r="25" spans="2:92" ht="18" customHeight="1" x14ac:dyDescent="0.25">
      <c r="B25" s="31" t="s">
        <v>393</v>
      </c>
      <c r="D25" s="121">
        <v>425</v>
      </c>
      <c r="E25" s="121">
        <v>458</v>
      </c>
      <c r="F25" s="121">
        <v>461</v>
      </c>
      <c r="G25" s="153">
        <f>H25-SUM(D25:F25)</f>
        <v>498</v>
      </c>
      <c r="H25" s="121">
        <v>1842</v>
      </c>
      <c r="I25" s="121"/>
      <c r="J25" s="121">
        <v>443</v>
      </c>
      <c r="K25" s="121">
        <v>462</v>
      </c>
      <c r="L25" s="121">
        <v>479</v>
      </c>
      <c r="M25" s="121">
        <v>466</v>
      </c>
      <c r="N25" s="153">
        <f>+SUM(J25:M25)</f>
        <v>1850</v>
      </c>
      <c r="O25" s="121"/>
      <c r="P25" s="121">
        <v>435</v>
      </c>
      <c r="Q25" s="121">
        <v>441</v>
      </c>
      <c r="R25" s="121">
        <v>431</v>
      </c>
      <c r="S25" s="121">
        <v>386</v>
      </c>
      <c r="T25" s="153">
        <f>+SUM(P25:S25)</f>
        <v>1693</v>
      </c>
      <c r="U25" s="121"/>
      <c r="V25" s="121">
        <v>356</v>
      </c>
      <c r="W25" s="121">
        <v>341</v>
      </c>
      <c r="X25" s="121">
        <v>344</v>
      </c>
      <c r="Y25" s="121">
        <v>374</v>
      </c>
      <c r="Z25" s="153">
        <f>+SUM(V25:Y25)</f>
        <v>1415</v>
      </c>
      <c r="AA25" s="121"/>
      <c r="AB25" s="121">
        <v>374</v>
      </c>
      <c r="AC25" s="121">
        <v>446</v>
      </c>
      <c r="AD25" s="121">
        <v>427</v>
      </c>
      <c r="AE25" s="121">
        <v>439</v>
      </c>
      <c r="AF25" s="153">
        <f>+SUM(AB25:AE25)</f>
        <v>1686</v>
      </c>
      <c r="AG25" s="121"/>
      <c r="AH25" s="121">
        <v>457</v>
      </c>
      <c r="AI25" s="121">
        <v>480</v>
      </c>
      <c r="AJ25" s="121">
        <v>476</v>
      </c>
      <c r="AK25" s="121">
        <v>401</v>
      </c>
      <c r="AL25" s="153">
        <f>+SUM(AH25:AK25)</f>
        <v>1814</v>
      </c>
      <c r="AM25" s="121"/>
      <c r="AN25" s="121">
        <v>472</v>
      </c>
      <c r="AO25" s="121">
        <v>528</v>
      </c>
      <c r="AP25" s="121">
        <v>554</v>
      </c>
      <c r="AQ25" s="153">
        <f>AR25-SUM(AN25:AP25)</f>
        <v>554</v>
      </c>
      <c r="AR25" s="121">
        <v>2108</v>
      </c>
      <c r="AS25" s="121"/>
      <c r="AT25" s="121">
        <v>520</v>
      </c>
      <c r="AU25" s="121">
        <v>535</v>
      </c>
      <c r="AV25" s="263">
        <v>533</v>
      </c>
      <c r="AW25" s="153">
        <f>AW$9*AW26</f>
        <v>550.67925000000002</v>
      </c>
      <c r="AX25" s="153">
        <f>SUM(AT25:AW25)</f>
        <v>2138.6792500000001</v>
      </c>
      <c r="AY25" s="121"/>
      <c r="AZ25" s="153">
        <f>AZ$9*AZ26</f>
        <v>503.5928780815243</v>
      </c>
      <c r="BA25" s="153">
        <f t="shared" ref="BA25" si="207">BA$9*BA26</f>
        <v>523.99102391036013</v>
      </c>
      <c r="BB25" s="153">
        <f t="shared" ref="BB25" si="208">BB$9*BB26</f>
        <v>532.2750692867254</v>
      </c>
      <c r="BC25" s="153">
        <f t="shared" ref="BC25" si="209">BC$9*BC26</f>
        <v>556.07757160000006</v>
      </c>
      <c r="BD25" s="153">
        <f>SUM(AZ25:BC25)</f>
        <v>2115.9365428786095</v>
      </c>
      <c r="BE25" s="121"/>
      <c r="BF25" s="153">
        <f>BF$9*BF26</f>
        <v>524.169600817385</v>
      </c>
      <c r="BG25" s="153">
        <f t="shared" ref="BG25" si="210">BG$9*BG26</f>
        <v>545.30450965652278</v>
      </c>
      <c r="BH25" s="153">
        <f t="shared" ref="BH25" si="211">BH$9*BH26</f>
        <v>553.97806670360933</v>
      </c>
      <c r="BI25" s="153">
        <f t="shared" ref="BI25" si="212">BI$9*BI26</f>
        <v>578.61808789323788</v>
      </c>
      <c r="BJ25" s="153">
        <f>SUM(BF25:BI25)</f>
        <v>2202.0702650707549</v>
      </c>
      <c r="BK25" s="121"/>
      <c r="BL25" s="153">
        <f>BL$9*BL26</f>
        <v>542.24293437653955</v>
      </c>
      <c r="BM25" s="153">
        <f t="shared" ref="BM25" si="213">BM$9*BM26</f>
        <v>564.13339145471309</v>
      </c>
      <c r="BN25" s="153">
        <f t="shared" ref="BN25" si="214">BN$9*BN26</f>
        <v>573.16029241971978</v>
      </c>
      <c r="BO25" s="153">
        <f t="shared" ref="BO25" si="215">BO$9*BO26</f>
        <v>598.77802886042571</v>
      </c>
      <c r="BP25" s="153">
        <f>SUM(BL25:BO25)</f>
        <v>2278.3146471113982</v>
      </c>
      <c r="BQ25" s="121"/>
      <c r="BR25" s="153">
        <f>BR$9*BR26</f>
        <v>560.95486966220858</v>
      </c>
      <c r="BS25" s="153">
        <f t="shared" ref="BS25" si="216">BS$9*BS26</f>
        <v>583.62727605515954</v>
      </c>
      <c r="BT25" s="153">
        <f t="shared" ref="BT25" si="217">BT$9*BT26</f>
        <v>593.02335795987187</v>
      </c>
      <c r="BU25" s="153">
        <f t="shared" ref="BU25" si="218">BU$9*BU26</f>
        <v>619.66019988442088</v>
      </c>
      <c r="BV25" s="153">
        <f>SUM(BR25:BU25)</f>
        <v>2357.2657035616608</v>
      </c>
      <c r="BW25" s="121"/>
      <c r="BX25" s="153">
        <f>BX$9*BX26</f>
        <v>580.32807356004105</v>
      </c>
      <c r="BY25" s="153">
        <f t="shared" ref="BY25" si="219">BY$9*BY26</f>
        <v>603.80967929155327</v>
      </c>
      <c r="BZ25" s="153">
        <f t="shared" ref="BZ25" si="220">BZ$9*BZ26</f>
        <v>613.59153869370948</v>
      </c>
      <c r="CA25" s="153">
        <f t="shared" ref="CA25" si="221">CA$9*CA26</f>
        <v>641.29060918419316</v>
      </c>
      <c r="CB25" s="153">
        <f>SUM(BX25:CA25)</f>
        <v>2439.0199007294968</v>
      </c>
      <c r="CC25" s="121"/>
      <c r="CD25" s="153">
        <f>CD$9*CD26</f>
        <v>600.38600017145723</v>
      </c>
      <c r="CE25" s="153">
        <f t="shared" ref="CE25" si="222">CE$9*CE26</f>
        <v>624.70492590391825</v>
      </c>
      <c r="CF25" s="153">
        <f t="shared" ref="CF25" si="223">CF$9*CF26</f>
        <v>634.88995724827032</v>
      </c>
      <c r="CG25" s="153">
        <f t="shared" ref="CG25" si="224">CG$9*CG26</f>
        <v>663.69618129961407</v>
      </c>
      <c r="CH25" s="153">
        <f>SUM(CD25:CG25)</f>
        <v>2523.6770646232599</v>
      </c>
      <c r="CI25" s="121"/>
      <c r="CJ25" s="153">
        <f>CJ$9*CJ26</f>
        <v>621.1529164196578</v>
      </c>
      <c r="CK25" s="153">
        <f t="shared" ref="CK25" si="225">CK$9*CK26</f>
        <v>646.33817527605083</v>
      </c>
      <c r="CL25" s="153">
        <f t="shared" ref="CL25" si="226">CL$9*CL26</f>
        <v>656.94461125682869</v>
      </c>
      <c r="CM25" s="153">
        <f t="shared" ref="CM25" si="227">CM$9*CM26</f>
        <v>686.90478736454293</v>
      </c>
      <c r="CN25" s="153">
        <f>SUM(CJ25:CM25)</f>
        <v>2611.3404903170804</v>
      </c>
    </row>
    <row r="26" spans="2:92" ht="18" customHeight="1" x14ac:dyDescent="0.25">
      <c r="B26" s="14" t="s">
        <v>37</v>
      </c>
      <c r="D26" s="67">
        <f>D25/D$9</f>
        <v>4.3270209733251887E-2</v>
      </c>
      <c r="E26" s="67">
        <f t="shared" ref="E26:H26" si="228">E25/E$9</f>
        <v>4.0420086488394673E-2</v>
      </c>
      <c r="F26" s="67">
        <f t="shared" si="228"/>
        <v>4.0392534828704106E-2</v>
      </c>
      <c r="G26" s="67">
        <f t="shared" si="228"/>
        <v>3.8616625310173694E-2</v>
      </c>
      <c r="H26" s="67">
        <f t="shared" si="228"/>
        <v>4.0517355153754785E-2</v>
      </c>
      <c r="J26" s="67">
        <f>J25/J$9</f>
        <v>3.4450579360759001E-2</v>
      </c>
      <c r="K26" s="67">
        <f t="shared" ref="K26:N26" si="229">K25/K$9</f>
        <v>3.2974091785026048E-2</v>
      </c>
      <c r="L26" s="67">
        <f t="shared" si="229"/>
        <v>3.5455218356772761E-2</v>
      </c>
      <c r="M26" s="67">
        <f t="shared" si="229"/>
        <v>3.2491981592525448E-2</v>
      </c>
      <c r="N26" s="67">
        <f t="shared" si="229"/>
        <v>3.3807243887284823E-2</v>
      </c>
      <c r="O26" s="120"/>
      <c r="P26" s="67">
        <f>P25/P$9</f>
        <v>3.2303579385118075E-2</v>
      </c>
      <c r="Q26" s="67">
        <f t="shared" ref="Q26:T26" si="230">Q25/Q$9</f>
        <v>3.0557095343680708E-2</v>
      </c>
      <c r="R26" s="67">
        <f t="shared" si="230"/>
        <v>3.3782724564978835E-2</v>
      </c>
      <c r="S26" s="67">
        <f t="shared" si="230"/>
        <v>2.9367011564211808E-2</v>
      </c>
      <c r="T26" s="67">
        <f t="shared" si="230"/>
        <v>3.1468401486988845E-2</v>
      </c>
      <c r="U26" s="120"/>
      <c r="V26" s="67">
        <f>V25/V$9</f>
        <v>3.3474377056887633E-2</v>
      </c>
      <c r="W26" s="67">
        <f t="shared" ref="W26:Z26" si="231">W25/W$9</f>
        <v>3.4110233069920975E-2</v>
      </c>
      <c r="X26" s="67">
        <f t="shared" si="231"/>
        <v>3.4814290051614211E-2</v>
      </c>
      <c r="Y26" s="67">
        <f t="shared" si="231"/>
        <v>3.3288829550511795E-2</v>
      </c>
      <c r="Z26" s="67">
        <f t="shared" si="231"/>
        <v>3.3893839225831175E-2</v>
      </c>
      <c r="AB26" s="67">
        <f>AB25/AB$9</f>
        <v>3.1462942710524099E-2</v>
      </c>
      <c r="AC26" s="67">
        <f t="shared" ref="AC26:AF26" si="232">AC25/AC$9</f>
        <v>3.4603149972845061E-2</v>
      </c>
      <c r="AD26" s="67">
        <f t="shared" si="232"/>
        <v>3.4443817052512704E-2</v>
      </c>
      <c r="AE26" s="67">
        <f t="shared" si="232"/>
        <v>3.1816205247137269E-2</v>
      </c>
      <c r="AF26" s="67">
        <f t="shared" si="232"/>
        <v>3.3077632379196011E-2</v>
      </c>
      <c r="AH26" s="67">
        <f>AH25/AH$9</f>
        <v>3.3630142026639193E-2</v>
      </c>
      <c r="AI26" s="67">
        <f t="shared" ref="AI26:AL26" si="233">AI25/AI$9</f>
        <v>3.3691303432301541E-2</v>
      </c>
      <c r="AJ26" s="67">
        <f t="shared" si="233"/>
        <v>3.1746031746031744E-2</v>
      </c>
      <c r="AK26" s="67">
        <f t="shared" si="233"/>
        <v>2.4160992950533228E-2</v>
      </c>
      <c r="AL26" s="67">
        <f t="shared" si="233"/>
        <v>3.0524845608898312E-2</v>
      </c>
      <c r="AN26" s="67">
        <f>AN25/AN$9</f>
        <v>2.9756651115874416E-2</v>
      </c>
      <c r="AO26" s="67">
        <f t="shared" ref="AO26:AR26" si="234">AO25/AO$9</f>
        <v>3.0488509065711974E-2</v>
      </c>
      <c r="AP26" s="67">
        <f t="shared" si="234"/>
        <v>3.2956573468173704E-2</v>
      </c>
      <c r="AQ26" s="67">
        <f t="shared" si="234"/>
        <v>3.245459871118922E-2</v>
      </c>
      <c r="AR26" s="67">
        <f t="shared" si="234"/>
        <v>3.143453623620638E-2</v>
      </c>
      <c r="AT26" s="67">
        <f>AT25/AT$9</f>
        <v>3.2913475536426359E-2</v>
      </c>
      <c r="AU26" s="67">
        <f t="shared" ref="AU26:AV26" si="235">AU25/AU$9</f>
        <v>3.2057043561627419E-2</v>
      </c>
      <c r="AV26" s="264">
        <f t="shared" si="235"/>
        <v>3.309325717124053E-2</v>
      </c>
      <c r="AW26" s="539">
        <v>3.3000000000000002E-2</v>
      </c>
      <c r="AX26" s="67">
        <f t="shared" ref="AX26" si="236">AX25/AX$9</f>
        <v>3.2761003350885595E-2</v>
      </c>
      <c r="AZ26" s="11">
        <f>AT26-0.0002</f>
        <v>3.271347553642636E-2</v>
      </c>
      <c r="BA26" s="11">
        <f t="shared" ref="BA26" si="237">AU26-0.0002</f>
        <v>3.185704356162742E-2</v>
      </c>
      <c r="BB26" s="11">
        <f t="shared" ref="BB26" si="238">AV26-0.0002</f>
        <v>3.2893257171240531E-2</v>
      </c>
      <c r="BC26" s="11">
        <f t="shared" ref="BC26" si="239">AW26-0.0002</f>
        <v>3.2800000000000003E-2</v>
      </c>
      <c r="BD26" s="67">
        <f t="shared" ref="BD26" si="240">BD25/BD$9</f>
        <v>3.2564029583378368E-2</v>
      </c>
      <c r="BF26" s="11">
        <f>AZ26-0.0002</f>
        <v>3.2513475536426362E-2</v>
      </c>
      <c r="BG26" s="11">
        <f t="shared" ref="BG26" si="241">BA26-0.0002</f>
        <v>3.1657043561627421E-2</v>
      </c>
      <c r="BH26" s="11">
        <f t="shared" ref="BH26" si="242">BB26-0.0002</f>
        <v>3.2693257171240532E-2</v>
      </c>
      <c r="BI26" s="11">
        <f t="shared" ref="BI26" si="243">BC26-0.0002</f>
        <v>3.2600000000000004E-2</v>
      </c>
      <c r="BJ26" s="67">
        <f t="shared" ref="BJ26" si="244">BJ25/BJ$9</f>
        <v>3.2364001978263481E-2</v>
      </c>
      <c r="BL26" s="11">
        <f>BF26-0.0002</f>
        <v>3.2313475536426363E-2</v>
      </c>
      <c r="BM26" s="11">
        <f t="shared" ref="BM26" si="245">BG26-0.0002</f>
        <v>3.1457043561627422E-2</v>
      </c>
      <c r="BN26" s="11">
        <f t="shared" ref="BN26" si="246">BH26-0.0002</f>
        <v>3.2493257171240533E-2</v>
      </c>
      <c r="BO26" s="11">
        <f t="shared" ref="BO26" si="247">BI26-0.0002</f>
        <v>3.2400000000000005E-2</v>
      </c>
      <c r="BP26" s="67">
        <f t="shared" ref="BP26" si="248">BP25/BP$9</f>
        <v>3.2163992816106705E-2</v>
      </c>
      <c r="BR26" s="11">
        <f>BL26-0.0002</f>
        <v>3.2113475536426364E-2</v>
      </c>
      <c r="BS26" s="11">
        <f t="shared" ref="BS26" si="249">BM26-0.0002</f>
        <v>3.1257043561627423E-2</v>
      </c>
      <c r="BT26" s="11">
        <f t="shared" ref="BT26" si="250">BN26-0.0002</f>
        <v>3.2293257171240534E-2</v>
      </c>
      <c r="BU26" s="11">
        <f t="shared" ref="BU26" si="251">BO26-0.0002</f>
        <v>3.2200000000000006E-2</v>
      </c>
      <c r="BV26" s="67">
        <f t="shared" ref="BV26" si="252">BV25/BV$9</f>
        <v>3.1963983918182483E-2</v>
      </c>
      <c r="BX26" s="11">
        <f>BR26-0.0002</f>
        <v>3.1913475536426365E-2</v>
      </c>
      <c r="BY26" s="11">
        <f t="shared" ref="BY26" si="253">BS26-0.0002</f>
        <v>3.1057043561627425E-2</v>
      </c>
      <c r="BZ26" s="11">
        <f t="shared" ref="BZ26" si="254">BT26-0.0002</f>
        <v>3.2093257171240536E-2</v>
      </c>
      <c r="CA26" s="11">
        <f t="shared" ref="CA26" si="255">BU26-0.0002</f>
        <v>3.2000000000000008E-2</v>
      </c>
      <c r="CB26" s="67">
        <f t="shared" ref="CB26" si="256">CB25/CB$9</f>
        <v>3.1763975279133494E-2</v>
      </c>
      <c r="CD26" s="11">
        <f>BX26-0.0002</f>
        <v>3.1713475536426367E-2</v>
      </c>
      <c r="CE26" s="11">
        <f t="shared" ref="CE26" si="257">BY26-0.0002</f>
        <v>3.0857043561627426E-2</v>
      </c>
      <c r="CF26" s="11">
        <f t="shared" ref="CF26" si="258">BZ26-0.0002</f>
        <v>3.1893257171240537E-2</v>
      </c>
      <c r="CG26" s="11">
        <f t="shared" ref="CG26" si="259">CA26-0.0002</f>
        <v>3.1800000000000009E-2</v>
      </c>
      <c r="CH26" s="67">
        <f t="shared" ref="CH26" si="260">CH25/CH$9</f>
        <v>3.1563966893646461E-2</v>
      </c>
      <c r="CJ26" s="11">
        <f>CD26-0.0002</f>
        <v>3.1513475536426368E-2</v>
      </c>
      <c r="CK26" s="11">
        <f t="shared" ref="CK26" si="261">CE26-0.0002</f>
        <v>3.0657043561627427E-2</v>
      </c>
      <c r="CL26" s="11">
        <f t="shared" ref="CL26" si="262">CF26-0.0002</f>
        <v>3.1693257171240538E-2</v>
      </c>
      <c r="CM26" s="11">
        <f t="shared" ref="CM26" si="263">CG26-0.0002</f>
        <v>3.160000000000001E-2</v>
      </c>
      <c r="CN26" s="67">
        <f t="shared" ref="CN26" si="264">CN25/CN$9</f>
        <v>3.1363958756453508E-2</v>
      </c>
    </row>
    <row r="27" spans="2:92" ht="18" customHeight="1" x14ac:dyDescent="0.25">
      <c r="B27" s="14" t="s">
        <v>195</v>
      </c>
      <c r="J27" s="123">
        <f>J25-D25</f>
        <v>18</v>
      </c>
      <c r="K27" s="123">
        <f t="shared" ref="K27:K28" si="265">K25-E25</f>
        <v>4</v>
      </c>
      <c r="L27" s="123">
        <f t="shared" ref="L27:L28" si="266">L25-F25</f>
        <v>18</v>
      </c>
      <c r="M27" s="123">
        <f t="shared" ref="M27:M28" si="267">M25-G25</f>
        <v>-32</v>
      </c>
      <c r="N27" s="123">
        <f t="shared" ref="N27:N28" si="268">N25-H25</f>
        <v>8</v>
      </c>
      <c r="O27" s="120"/>
      <c r="P27" s="123">
        <f>P25-J25</f>
        <v>-8</v>
      </c>
      <c r="Q27" s="123">
        <f t="shared" ref="Q27:Q28" si="269">Q25-K25</f>
        <v>-21</v>
      </c>
      <c r="R27" s="123">
        <f t="shared" ref="R27:R28" si="270">R25-L25</f>
        <v>-48</v>
      </c>
      <c r="S27" s="123">
        <f t="shared" ref="S27:S28" si="271">S25-M25</f>
        <v>-80</v>
      </c>
      <c r="T27" s="123">
        <f t="shared" ref="T27:T28" si="272">T25-N25</f>
        <v>-157</v>
      </c>
      <c r="U27" s="120"/>
      <c r="V27" s="123">
        <f>V25-P25</f>
        <v>-79</v>
      </c>
      <c r="W27" s="123">
        <f t="shared" ref="W27:W28" si="273">W25-Q25</f>
        <v>-100</v>
      </c>
      <c r="X27" s="123">
        <f t="shared" ref="X27:X28" si="274">X25-R25</f>
        <v>-87</v>
      </c>
      <c r="Y27" s="123">
        <f t="shared" ref="Y27:Y28" si="275">Y25-S25</f>
        <v>-12</v>
      </c>
      <c r="Z27" s="123">
        <f t="shared" ref="Z27:Z28" si="276">Z25-T25</f>
        <v>-278</v>
      </c>
      <c r="AB27" s="123">
        <f>AB25-V25</f>
        <v>18</v>
      </c>
      <c r="AC27" s="123">
        <f t="shared" ref="AC27:AC28" si="277">AC25-W25</f>
        <v>105</v>
      </c>
      <c r="AD27" s="123">
        <f t="shared" ref="AD27:AD28" si="278">AD25-X25</f>
        <v>83</v>
      </c>
      <c r="AE27" s="123">
        <f t="shared" ref="AE27:AE28" si="279">AE25-Y25</f>
        <v>65</v>
      </c>
      <c r="AF27" s="123">
        <f t="shared" ref="AF27:AF28" si="280">AF25-Z25</f>
        <v>271</v>
      </c>
      <c r="AH27" s="123">
        <f>AH25-AB25</f>
        <v>83</v>
      </c>
      <c r="AI27" s="123">
        <f t="shared" ref="AI27:AI28" si="281">AI25-AC25</f>
        <v>34</v>
      </c>
      <c r="AJ27" s="123">
        <f t="shared" ref="AJ27:AJ28" si="282">AJ25-AD25</f>
        <v>49</v>
      </c>
      <c r="AK27" s="123">
        <f t="shared" ref="AK27:AK28" si="283">AK25-AE25</f>
        <v>-38</v>
      </c>
      <c r="AL27" s="123">
        <f t="shared" ref="AL27:AL28" si="284">AL25-AF25</f>
        <v>128</v>
      </c>
      <c r="AN27" s="123">
        <f>AN25-AH25</f>
        <v>15</v>
      </c>
      <c r="AO27" s="240">
        <f t="shared" ref="AO27:AO28" si="285">AO25-AI25</f>
        <v>48</v>
      </c>
      <c r="AP27" s="123">
        <f t="shared" ref="AP27:AP28" si="286">AP25-AJ25</f>
        <v>78</v>
      </c>
      <c r="AQ27" s="240">
        <f t="shared" ref="AQ27:AQ28" si="287">AQ25-AK25</f>
        <v>153</v>
      </c>
      <c r="AR27" s="240">
        <f t="shared" ref="AR27:AR28" si="288">AR25-AL25</f>
        <v>294</v>
      </c>
      <c r="AS27" s="120"/>
      <c r="AT27" s="123">
        <f>AT25-AN25</f>
        <v>48</v>
      </c>
      <c r="AU27" s="240">
        <f t="shared" ref="AU27:AU28" si="289">AU25-AO25</f>
        <v>7</v>
      </c>
      <c r="AV27" s="303">
        <f t="shared" ref="AV27:AV28" si="290">AV25-AP25</f>
        <v>-21</v>
      </c>
      <c r="AW27" s="123">
        <f t="shared" ref="AW27:AX28" si="291">AW25-AQ25</f>
        <v>-3.3207499999999754</v>
      </c>
      <c r="AX27" s="123">
        <f t="shared" si="291"/>
        <v>30.679250000000138</v>
      </c>
      <c r="AZ27" s="123">
        <f>AZ25-AT25</f>
        <v>-16.407121918475696</v>
      </c>
      <c r="BA27" s="123">
        <f t="shared" ref="BA27:BA28" si="292">BA25-AU25</f>
        <v>-11.008976089639873</v>
      </c>
      <c r="BB27" s="123">
        <f t="shared" ref="BB27:BB28" si="293">BB25-AV25</f>
        <v>-0.72493071327460257</v>
      </c>
      <c r="BC27" s="123">
        <f t="shared" ref="BC27:BD28" si="294">BC25-AW25</f>
        <v>5.3983216000000311</v>
      </c>
      <c r="BD27" s="123">
        <f t="shared" si="294"/>
        <v>-22.742707121390595</v>
      </c>
      <c r="BF27" s="123">
        <f>BF25-AZ25</f>
        <v>20.576722735860699</v>
      </c>
      <c r="BG27" s="123">
        <f t="shared" ref="BG27:BG28" si="295">BG25-BA25</f>
        <v>21.313485746162655</v>
      </c>
      <c r="BH27" s="123">
        <f t="shared" ref="BH27:BH28" si="296">BH25-BB25</f>
        <v>21.702997416883932</v>
      </c>
      <c r="BI27" s="123">
        <f t="shared" ref="BI27:BI28" si="297">BI25-BC25</f>
        <v>22.540516293237829</v>
      </c>
      <c r="BJ27" s="123">
        <f t="shared" ref="BJ27:BJ28" si="298">BJ25-BD25</f>
        <v>86.133722192145342</v>
      </c>
      <c r="BL27" s="123">
        <f>BL25-BF25</f>
        <v>18.073333559154548</v>
      </c>
      <c r="BM27" s="123">
        <f t="shared" ref="BM27:BM28" si="299">BM25-BG25</f>
        <v>18.828881798190309</v>
      </c>
      <c r="BN27" s="123">
        <f t="shared" ref="BN27:BN28" si="300">BN25-BH25</f>
        <v>19.182225716110452</v>
      </c>
      <c r="BO27" s="123">
        <f t="shared" ref="BO27:BO28" si="301">BO25-BI25</f>
        <v>20.159940967187822</v>
      </c>
      <c r="BP27" s="123">
        <f t="shared" ref="BP27:BP28" si="302">BP25-BJ25</f>
        <v>76.244382040643359</v>
      </c>
      <c r="BR27" s="123">
        <f>BR25-BL25</f>
        <v>18.711935285669028</v>
      </c>
      <c r="BS27" s="123">
        <f t="shared" ref="BS27:BS28" si="303">BS25-BM25</f>
        <v>19.493884600446449</v>
      </c>
      <c r="BT27" s="123">
        <f t="shared" ref="BT27:BT28" si="304">BT25-BN25</f>
        <v>19.863065540152093</v>
      </c>
      <c r="BU27" s="123">
        <f t="shared" ref="BU27:BU28" si="305">BU25-BO25</f>
        <v>20.88217102399517</v>
      </c>
      <c r="BV27" s="123">
        <f t="shared" ref="BV27:BV28" si="306">BV25-BP25</f>
        <v>78.951056450262513</v>
      </c>
      <c r="BX27" s="123">
        <f>BX25-BR25</f>
        <v>19.373203897832468</v>
      </c>
      <c r="BY27" s="123">
        <f t="shared" ref="BY27:BY28" si="307">BY25-BS25</f>
        <v>20.182403236393725</v>
      </c>
      <c r="BZ27" s="123">
        <f t="shared" ref="BZ27:BZ28" si="308">BZ25-BT25</f>
        <v>20.568180733837607</v>
      </c>
      <c r="CA27" s="123">
        <f t="shared" ref="CA27:CA28" si="309">CA25-BU25</f>
        <v>21.630409299772282</v>
      </c>
      <c r="CB27" s="123">
        <f t="shared" ref="CB27:CB28" si="310">CB25-BV25</f>
        <v>81.754197167836082</v>
      </c>
      <c r="CD27" s="123">
        <f>CD25-BX25</f>
        <v>20.057926611416178</v>
      </c>
      <c r="CE27" s="123">
        <f t="shared" ref="CE27:CE28" si="311">CE25-BY25</f>
        <v>20.895246612364986</v>
      </c>
      <c r="CF27" s="123">
        <f t="shared" ref="CF27:CF28" si="312">CF25-BZ25</f>
        <v>21.29841855456084</v>
      </c>
      <c r="CG27" s="123">
        <f t="shared" ref="CG27:CG28" si="313">CG25-CA25</f>
        <v>22.40557211542091</v>
      </c>
      <c r="CH27" s="123">
        <f t="shared" ref="CH27:CH28" si="314">CH25-CB25</f>
        <v>84.657163893763027</v>
      </c>
      <c r="CJ27" s="123">
        <f>CJ25-CD25</f>
        <v>20.766916248200573</v>
      </c>
      <c r="CK27" s="123">
        <f t="shared" ref="CK27:CK28" si="315">CK25-CE25</f>
        <v>21.633249372132582</v>
      </c>
      <c r="CL27" s="123">
        <f t="shared" ref="CL27:CL28" si="316">CL25-CF25</f>
        <v>22.054654008558373</v>
      </c>
      <c r="CM27" s="123">
        <f t="shared" ref="CM27:CM28" si="317">CM25-CG25</f>
        <v>23.208606064928858</v>
      </c>
      <c r="CN27" s="123">
        <f t="shared" ref="CN27:CN28" si="318">CN25-CH25</f>
        <v>87.6634256938205</v>
      </c>
    </row>
    <row r="28" spans="2:92" ht="18" customHeight="1" x14ac:dyDescent="0.25">
      <c r="B28" s="14" t="s">
        <v>222</v>
      </c>
      <c r="J28" s="67">
        <f>J26-D26</f>
        <v>-8.8196303724928857E-3</v>
      </c>
      <c r="K28" s="67">
        <f t="shared" si="265"/>
        <v>-7.4459947033686247E-3</v>
      </c>
      <c r="L28" s="67">
        <f t="shared" si="266"/>
        <v>-4.9373164719313453E-3</v>
      </c>
      <c r="M28" s="67">
        <f t="shared" si="267"/>
        <v>-6.1246437176482454E-3</v>
      </c>
      <c r="N28" s="67">
        <f t="shared" si="268"/>
        <v>-6.7101112664699619E-3</v>
      </c>
      <c r="O28" s="120"/>
      <c r="P28" s="67">
        <f>P26-J26</f>
        <v>-2.1469999756409258E-3</v>
      </c>
      <c r="Q28" s="67">
        <f t="shared" si="269"/>
        <v>-2.4169964413453399E-3</v>
      </c>
      <c r="R28" s="67">
        <f t="shared" si="270"/>
        <v>-1.6724937917939262E-3</v>
      </c>
      <c r="S28" s="67">
        <f t="shared" si="271"/>
        <v>-3.1249700283136408E-3</v>
      </c>
      <c r="T28" s="67">
        <f t="shared" si="272"/>
        <v>-2.3388424002959776E-3</v>
      </c>
      <c r="U28" s="120"/>
      <c r="V28" s="67">
        <f>V26-P26</f>
        <v>1.1707976717695578E-3</v>
      </c>
      <c r="W28" s="67">
        <f t="shared" si="273"/>
        <v>3.5531377262402672E-3</v>
      </c>
      <c r="X28" s="67">
        <f t="shared" si="274"/>
        <v>1.031565486635376E-3</v>
      </c>
      <c r="Y28" s="67">
        <f t="shared" si="275"/>
        <v>3.9218179862999872E-3</v>
      </c>
      <c r="Z28" s="67">
        <f t="shared" si="276"/>
        <v>2.4254377388423301E-3</v>
      </c>
      <c r="AB28" s="67">
        <f>AB26-V26</f>
        <v>-2.0114343463635345E-3</v>
      </c>
      <c r="AC28" s="67">
        <f t="shared" si="277"/>
        <v>4.9291690292408569E-4</v>
      </c>
      <c r="AD28" s="67">
        <f t="shared" si="278"/>
        <v>-3.7047299910150655E-4</v>
      </c>
      <c r="AE28" s="67">
        <f t="shared" si="279"/>
        <v>-1.4726243033745257E-3</v>
      </c>
      <c r="AF28" s="67">
        <f t="shared" si="280"/>
        <v>-8.1620684663516463E-4</v>
      </c>
      <c r="AH28" s="67">
        <f>AH26-AB26</f>
        <v>2.167199316115094E-3</v>
      </c>
      <c r="AI28" s="67">
        <f t="shared" si="281"/>
        <v>-9.1184654054352055E-4</v>
      </c>
      <c r="AJ28" s="67">
        <f t="shared" si="282"/>
        <v>-2.6977853064809598E-3</v>
      </c>
      <c r="AK28" s="67">
        <f t="shared" si="283"/>
        <v>-7.6552122966040415E-3</v>
      </c>
      <c r="AL28" s="67">
        <f t="shared" si="284"/>
        <v>-2.5527867702976985E-3</v>
      </c>
      <c r="AN28" s="67">
        <f>AN26-AH26</f>
        <v>-3.8734909107647764E-3</v>
      </c>
      <c r="AO28" s="239">
        <f t="shared" si="285"/>
        <v>-3.2027943665895661E-3</v>
      </c>
      <c r="AP28" s="67">
        <f t="shared" si="286"/>
        <v>1.2105417221419598E-3</v>
      </c>
      <c r="AQ28" s="239">
        <f t="shared" si="287"/>
        <v>8.2936057606559921E-3</v>
      </c>
      <c r="AR28" s="239">
        <f t="shared" si="288"/>
        <v>9.096906273080678E-4</v>
      </c>
      <c r="AS28" s="120"/>
      <c r="AT28" s="67">
        <f>AT26-AN26</f>
        <v>3.156824420551943E-3</v>
      </c>
      <c r="AU28" s="239">
        <f t="shared" si="289"/>
        <v>1.568534495915444E-3</v>
      </c>
      <c r="AV28" s="264">
        <f t="shared" si="290"/>
        <v>1.3668370306682553E-4</v>
      </c>
      <c r="AW28" s="67">
        <f t="shared" si="291"/>
        <v>5.4540128881078176E-4</v>
      </c>
      <c r="AX28" s="67">
        <f t="shared" si="291"/>
        <v>1.3264671146792154E-3</v>
      </c>
      <c r="AZ28" s="67">
        <f>AZ26-AT26</f>
        <v>-1.9999999999999879E-4</v>
      </c>
      <c r="BA28" s="67">
        <f t="shared" si="292"/>
        <v>-1.9999999999999879E-4</v>
      </c>
      <c r="BB28" s="67">
        <f t="shared" si="293"/>
        <v>-1.9999999999999879E-4</v>
      </c>
      <c r="BC28" s="67">
        <f t="shared" si="294"/>
        <v>-1.9999999999999879E-4</v>
      </c>
      <c r="BD28" s="67">
        <f t="shared" si="294"/>
        <v>-1.969737675072275E-4</v>
      </c>
      <c r="BF28" s="67">
        <f>BF26-AZ26</f>
        <v>-1.9999999999999879E-4</v>
      </c>
      <c r="BG28" s="67">
        <f t="shared" si="295"/>
        <v>-1.9999999999999879E-4</v>
      </c>
      <c r="BH28" s="67">
        <f t="shared" si="296"/>
        <v>-1.9999999999999879E-4</v>
      </c>
      <c r="BI28" s="67">
        <f t="shared" si="297"/>
        <v>-1.9999999999999879E-4</v>
      </c>
      <c r="BJ28" s="67">
        <f t="shared" si="298"/>
        <v>-2.0002760511488721E-4</v>
      </c>
      <c r="BL28" s="67">
        <f>BL26-BF26</f>
        <v>-1.9999999999999879E-4</v>
      </c>
      <c r="BM28" s="67">
        <f t="shared" si="299"/>
        <v>-1.9999999999999879E-4</v>
      </c>
      <c r="BN28" s="67">
        <f t="shared" si="300"/>
        <v>-1.9999999999999879E-4</v>
      </c>
      <c r="BO28" s="67">
        <f t="shared" si="301"/>
        <v>-1.9999999999999879E-4</v>
      </c>
      <c r="BP28" s="67">
        <f t="shared" si="302"/>
        <v>-2.0000916215677511E-4</v>
      </c>
      <c r="BR28" s="67">
        <f>BR26-BL26</f>
        <v>-1.9999999999999879E-4</v>
      </c>
      <c r="BS28" s="67">
        <f t="shared" si="303"/>
        <v>-1.9999999999999879E-4</v>
      </c>
      <c r="BT28" s="67">
        <f t="shared" si="304"/>
        <v>-1.9999999999999879E-4</v>
      </c>
      <c r="BU28" s="67">
        <f t="shared" si="305"/>
        <v>-1.9999999999999879E-4</v>
      </c>
      <c r="BV28" s="67">
        <f t="shared" si="306"/>
        <v>-2.0000889792422261E-4</v>
      </c>
      <c r="BX28" s="67">
        <f>BX26-BR26</f>
        <v>-1.9999999999999879E-4</v>
      </c>
      <c r="BY28" s="67">
        <f t="shared" si="307"/>
        <v>-1.9999999999999879E-4</v>
      </c>
      <c r="BZ28" s="67">
        <f t="shared" si="308"/>
        <v>-1.9999999999999879E-4</v>
      </c>
      <c r="CA28" s="67">
        <f t="shared" si="309"/>
        <v>-1.9999999999999879E-4</v>
      </c>
      <c r="CB28" s="67">
        <f t="shared" si="310"/>
        <v>-2.0000863904898886E-4</v>
      </c>
      <c r="CD28" s="67">
        <f>CD26-BX26</f>
        <v>-1.9999999999999879E-4</v>
      </c>
      <c r="CE28" s="67">
        <f t="shared" si="311"/>
        <v>-1.9999999999999879E-4</v>
      </c>
      <c r="CF28" s="67">
        <f t="shared" si="312"/>
        <v>-1.9999999999999879E-4</v>
      </c>
      <c r="CG28" s="67">
        <f t="shared" si="313"/>
        <v>-1.9999999999999879E-4</v>
      </c>
      <c r="CH28" s="67">
        <f t="shared" si="314"/>
        <v>-2.000083854870327E-4</v>
      </c>
      <c r="CJ28" s="67">
        <f>CJ26-CD26</f>
        <v>-1.9999999999999879E-4</v>
      </c>
      <c r="CK28" s="67">
        <f t="shared" si="315"/>
        <v>-1.9999999999999879E-4</v>
      </c>
      <c r="CL28" s="67">
        <f t="shared" si="316"/>
        <v>-1.9999999999999879E-4</v>
      </c>
      <c r="CM28" s="67">
        <f t="shared" si="317"/>
        <v>-1.9999999999999879E-4</v>
      </c>
      <c r="CN28" s="67">
        <f t="shared" si="318"/>
        <v>-2.0000813719295296E-4</v>
      </c>
    </row>
    <row r="29" spans="2:92" ht="18" customHeight="1" x14ac:dyDescent="0.25">
      <c r="B29" s="31" t="s">
        <v>394</v>
      </c>
      <c r="D29" s="121">
        <v>159</v>
      </c>
      <c r="E29" s="121">
        <v>162</v>
      </c>
      <c r="F29" s="121">
        <v>163</v>
      </c>
      <c r="G29" s="153">
        <f>H29-SUM(D29:F29)</f>
        <v>162</v>
      </c>
      <c r="H29" s="121">
        <v>646</v>
      </c>
      <c r="I29" s="121"/>
      <c r="J29" s="121">
        <v>166</v>
      </c>
      <c r="K29" s="121">
        <v>182</v>
      </c>
      <c r="L29" s="121">
        <v>185</v>
      </c>
      <c r="M29" s="153">
        <f>N29-SUM(J29:L29)</f>
        <v>189</v>
      </c>
      <c r="N29" s="121">
        <v>722</v>
      </c>
      <c r="O29" s="121"/>
      <c r="P29" s="121">
        <v>190</v>
      </c>
      <c r="Q29" s="121">
        <v>192</v>
      </c>
      <c r="R29" s="121">
        <v>189</v>
      </c>
      <c r="S29" s="153">
        <f>T29-SUM(P29:R29)</f>
        <v>183</v>
      </c>
      <c r="T29" s="121">
        <v>754</v>
      </c>
      <c r="U29" s="121"/>
      <c r="V29" s="121">
        <v>175</v>
      </c>
      <c r="W29" s="121">
        <v>149</v>
      </c>
      <c r="X29" s="121">
        <v>137</v>
      </c>
      <c r="Y29" s="153">
        <f>Z29-SUM(V29:X29)</f>
        <v>128</v>
      </c>
      <c r="Z29" s="121">
        <v>589</v>
      </c>
      <c r="AA29" s="121"/>
      <c r="AB29" s="121">
        <v>125</v>
      </c>
      <c r="AC29" s="121">
        <v>116</v>
      </c>
      <c r="AD29" s="121">
        <v>111</v>
      </c>
      <c r="AE29" s="121">
        <v>103</v>
      </c>
      <c r="AF29" s="153">
        <f>SUM(AB29:AE29)</f>
        <v>455</v>
      </c>
      <c r="AG29" s="121"/>
      <c r="AH29" s="121">
        <v>106</v>
      </c>
      <c r="AI29" s="121">
        <v>120</v>
      </c>
      <c r="AJ29" s="121">
        <v>151</v>
      </c>
      <c r="AK29" s="121">
        <v>188</v>
      </c>
      <c r="AL29" s="153">
        <f>SUM(AH29:AK29)</f>
        <v>565</v>
      </c>
      <c r="AM29" s="121"/>
      <c r="AN29" s="121">
        <v>217</v>
      </c>
      <c r="AO29" s="121">
        <v>245</v>
      </c>
      <c r="AP29" s="121">
        <v>280</v>
      </c>
      <c r="AQ29" s="153">
        <f>AR29-SUM(AN29:AP29)</f>
        <v>288</v>
      </c>
      <c r="AR29" s="121">
        <v>1030</v>
      </c>
      <c r="AS29" s="121"/>
      <c r="AT29" s="121">
        <v>298</v>
      </c>
      <c r="AU29" s="121">
        <v>314</v>
      </c>
      <c r="AV29" s="263">
        <v>336</v>
      </c>
      <c r="AW29" s="153">
        <f>AW$9*AW30</f>
        <v>350.43225000000001</v>
      </c>
      <c r="AX29" s="153">
        <f>SUM(AT29:AW29)</f>
        <v>1298.4322500000001</v>
      </c>
      <c r="AY29" s="121"/>
      <c r="AZ29" s="153">
        <f>AZ$9*AZ30</f>
        <v>290.36185201595043</v>
      </c>
      <c r="BA29" s="153">
        <f t="shared" ref="BA29" si="319">BA$9*BA30</f>
        <v>309.46939900533289</v>
      </c>
      <c r="BB29" s="153">
        <f t="shared" ref="BB29" si="320">BB$9*BB30</f>
        <v>337.58320129144414</v>
      </c>
      <c r="BC29" s="153">
        <f t="shared" ref="BC29" si="321">BC$9*BC30</f>
        <v>356.02527450000002</v>
      </c>
      <c r="BD29" s="153">
        <f>SUM(AZ29:BC29)</f>
        <v>1293.4397268127275</v>
      </c>
      <c r="BE29" s="121"/>
      <c r="BF29" s="153">
        <f>BF$9*BF30</f>
        <v>304.08507126917965</v>
      </c>
      <c r="BG29" s="153">
        <f t="shared" ref="BG29" si="322">BG$9*BG30</f>
        <v>324.0918194051763</v>
      </c>
      <c r="BH29" s="153">
        <f t="shared" ref="BH29" si="323">BH$9*BH30</f>
        <v>353.49718703597233</v>
      </c>
      <c r="BI29" s="153">
        <f t="shared" ref="BI29" si="324">BI$9*BI30</f>
        <v>372.72944312141084</v>
      </c>
      <c r="BJ29" s="153">
        <f>SUM(BF29:BI29)</f>
        <v>1354.4035208317391</v>
      </c>
      <c r="BK29" s="121"/>
      <c r="BL29" s="153">
        <f>BL$9*BL30</f>
        <v>316.51689362624887</v>
      </c>
      <c r="BM29" s="153">
        <f t="shared" ref="BM29" si="325">BM$9*BM30</f>
        <v>337.41410717298288</v>
      </c>
      <c r="BN29" s="153">
        <f t="shared" ref="BN29" si="326">BN$9*BN30</f>
        <v>367.98865558181279</v>
      </c>
      <c r="BO29" s="153">
        <f t="shared" ref="BO29" si="327">BO$9*BO30</f>
        <v>388.0968705576833</v>
      </c>
      <c r="BP29" s="153">
        <f>SUM(BL29:BO29)</f>
        <v>1410.0165269387278</v>
      </c>
      <c r="BQ29" s="121"/>
      <c r="BR29" s="153">
        <f>BR$9*BR30</f>
        <v>329.47864943318075</v>
      </c>
      <c r="BS29" s="153">
        <f t="shared" ref="BS29" si="328">BS$9*BS30</f>
        <v>351.30717195423449</v>
      </c>
      <c r="BT29" s="153">
        <f t="shared" ref="BT29" si="329">BT$9*BT30</f>
        <v>383.09945234155225</v>
      </c>
      <c r="BU29" s="153">
        <f t="shared" ref="BU29" si="330">BU$9*BU30</f>
        <v>404.12621731592662</v>
      </c>
      <c r="BV29" s="153">
        <f>SUM(BR29:BU29)</f>
        <v>1468.0114910448942</v>
      </c>
      <c r="BW29" s="121"/>
      <c r="BX29" s="153">
        <f>BX$9*BX30</f>
        <v>342.99369878459623</v>
      </c>
      <c r="BY29" s="153">
        <f t="shared" ref="BY29" si="331">BY$9*BY30</f>
        <v>365.79628697355002</v>
      </c>
      <c r="BZ29" s="153">
        <f t="shared" ref="BZ29" si="332">BZ$9*BZ30</f>
        <v>398.85693585355284</v>
      </c>
      <c r="CA29" s="153">
        <f t="shared" ref="CA29" si="333">CA$9*CA30</f>
        <v>420.84696227712664</v>
      </c>
      <c r="CB29" s="153">
        <f>SUM(BX29:CA29)</f>
        <v>1528.4938838888256</v>
      </c>
      <c r="CC29" s="121"/>
      <c r="CD29" s="153">
        <f>CD$9*CD30</f>
        <v>357.08645925942659</v>
      </c>
      <c r="CE29" s="153">
        <f t="shared" ref="CE29" si="334">CE$9*CE30</f>
        <v>380.90787391233226</v>
      </c>
      <c r="CF29" s="153">
        <f t="shared" ref="CF29" si="335">CF$9*CF30</f>
        <v>415.28970511076074</v>
      </c>
      <c r="CG29" s="153">
        <f t="shared" ref="CG29" si="336">CG$9*CG30</f>
        <v>438.28993104691483</v>
      </c>
      <c r="CH29" s="153">
        <f>SUM(CD29:CG29)</f>
        <v>1591.5739693294345</v>
      </c>
      <c r="CI29" s="121"/>
      <c r="CJ29" s="153">
        <f>CJ$9*CJ30</f>
        <v>371.78245480360982</v>
      </c>
      <c r="CK29" s="153">
        <f t="shared" ref="CK29" si="337">CK$9*CK30</f>
        <v>396.66955616573819</v>
      </c>
      <c r="CL29" s="153">
        <f t="shared" ref="CL29" si="338">CL$9*CL30</f>
        <v>432.42765696550737</v>
      </c>
      <c r="CM29" s="153">
        <f t="shared" ref="CM29" si="339">CM$9*CM30</f>
        <v>456.48735869162647</v>
      </c>
      <c r="CN29" s="153">
        <f>SUM(CJ29:CM29)</f>
        <v>1657.3670266264819</v>
      </c>
    </row>
    <row r="30" spans="2:92" ht="18" customHeight="1" x14ac:dyDescent="0.25">
      <c r="B30" s="14" t="s">
        <v>37</v>
      </c>
      <c r="D30" s="67">
        <f>D29/D$9</f>
        <v>1.6188149053146E-2</v>
      </c>
      <c r="E30" s="67">
        <f t="shared" ref="E30:H30" si="340">E29/E$9</f>
        <v>1.4297061159650517E-2</v>
      </c>
      <c r="F30" s="67">
        <f t="shared" si="340"/>
        <v>1.4281959169368265E-2</v>
      </c>
      <c r="G30" s="67">
        <f t="shared" si="340"/>
        <v>1.2562034739454095E-2</v>
      </c>
      <c r="H30" s="67">
        <f t="shared" si="340"/>
        <v>1.4209669614183273E-2</v>
      </c>
      <c r="J30" s="67">
        <f>J29/J$9</f>
        <v>1.2909246442180574E-2</v>
      </c>
      <c r="K30" s="67">
        <f t="shared" ref="K30:N30" si="341">K29/K$9</f>
        <v>1.2989793733495111E-2</v>
      </c>
      <c r="L30" s="67">
        <f t="shared" si="341"/>
        <v>1.3693560325684678E-2</v>
      </c>
      <c r="M30" s="67">
        <f t="shared" si="341"/>
        <v>1.3178078371217403E-2</v>
      </c>
      <c r="N30" s="67">
        <f t="shared" si="341"/>
        <v>1.3193962208983589E-2</v>
      </c>
      <c r="O30" s="120"/>
      <c r="P30" s="67">
        <f>P29/P$9</f>
        <v>1.4109609386603297E-2</v>
      </c>
      <c r="Q30" s="67">
        <f t="shared" ref="Q30:T30" si="342">Q29/Q$9</f>
        <v>1.3303769401330377E-2</v>
      </c>
      <c r="R30" s="67">
        <f t="shared" si="342"/>
        <v>1.4814234205988399E-2</v>
      </c>
      <c r="S30" s="67">
        <f t="shared" si="342"/>
        <v>1.3922702373706634E-2</v>
      </c>
      <c r="T30" s="67">
        <f t="shared" si="342"/>
        <v>1.4014869888475837E-2</v>
      </c>
      <c r="U30" s="120"/>
      <c r="V30" s="67">
        <f>V29/V$9</f>
        <v>1.6455101081335213E-2</v>
      </c>
      <c r="W30" s="67">
        <f t="shared" ref="W30:Z30" si="343">W29/W$9</f>
        <v>1.4904471341402421E-2</v>
      </c>
      <c r="X30" s="67">
        <f t="shared" si="343"/>
        <v>1.3864993421718449E-2</v>
      </c>
      <c r="Y30" s="67">
        <f t="shared" si="343"/>
        <v>1.1392968402314197E-2</v>
      </c>
      <c r="Z30" s="67">
        <f t="shared" si="343"/>
        <v>1.4108460285522659E-2</v>
      </c>
      <c r="AB30" s="67">
        <f>AB29/AB$9</f>
        <v>1.0515689408597628E-2</v>
      </c>
      <c r="AC30" s="67">
        <f t="shared" ref="AC30:AE30" si="344">AC29/AC$9</f>
        <v>8.9999224144619444E-3</v>
      </c>
      <c r="AD30" s="67">
        <f t="shared" si="344"/>
        <v>8.9537791401145435E-3</v>
      </c>
      <c r="AE30" s="67">
        <f t="shared" si="344"/>
        <v>7.4648499782577187E-3</v>
      </c>
      <c r="AF30" s="67">
        <f t="shared" ref="AF30" si="345">AF29/AF$9</f>
        <v>8.9266445625944164E-3</v>
      </c>
      <c r="AH30" s="67">
        <f>AH29/AH$9</f>
        <v>7.800426815806903E-3</v>
      </c>
      <c r="AI30" s="67">
        <f t="shared" ref="AI30:AL30" si="346">AI29/AI$9</f>
        <v>8.4228258580753852E-3</v>
      </c>
      <c r="AJ30" s="67">
        <f t="shared" si="346"/>
        <v>1.0070694944644524E-2</v>
      </c>
      <c r="AK30" s="67">
        <f t="shared" si="346"/>
        <v>1.1327348315960715E-2</v>
      </c>
      <c r="AL30" s="67">
        <f t="shared" si="346"/>
        <v>9.5074629377219118E-3</v>
      </c>
      <c r="AN30" s="67">
        <f>AN29/AN$9</f>
        <v>1.3680494263018535E-2</v>
      </c>
      <c r="AO30" s="67">
        <f t="shared" ref="AO30:AR30" si="347">AO29/AO$9</f>
        <v>1.4147130153597413E-2</v>
      </c>
      <c r="AP30" s="67">
        <f t="shared" si="347"/>
        <v>1.6656751933372991E-2</v>
      </c>
      <c r="AQ30" s="67">
        <f t="shared" si="347"/>
        <v>1.6871704745166961E-2</v>
      </c>
      <c r="AR30" s="67">
        <f t="shared" si="347"/>
        <v>1.5359379660005964E-2</v>
      </c>
      <c r="AT30" s="67">
        <f>AT29/AT$9</f>
        <v>1.8861953288182798E-2</v>
      </c>
      <c r="AU30" s="67">
        <f t="shared" ref="AU30:AV30" si="348">AU29/AU$9</f>
        <v>1.8814788183833663E-2</v>
      </c>
      <c r="AV30" s="264">
        <f t="shared" si="348"/>
        <v>2.0861790637029677E-2</v>
      </c>
      <c r="AW30" s="539">
        <v>2.1000000000000001E-2</v>
      </c>
      <c r="AX30" s="67">
        <f t="shared" ref="AX30" si="349">AX29/AX$9</f>
        <v>1.9889819052178077E-2</v>
      </c>
      <c r="AZ30" s="11">
        <f>AT30</f>
        <v>1.8861953288182798E-2</v>
      </c>
      <c r="BA30" s="11">
        <f t="shared" ref="BA30" si="350">AU30</f>
        <v>1.8814788183833663E-2</v>
      </c>
      <c r="BB30" s="11">
        <f t="shared" ref="BB30" si="351">AV30</f>
        <v>2.0861790637029677E-2</v>
      </c>
      <c r="BC30" s="11">
        <f t="shared" ref="BC30" si="352">AW30</f>
        <v>2.1000000000000001E-2</v>
      </c>
      <c r="BD30" s="67">
        <f t="shared" ref="BD30" si="353">BD29/BD$9</f>
        <v>1.9905894470230754E-2</v>
      </c>
      <c r="BF30" s="11">
        <f>AZ30</f>
        <v>1.8861953288182798E-2</v>
      </c>
      <c r="BG30" s="11">
        <f t="shared" ref="BG30" si="354">BA30</f>
        <v>1.8814788183833663E-2</v>
      </c>
      <c r="BH30" s="11">
        <f t="shared" ref="BH30" si="355">BB30</f>
        <v>2.0861790637029677E-2</v>
      </c>
      <c r="BI30" s="11">
        <f t="shared" ref="BI30" si="356">BC30</f>
        <v>2.1000000000000001E-2</v>
      </c>
      <c r="BJ30" s="67">
        <f t="shared" ref="BJ30" si="357">BJ29/BJ$9</f>
        <v>1.9905776360935965E-2</v>
      </c>
      <c r="BL30" s="11">
        <f>BF30</f>
        <v>1.8861953288182798E-2</v>
      </c>
      <c r="BM30" s="11">
        <f t="shared" ref="BM30" si="358">BG30</f>
        <v>1.8814788183833663E-2</v>
      </c>
      <c r="BN30" s="11">
        <f t="shared" ref="BN30" si="359">BH30</f>
        <v>2.0861790637029677E-2</v>
      </c>
      <c r="BO30" s="11">
        <f t="shared" ref="BO30" si="360">BI30</f>
        <v>2.1000000000000001E-2</v>
      </c>
      <c r="BP30" s="67">
        <f t="shared" ref="BP30" si="361">BP29/BP$9</f>
        <v>1.9905837633335238E-2</v>
      </c>
      <c r="BR30" s="11">
        <f>BL30</f>
        <v>1.8861953288182798E-2</v>
      </c>
      <c r="BS30" s="11">
        <f t="shared" ref="BS30" si="362">BM30</f>
        <v>1.8814788183833663E-2</v>
      </c>
      <c r="BT30" s="11">
        <f t="shared" ref="BT30" si="363">BN30</f>
        <v>2.0861790637029677E-2</v>
      </c>
      <c r="BU30" s="11">
        <f t="shared" ref="BU30" si="364">BO30</f>
        <v>2.1000000000000001E-2</v>
      </c>
      <c r="BV30" s="67">
        <f t="shared" ref="BV30" si="365">BV29/BV$9</f>
        <v>1.9905900136996873E-2</v>
      </c>
      <c r="BX30" s="11">
        <f>BR30</f>
        <v>1.8861953288182798E-2</v>
      </c>
      <c r="BY30" s="11">
        <f t="shared" ref="BY30" si="366">BS30</f>
        <v>1.8814788183833663E-2</v>
      </c>
      <c r="BZ30" s="11">
        <f t="shared" ref="BZ30" si="367">BT30</f>
        <v>2.0861790637029677E-2</v>
      </c>
      <c r="CA30" s="11">
        <f t="shared" ref="CA30" si="368">BU30</f>
        <v>2.1000000000000001E-2</v>
      </c>
      <c r="CB30" s="67">
        <f t="shared" ref="CB30" si="369">CB29/CB$9</f>
        <v>1.990596383720775E-2</v>
      </c>
      <c r="CD30" s="11">
        <f>BX30</f>
        <v>1.8861953288182798E-2</v>
      </c>
      <c r="CE30" s="11">
        <f t="shared" ref="CE30" si="370">BY30</f>
        <v>1.8814788183833663E-2</v>
      </c>
      <c r="CF30" s="11">
        <f t="shared" ref="CF30" si="371">BZ30</f>
        <v>2.0861790637029677E-2</v>
      </c>
      <c r="CG30" s="11">
        <f t="shared" ref="CG30" si="372">CA30</f>
        <v>2.1000000000000001E-2</v>
      </c>
      <c r="CH30" s="67">
        <f t="shared" ref="CH30" si="373">CH29/CH$9</f>
        <v>1.9906028699517131E-2</v>
      </c>
      <c r="CJ30" s="11">
        <f>CD30</f>
        <v>1.8861953288182798E-2</v>
      </c>
      <c r="CK30" s="11">
        <f t="shared" ref="CK30" si="374">CE30</f>
        <v>1.8814788183833663E-2</v>
      </c>
      <c r="CL30" s="11">
        <f t="shared" ref="CL30" si="375">CF30</f>
        <v>2.0861790637029677E-2</v>
      </c>
      <c r="CM30" s="11">
        <f t="shared" ref="CM30" si="376">CG30</f>
        <v>2.1000000000000001E-2</v>
      </c>
      <c r="CN30" s="67">
        <f t="shared" ref="CN30" si="377">CN29/CN$9</f>
        <v>1.9906094689745774E-2</v>
      </c>
    </row>
    <row r="31" spans="2:92" ht="18" customHeight="1" x14ac:dyDescent="0.25">
      <c r="B31" s="14" t="s">
        <v>195</v>
      </c>
      <c r="J31" s="123">
        <f>J29-D29</f>
        <v>7</v>
      </c>
      <c r="K31" s="123">
        <f t="shared" ref="K31" si="378">K29-E29</f>
        <v>20</v>
      </c>
      <c r="L31" s="123">
        <f t="shared" ref="L31" si="379">L29-F29</f>
        <v>22</v>
      </c>
      <c r="M31" s="123">
        <f t="shared" ref="M31" si="380">M29-G29</f>
        <v>27</v>
      </c>
      <c r="N31" s="123">
        <f t="shared" ref="N31" si="381">N29-H29</f>
        <v>76</v>
      </c>
      <c r="O31" s="120"/>
      <c r="P31" s="123">
        <f>P29-J29</f>
        <v>24</v>
      </c>
      <c r="Q31" s="123">
        <f t="shared" ref="Q31" si="382">Q29-K29</f>
        <v>10</v>
      </c>
      <c r="R31" s="123">
        <f t="shared" ref="R31" si="383">R29-L29</f>
        <v>4</v>
      </c>
      <c r="S31" s="123">
        <f t="shared" ref="S31" si="384">S29-M29</f>
        <v>-6</v>
      </c>
      <c r="T31" s="123">
        <f t="shared" ref="T31" si="385">T29-N29</f>
        <v>32</v>
      </c>
      <c r="U31" s="120"/>
      <c r="V31" s="123">
        <f>V29-P29</f>
        <v>-15</v>
      </c>
      <c r="W31" s="123">
        <f t="shared" ref="W31" si="386">W29-Q29</f>
        <v>-43</v>
      </c>
      <c r="X31" s="123">
        <f t="shared" ref="X31" si="387">X29-R29</f>
        <v>-52</v>
      </c>
      <c r="Y31" s="123">
        <f t="shared" ref="Y31" si="388">Y29-S29</f>
        <v>-55</v>
      </c>
      <c r="Z31" s="123">
        <f t="shared" ref="Z31" si="389">Z29-T29</f>
        <v>-165</v>
      </c>
      <c r="AB31" s="123">
        <f>AB29-V29</f>
        <v>-50</v>
      </c>
      <c r="AC31" s="123">
        <f t="shared" ref="AC31" si="390">AC29-W29</f>
        <v>-33</v>
      </c>
      <c r="AD31" s="123">
        <f t="shared" ref="AD31" si="391">AD29-X29</f>
        <v>-26</v>
      </c>
      <c r="AE31" s="123">
        <f t="shared" ref="AE31" si="392">AE29-Y29</f>
        <v>-25</v>
      </c>
      <c r="AF31" s="123">
        <f t="shared" ref="AF31" si="393">AF29-Z29</f>
        <v>-134</v>
      </c>
      <c r="AH31" s="123">
        <f>AH29-AB29</f>
        <v>-19</v>
      </c>
      <c r="AI31" s="123">
        <f t="shared" ref="AI31" si="394">AI29-AC29</f>
        <v>4</v>
      </c>
      <c r="AJ31" s="123">
        <f t="shared" ref="AJ31" si="395">AJ29-AD29</f>
        <v>40</v>
      </c>
      <c r="AK31" s="123">
        <f t="shared" ref="AK31" si="396">AK29-AE29</f>
        <v>85</v>
      </c>
      <c r="AL31" s="123">
        <f t="shared" ref="AL31" si="397">AL29-AF29</f>
        <v>110</v>
      </c>
      <c r="AN31" s="123">
        <f>AN29-AH29</f>
        <v>111</v>
      </c>
      <c r="AO31" s="240">
        <f t="shared" ref="AO31" si="398">AO29-AI29</f>
        <v>125</v>
      </c>
      <c r="AP31" s="123">
        <f t="shared" ref="AP31" si="399">AP29-AJ29</f>
        <v>129</v>
      </c>
      <c r="AQ31" s="240">
        <f t="shared" ref="AQ31" si="400">AQ29-AK29</f>
        <v>100</v>
      </c>
      <c r="AR31" s="240">
        <f t="shared" ref="AR31" si="401">AR29-AL29</f>
        <v>465</v>
      </c>
      <c r="AS31" s="120"/>
      <c r="AT31" s="123">
        <f>AT29-AN29</f>
        <v>81</v>
      </c>
      <c r="AU31" s="240">
        <f t="shared" ref="AU31" si="402">AU29-AO29</f>
        <v>69</v>
      </c>
      <c r="AV31" s="303">
        <f t="shared" ref="AV31" si="403">AV29-AP29</f>
        <v>56</v>
      </c>
      <c r="AW31" s="123">
        <f t="shared" ref="AW31:AX31" si="404">AW29-AQ29</f>
        <v>62.43225000000001</v>
      </c>
      <c r="AX31" s="123">
        <f t="shared" si="404"/>
        <v>268.43225000000007</v>
      </c>
      <c r="AZ31" s="123">
        <f>AZ29-AT29</f>
        <v>-7.6381479840495672</v>
      </c>
      <c r="BA31" s="123">
        <f t="shared" ref="BA31" si="405">BA29-AU29</f>
        <v>-4.5306009946671111</v>
      </c>
      <c r="BB31" s="123">
        <f t="shared" ref="BB31" si="406">BB29-AV29</f>
        <v>1.5832012914441407</v>
      </c>
      <c r="BC31" s="123">
        <f t="shared" ref="BC31:BD31" si="407">BC29-AW29</f>
        <v>5.5930245000000127</v>
      </c>
      <c r="BD31" s="123">
        <f t="shared" si="407"/>
        <v>-4.9925231872725817</v>
      </c>
      <c r="BF31" s="123">
        <f>BF29-AZ29</f>
        <v>13.723219253229217</v>
      </c>
      <c r="BG31" s="123">
        <f t="shared" ref="BG31" si="408">BG29-BA29</f>
        <v>14.622420399843406</v>
      </c>
      <c r="BH31" s="123">
        <f t="shared" ref="BH31" si="409">BH29-BB29</f>
        <v>15.91398574452819</v>
      </c>
      <c r="BI31" s="123">
        <f t="shared" ref="BI31" si="410">BI29-BC29</f>
        <v>16.704168621410815</v>
      </c>
      <c r="BJ31" s="123">
        <f t="shared" ref="BJ31" si="411">BJ29-BD29</f>
        <v>60.96379401901163</v>
      </c>
      <c r="BL31" s="123">
        <f>BL29-BF29</f>
        <v>12.431822357069223</v>
      </c>
      <c r="BM31" s="123">
        <f t="shared" ref="BM31" si="412">BM29-BG29</f>
        <v>13.322287767806586</v>
      </c>
      <c r="BN31" s="123">
        <f t="shared" ref="BN31" si="413">BN29-BH29</f>
        <v>14.491468545840462</v>
      </c>
      <c r="BO31" s="123">
        <f t="shared" ref="BO31" si="414">BO29-BI29</f>
        <v>15.367427436272465</v>
      </c>
      <c r="BP31" s="123">
        <f t="shared" ref="BP31" si="415">BP29-BJ29</f>
        <v>55.613006106988678</v>
      </c>
      <c r="BR31" s="123">
        <f>BR29-BL29</f>
        <v>12.961755806931876</v>
      </c>
      <c r="BS31" s="123">
        <f t="shared" ref="BS31" si="416">BS29-BM29</f>
        <v>13.89306478125161</v>
      </c>
      <c r="BT31" s="123">
        <f t="shared" ref="BT31" si="417">BT29-BN29</f>
        <v>15.110796759739458</v>
      </c>
      <c r="BU31" s="123">
        <f t="shared" ref="BU31" si="418">BU29-BO29</f>
        <v>16.029346758243321</v>
      </c>
      <c r="BV31" s="123">
        <f t="shared" ref="BV31" si="419">BV29-BP29</f>
        <v>57.994964106166435</v>
      </c>
      <c r="BX31" s="123">
        <f>BX29-BR29</f>
        <v>13.515049351415485</v>
      </c>
      <c r="BY31" s="123">
        <f t="shared" ref="BY31" si="420">BY29-BS29</f>
        <v>14.489115019315534</v>
      </c>
      <c r="BZ31" s="123">
        <f t="shared" ref="BZ31" si="421">BZ29-BT29</f>
        <v>15.75748351200059</v>
      </c>
      <c r="CA31" s="123">
        <f t="shared" ref="CA31" si="422">CA29-BU29</f>
        <v>16.720744961200012</v>
      </c>
      <c r="CB31" s="123">
        <f t="shared" ref="CB31" si="423">CB29-BV29</f>
        <v>60.482392843931393</v>
      </c>
      <c r="CD31" s="123">
        <f>CD29-BX29</f>
        <v>14.092760474830357</v>
      </c>
      <c r="CE31" s="123">
        <f t="shared" ref="CE31" si="424">CE29-BY29</f>
        <v>15.111586938782239</v>
      </c>
      <c r="CF31" s="123">
        <f t="shared" ref="CF31" si="425">CF29-BZ29</f>
        <v>16.432769257207894</v>
      </c>
      <c r="CG31" s="123">
        <f t="shared" ref="CG31" si="426">CG29-CA29</f>
        <v>17.442968769788195</v>
      </c>
      <c r="CH31" s="123">
        <f t="shared" ref="CH31" si="427">CH29-CB29</f>
        <v>63.080085440608855</v>
      </c>
      <c r="CJ31" s="123">
        <f>CJ29-CD29</f>
        <v>14.695995544183234</v>
      </c>
      <c r="CK31" s="123">
        <f t="shared" ref="CK31" si="428">CK29-CE29</f>
        <v>15.761682253405922</v>
      </c>
      <c r="CL31" s="123">
        <f t="shared" ref="CL31" si="429">CL29-CF29</f>
        <v>17.137951854746632</v>
      </c>
      <c r="CM31" s="123">
        <f t="shared" ref="CM31" si="430">CM29-CG29</f>
        <v>18.197427644711638</v>
      </c>
      <c r="CN31" s="123">
        <f t="shared" ref="CN31" si="431">CN29-CH29</f>
        <v>65.793057297047426</v>
      </c>
    </row>
    <row r="32" spans="2:92" ht="18" customHeight="1" x14ac:dyDescent="0.25">
      <c r="B32" s="31" t="s">
        <v>395</v>
      </c>
      <c r="D32" s="121">
        <v>0</v>
      </c>
      <c r="E32" s="121">
        <v>0</v>
      </c>
      <c r="F32" s="121">
        <v>0</v>
      </c>
      <c r="G32" s="153">
        <f>H32-SUM(D32:F32)</f>
        <v>0</v>
      </c>
      <c r="H32" s="121">
        <v>0</v>
      </c>
      <c r="J32" s="121">
        <v>0</v>
      </c>
      <c r="K32" s="121">
        <v>0</v>
      </c>
      <c r="L32" s="121">
        <v>0</v>
      </c>
      <c r="M32" s="153">
        <f>N32-SUM(J32:L32)</f>
        <v>0</v>
      </c>
      <c r="N32" s="121">
        <v>0</v>
      </c>
      <c r="O32" s="120"/>
      <c r="P32" s="121">
        <v>0</v>
      </c>
      <c r="Q32" s="121">
        <v>0</v>
      </c>
      <c r="R32" s="121">
        <v>0</v>
      </c>
      <c r="S32" s="153">
        <f>T32-SUM(P32:R32)</f>
        <v>0</v>
      </c>
      <c r="T32" s="121">
        <v>0</v>
      </c>
      <c r="U32" s="120"/>
      <c r="V32" s="121">
        <v>0</v>
      </c>
      <c r="W32" s="121">
        <v>0</v>
      </c>
      <c r="X32" s="121">
        <v>0</v>
      </c>
      <c r="Y32" s="153">
        <f>Z32-SUM(V32:X32)</f>
        <v>0</v>
      </c>
      <c r="Z32" s="121">
        <v>0</v>
      </c>
      <c r="AB32" s="121">
        <v>0</v>
      </c>
      <c r="AC32" s="121">
        <v>0</v>
      </c>
      <c r="AD32" s="121">
        <v>0</v>
      </c>
      <c r="AE32" s="153">
        <f>AF32-SUM(AB32:AD32)</f>
        <v>0</v>
      </c>
      <c r="AF32" s="121">
        <v>0</v>
      </c>
      <c r="AH32" s="121">
        <v>0</v>
      </c>
      <c r="AI32" s="121">
        <v>0</v>
      </c>
      <c r="AJ32" s="121">
        <v>0</v>
      </c>
      <c r="AK32" s="153">
        <f>AL32-SUM(AH32:AJ32)</f>
        <v>925</v>
      </c>
      <c r="AL32" s="121">
        <v>925</v>
      </c>
      <c r="AN32" s="121">
        <v>0</v>
      </c>
      <c r="AO32" s="121">
        <v>0</v>
      </c>
      <c r="AP32" s="121">
        <v>0</v>
      </c>
      <c r="AQ32" s="153">
        <f>AR32-SUM(AN32:AP32)</f>
        <v>0</v>
      </c>
      <c r="AR32" s="121">
        <v>0</v>
      </c>
      <c r="AS32" s="120"/>
      <c r="AT32" s="153"/>
      <c r="AU32" s="244"/>
      <c r="AV32" s="304"/>
      <c r="AW32" s="153">
        <f>AW$9*AW33</f>
        <v>0</v>
      </c>
      <c r="AX32" s="153">
        <f>SUM(AT32:AW32)</f>
        <v>0</v>
      </c>
      <c r="AY32" s="121"/>
      <c r="AZ32" s="153">
        <f>AZ$9*AZ33</f>
        <v>0</v>
      </c>
      <c r="BA32" s="153">
        <f t="shared" ref="BA32" si="432">BA$9*BA33</f>
        <v>0</v>
      </c>
      <c r="BB32" s="153">
        <f t="shared" ref="BB32" si="433">BB$9*BB33</f>
        <v>0</v>
      </c>
      <c r="BC32" s="153">
        <f t="shared" ref="BC32" si="434">BC$9*BC33</f>
        <v>0</v>
      </c>
      <c r="BD32" s="153">
        <f>SUM(AZ32:BC32)</f>
        <v>0</v>
      </c>
      <c r="BE32" s="121"/>
      <c r="BF32" s="153">
        <f>BF$9*BF33</f>
        <v>0</v>
      </c>
      <c r="BG32" s="153">
        <f t="shared" ref="BG32" si="435">BG$9*BG33</f>
        <v>0</v>
      </c>
      <c r="BH32" s="153">
        <f t="shared" ref="BH32" si="436">BH$9*BH33</f>
        <v>0</v>
      </c>
      <c r="BI32" s="153">
        <f t="shared" ref="BI32" si="437">BI$9*BI33</f>
        <v>0</v>
      </c>
      <c r="BJ32" s="153">
        <f>SUM(BF32:BI32)</f>
        <v>0</v>
      </c>
      <c r="BK32" s="121"/>
      <c r="BL32" s="153">
        <f>BL$9*BL33</f>
        <v>0</v>
      </c>
      <c r="BM32" s="153">
        <f t="shared" ref="BM32" si="438">BM$9*BM33</f>
        <v>0</v>
      </c>
      <c r="BN32" s="153">
        <f t="shared" ref="BN32" si="439">BN$9*BN33</f>
        <v>0</v>
      </c>
      <c r="BO32" s="153">
        <f t="shared" ref="BO32" si="440">BO$9*BO33</f>
        <v>0</v>
      </c>
      <c r="BP32" s="153">
        <f>SUM(BL32:BO32)</f>
        <v>0</v>
      </c>
      <c r="BQ32" s="121"/>
      <c r="BR32" s="153">
        <f>BR$9*BR33</f>
        <v>0</v>
      </c>
      <c r="BS32" s="153">
        <f t="shared" ref="BS32" si="441">BS$9*BS33</f>
        <v>0</v>
      </c>
      <c r="BT32" s="153">
        <f t="shared" ref="BT32" si="442">BT$9*BT33</f>
        <v>0</v>
      </c>
      <c r="BU32" s="153">
        <f t="shared" ref="BU32" si="443">BU$9*BU33</f>
        <v>0</v>
      </c>
      <c r="BV32" s="153">
        <f>SUM(BR32:BU32)</f>
        <v>0</v>
      </c>
      <c r="BW32" s="121"/>
      <c r="BX32" s="153">
        <f>BX$9*BX33</f>
        <v>0</v>
      </c>
      <c r="BY32" s="153">
        <f t="shared" ref="BY32" si="444">BY$9*BY33</f>
        <v>0</v>
      </c>
      <c r="BZ32" s="153">
        <f t="shared" ref="BZ32" si="445">BZ$9*BZ33</f>
        <v>0</v>
      </c>
      <c r="CA32" s="153">
        <f t="shared" ref="CA32" si="446">CA$9*CA33</f>
        <v>0</v>
      </c>
      <c r="CB32" s="153">
        <f>SUM(BX32:CA32)</f>
        <v>0</v>
      </c>
      <c r="CC32" s="121"/>
      <c r="CD32" s="153">
        <f>CD$9*CD33</f>
        <v>0</v>
      </c>
      <c r="CE32" s="153">
        <f t="shared" ref="CE32" si="447">CE$9*CE33</f>
        <v>0</v>
      </c>
      <c r="CF32" s="153">
        <f t="shared" ref="CF32" si="448">CF$9*CF33</f>
        <v>0</v>
      </c>
      <c r="CG32" s="153">
        <f t="shared" ref="CG32" si="449">CG$9*CG33</f>
        <v>0</v>
      </c>
      <c r="CH32" s="153">
        <f>SUM(CD32:CG32)</f>
        <v>0</v>
      </c>
      <c r="CI32" s="121"/>
      <c r="CJ32" s="153">
        <f>CJ$9*CJ33</f>
        <v>0</v>
      </c>
      <c r="CK32" s="153">
        <f t="shared" ref="CK32" si="450">CK$9*CK33</f>
        <v>0</v>
      </c>
      <c r="CL32" s="153">
        <f t="shared" ref="CL32" si="451">CL$9*CL33</f>
        <v>0</v>
      </c>
      <c r="CM32" s="153">
        <f t="shared" ref="CM32" si="452">CM$9*CM33</f>
        <v>0</v>
      </c>
      <c r="CN32" s="153">
        <f>SUM(CJ32:CM32)</f>
        <v>0</v>
      </c>
    </row>
    <row r="33" spans="2:93" ht="18" customHeight="1" x14ac:dyDescent="0.25">
      <c r="B33" s="14" t="s">
        <v>37</v>
      </c>
      <c r="D33" s="67">
        <f>D32/D$9</f>
        <v>0</v>
      </c>
      <c r="E33" s="67">
        <f t="shared" ref="E33:H33" si="453">E32/E$9</f>
        <v>0</v>
      </c>
      <c r="F33" s="67">
        <f t="shared" si="453"/>
        <v>0</v>
      </c>
      <c r="G33" s="67">
        <f t="shared" si="453"/>
        <v>0</v>
      </c>
      <c r="H33" s="67">
        <f t="shared" si="453"/>
        <v>0</v>
      </c>
      <c r="J33" s="67">
        <f>J32/J$9</f>
        <v>0</v>
      </c>
      <c r="K33" s="67">
        <f t="shared" ref="K33" si="454">K32/K$9</f>
        <v>0</v>
      </c>
      <c r="L33" s="67">
        <f t="shared" ref="L33" si="455">L32/L$9</f>
        <v>0</v>
      </c>
      <c r="M33" s="67">
        <f t="shared" ref="M33" si="456">M32/M$9</f>
        <v>0</v>
      </c>
      <c r="N33" s="67">
        <f t="shared" ref="N33" si="457">N32/N$9</f>
        <v>0</v>
      </c>
      <c r="O33" s="120"/>
      <c r="P33" s="67">
        <f>P32/P$9</f>
        <v>0</v>
      </c>
      <c r="Q33" s="67">
        <f t="shared" ref="Q33" si="458">Q32/Q$9</f>
        <v>0</v>
      </c>
      <c r="R33" s="67">
        <f t="shared" ref="R33" si="459">R32/R$9</f>
        <v>0</v>
      </c>
      <c r="S33" s="67">
        <f t="shared" ref="S33" si="460">S32/S$9</f>
        <v>0</v>
      </c>
      <c r="T33" s="67">
        <f t="shared" ref="T33" si="461">T32/T$9</f>
        <v>0</v>
      </c>
      <c r="U33" s="120"/>
      <c r="V33" s="67">
        <f>V32/V$9</f>
        <v>0</v>
      </c>
      <c r="W33" s="67">
        <f t="shared" ref="W33" si="462">W32/W$9</f>
        <v>0</v>
      </c>
      <c r="X33" s="67">
        <f t="shared" ref="X33" si="463">X32/X$9</f>
        <v>0</v>
      </c>
      <c r="Y33" s="67">
        <f t="shared" ref="Y33" si="464">Y32/Y$9</f>
        <v>0</v>
      </c>
      <c r="Z33" s="67">
        <f t="shared" ref="Z33" si="465">Z32/Z$9</f>
        <v>0</v>
      </c>
      <c r="AB33" s="67">
        <f>AB32/AB$9</f>
        <v>0</v>
      </c>
      <c r="AC33" s="67">
        <f t="shared" ref="AC33:AE33" si="466">AC32/AC$9</f>
        <v>0</v>
      </c>
      <c r="AD33" s="67">
        <f t="shared" si="466"/>
        <v>0</v>
      </c>
      <c r="AE33" s="67">
        <f t="shared" si="466"/>
        <v>0</v>
      </c>
      <c r="AF33" s="67">
        <f t="shared" ref="AF33" si="467">AF32/AF$9</f>
        <v>0</v>
      </c>
      <c r="AH33" s="67">
        <f>AH32/AH$9</f>
        <v>0</v>
      </c>
      <c r="AI33" s="67">
        <f t="shared" ref="AI33:AL33" si="468">AI32/AI$9</f>
        <v>0</v>
      </c>
      <c r="AJ33" s="67">
        <f t="shared" si="468"/>
        <v>0</v>
      </c>
      <c r="AK33" s="67">
        <f t="shared" si="468"/>
        <v>5.57329637886365E-2</v>
      </c>
      <c r="AL33" s="67">
        <f t="shared" si="468"/>
        <v>1.5565315429013748E-2</v>
      </c>
      <c r="AN33" s="67">
        <f>AN32/AN$9</f>
        <v>0</v>
      </c>
      <c r="AO33" s="239">
        <f t="shared" ref="AO33:AR33" si="469">AO32/AO$9</f>
        <v>0</v>
      </c>
      <c r="AP33" s="67">
        <f t="shared" si="469"/>
        <v>0</v>
      </c>
      <c r="AQ33" s="239">
        <f t="shared" si="469"/>
        <v>0</v>
      </c>
      <c r="AR33" s="239">
        <f t="shared" si="469"/>
        <v>0</v>
      </c>
      <c r="AS33" s="120"/>
      <c r="AT33" s="67">
        <f>AT32/AT$9</f>
        <v>0</v>
      </c>
      <c r="AU33" s="239">
        <f t="shared" ref="AU33:AV33" si="470">AU32/AU$9</f>
        <v>0</v>
      </c>
      <c r="AV33" s="264">
        <f t="shared" si="470"/>
        <v>0</v>
      </c>
      <c r="AW33" s="539">
        <v>0</v>
      </c>
      <c r="AX33" s="67">
        <f t="shared" ref="AX33" si="471">AX32/AX$9</f>
        <v>0</v>
      </c>
      <c r="AZ33" s="454">
        <v>0</v>
      </c>
      <c r="BA33" s="454">
        <v>0</v>
      </c>
      <c r="BB33" s="454">
        <v>0</v>
      </c>
      <c r="BC33" s="454">
        <v>0</v>
      </c>
      <c r="BD33" s="67">
        <f t="shared" ref="BD33" si="472">BD32/BD$9</f>
        <v>0</v>
      </c>
      <c r="BF33" s="454">
        <v>0</v>
      </c>
      <c r="BG33" s="454">
        <v>0</v>
      </c>
      <c r="BH33" s="454">
        <v>0</v>
      </c>
      <c r="BI33" s="454">
        <v>0</v>
      </c>
      <c r="BJ33" s="67">
        <f t="shared" ref="BJ33" si="473">BJ32/BJ$9</f>
        <v>0</v>
      </c>
      <c r="BL33" s="454">
        <v>0</v>
      </c>
      <c r="BM33" s="454">
        <v>0</v>
      </c>
      <c r="BN33" s="454">
        <v>0</v>
      </c>
      <c r="BO33" s="454">
        <v>0</v>
      </c>
      <c r="BP33" s="67">
        <f t="shared" ref="BP33" si="474">BP32/BP$9</f>
        <v>0</v>
      </c>
      <c r="BR33" s="454">
        <v>0</v>
      </c>
      <c r="BS33" s="454">
        <v>0</v>
      </c>
      <c r="BT33" s="454">
        <v>0</v>
      </c>
      <c r="BU33" s="454">
        <v>0</v>
      </c>
      <c r="BV33" s="67">
        <f t="shared" ref="BV33" si="475">BV32/BV$9</f>
        <v>0</v>
      </c>
      <c r="BX33" s="454">
        <v>0</v>
      </c>
      <c r="BY33" s="454">
        <v>0</v>
      </c>
      <c r="BZ33" s="454">
        <v>0</v>
      </c>
      <c r="CA33" s="454">
        <v>0</v>
      </c>
      <c r="CB33" s="67">
        <f t="shared" ref="CB33" si="476">CB32/CB$9</f>
        <v>0</v>
      </c>
      <c r="CD33" s="454">
        <v>0</v>
      </c>
      <c r="CE33" s="454">
        <v>0</v>
      </c>
      <c r="CF33" s="454">
        <v>0</v>
      </c>
      <c r="CG33" s="454">
        <v>0</v>
      </c>
      <c r="CH33" s="67">
        <f t="shared" ref="CH33" si="477">CH32/CH$9</f>
        <v>0</v>
      </c>
      <c r="CJ33" s="454">
        <v>0</v>
      </c>
      <c r="CK33" s="454">
        <v>0</v>
      </c>
      <c r="CL33" s="454">
        <v>0</v>
      </c>
      <c r="CM33" s="454">
        <v>0</v>
      </c>
      <c r="CN33" s="67">
        <f t="shared" ref="CN33" si="478">CN32/CN$9</f>
        <v>0</v>
      </c>
    </row>
    <row r="34" spans="2:93" ht="18" customHeight="1" x14ac:dyDescent="0.25">
      <c r="B34" s="14" t="s">
        <v>195</v>
      </c>
      <c r="J34" s="123">
        <f>J32-D32</f>
        <v>0</v>
      </c>
      <c r="K34" s="123">
        <f t="shared" ref="K34" si="479">K32-E32</f>
        <v>0</v>
      </c>
      <c r="L34" s="123">
        <f t="shared" ref="L34" si="480">L32-F32</f>
        <v>0</v>
      </c>
      <c r="M34" s="123">
        <f t="shared" ref="M34" si="481">M32-G32</f>
        <v>0</v>
      </c>
      <c r="N34" s="123">
        <f t="shared" ref="N34" si="482">N32-H32</f>
        <v>0</v>
      </c>
      <c r="O34" s="120"/>
      <c r="P34" s="123">
        <f>P32-J32</f>
        <v>0</v>
      </c>
      <c r="Q34" s="123">
        <f t="shared" ref="Q34" si="483">Q32-K32</f>
        <v>0</v>
      </c>
      <c r="R34" s="123">
        <f t="shared" ref="R34" si="484">R32-L32</f>
        <v>0</v>
      </c>
      <c r="S34" s="123">
        <f t="shared" ref="S34" si="485">S32-M32</f>
        <v>0</v>
      </c>
      <c r="T34" s="123">
        <f t="shared" ref="T34" si="486">T32-N32</f>
        <v>0</v>
      </c>
      <c r="U34" s="120"/>
      <c r="V34" s="123">
        <f>V32-P32</f>
        <v>0</v>
      </c>
      <c r="W34" s="123">
        <f t="shared" ref="W34" si="487">W32-Q32</f>
        <v>0</v>
      </c>
      <c r="X34" s="123">
        <f t="shared" ref="X34" si="488">X32-R32</f>
        <v>0</v>
      </c>
      <c r="Y34" s="123">
        <f t="shared" ref="Y34" si="489">Y32-S32</f>
        <v>0</v>
      </c>
      <c r="Z34" s="123">
        <f t="shared" ref="Z34" si="490">Z32-T32</f>
        <v>0</v>
      </c>
      <c r="AB34" s="123">
        <f>AB32-V32</f>
        <v>0</v>
      </c>
      <c r="AC34" s="123">
        <f t="shared" ref="AC34" si="491">AC32-W32</f>
        <v>0</v>
      </c>
      <c r="AD34" s="123">
        <f t="shared" ref="AD34" si="492">AD32-X32</f>
        <v>0</v>
      </c>
      <c r="AE34" s="123">
        <f t="shared" ref="AE34" si="493">AE32-Y32</f>
        <v>0</v>
      </c>
      <c r="AF34" s="123">
        <f t="shared" ref="AF34" si="494">AF32-Z32</f>
        <v>0</v>
      </c>
      <c r="AH34" s="123">
        <f>AH32-AB32</f>
        <v>0</v>
      </c>
      <c r="AI34" s="123">
        <f t="shared" ref="AI34" si="495">AI32-AC32</f>
        <v>0</v>
      </c>
      <c r="AJ34" s="123">
        <f t="shared" ref="AJ34" si="496">AJ32-AD32</f>
        <v>0</v>
      </c>
      <c r="AK34" s="123">
        <f t="shared" ref="AK34" si="497">AK32-AE32</f>
        <v>925</v>
      </c>
      <c r="AL34" s="123">
        <f t="shared" ref="AL34" si="498">AL32-AF32</f>
        <v>925</v>
      </c>
      <c r="AN34" s="123">
        <f>AN32-AH32</f>
        <v>0</v>
      </c>
      <c r="AO34" s="240">
        <f t="shared" ref="AO34" si="499">AO32-AI32</f>
        <v>0</v>
      </c>
      <c r="AP34" s="123">
        <f t="shared" ref="AP34" si="500">AP32-AJ32</f>
        <v>0</v>
      </c>
      <c r="AQ34" s="240">
        <f t="shared" ref="AQ34" si="501">AQ32-AK32</f>
        <v>-925</v>
      </c>
      <c r="AR34" s="240">
        <f t="shared" ref="AR34" si="502">AR32-AL32</f>
        <v>-925</v>
      </c>
      <c r="AS34" s="120"/>
      <c r="AT34" s="123">
        <f>AT32-AN32</f>
        <v>0</v>
      </c>
      <c r="AU34" s="240">
        <f t="shared" ref="AU34" si="503">AU32-AO32</f>
        <v>0</v>
      </c>
      <c r="AV34" s="303">
        <f t="shared" ref="AV34" si="504">AV32-AP32</f>
        <v>0</v>
      </c>
      <c r="AW34" s="123">
        <f t="shared" ref="AW34:AX34" si="505">AW32-AQ32</f>
        <v>0</v>
      </c>
      <c r="AX34" s="123">
        <f t="shared" si="505"/>
        <v>0</v>
      </c>
      <c r="AZ34" s="123">
        <f>AZ32-AT32</f>
        <v>0</v>
      </c>
      <c r="BA34" s="123">
        <f t="shared" ref="BA34" si="506">BA32-AU32</f>
        <v>0</v>
      </c>
      <c r="BB34" s="123">
        <f t="shared" ref="BB34" si="507">BB32-AV32</f>
        <v>0</v>
      </c>
      <c r="BC34" s="123">
        <f t="shared" ref="BC34:BD34" si="508">BC32-AW32</f>
        <v>0</v>
      </c>
      <c r="BD34" s="123">
        <f t="shared" si="508"/>
        <v>0</v>
      </c>
      <c r="BF34" s="123">
        <f>BF32-AZ32</f>
        <v>0</v>
      </c>
      <c r="BG34" s="123">
        <f t="shared" ref="BG34" si="509">BG32-BA32</f>
        <v>0</v>
      </c>
      <c r="BH34" s="123">
        <f t="shared" ref="BH34" si="510">BH32-BB32</f>
        <v>0</v>
      </c>
      <c r="BI34" s="123">
        <f t="shared" ref="BI34" si="511">BI32-BC32</f>
        <v>0</v>
      </c>
      <c r="BJ34" s="123">
        <f t="shared" ref="BJ34" si="512">BJ32-BD32</f>
        <v>0</v>
      </c>
      <c r="BL34" s="123">
        <f>BL32-BF32</f>
        <v>0</v>
      </c>
      <c r="BM34" s="123">
        <f t="shared" ref="BM34" si="513">BM32-BG32</f>
        <v>0</v>
      </c>
      <c r="BN34" s="123">
        <f t="shared" ref="BN34" si="514">BN32-BH32</f>
        <v>0</v>
      </c>
      <c r="BO34" s="123">
        <f t="shared" ref="BO34" si="515">BO32-BI32</f>
        <v>0</v>
      </c>
      <c r="BP34" s="123">
        <f t="shared" ref="BP34" si="516">BP32-BJ32</f>
        <v>0</v>
      </c>
      <c r="BR34" s="123">
        <f>BR32-BL32</f>
        <v>0</v>
      </c>
      <c r="BS34" s="123">
        <f t="shared" ref="BS34" si="517">BS32-BM32</f>
        <v>0</v>
      </c>
      <c r="BT34" s="123">
        <f t="shared" ref="BT34" si="518">BT32-BN32</f>
        <v>0</v>
      </c>
      <c r="BU34" s="123">
        <f t="shared" ref="BU34" si="519">BU32-BO32</f>
        <v>0</v>
      </c>
      <c r="BV34" s="123">
        <f t="shared" ref="BV34" si="520">BV32-BP32</f>
        <v>0</v>
      </c>
      <c r="BX34" s="123">
        <f>BX32-BR32</f>
        <v>0</v>
      </c>
      <c r="BY34" s="123">
        <f t="shared" ref="BY34" si="521">BY32-BS32</f>
        <v>0</v>
      </c>
      <c r="BZ34" s="123">
        <f t="shared" ref="BZ34" si="522">BZ32-BT32</f>
        <v>0</v>
      </c>
      <c r="CA34" s="123">
        <f t="shared" ref="CA34" si="523">CA32-BU32</f>
        <v>0</v>
      </c>
      <c r="CB34" s="123">
        <f t="shared" ref="CB34" si="524">CB32-BV32</f>
        <v>0</v>
      </c>
      <c r="CD34" s="123">
        <f>CD32-BX32</f>
        <v>0</v>
      </c>
      <c r="CE34" s="123">
        <f t="shared" ref="CE34" si="525">CE32-BY32</f>
        <v>0</v>
      </c>
      <c r="CF34" s="123">
        <f t="shared" ref="CF34" si="526">CF32-BZ32</f>
        <v>0</v>
      </c>
      <c r="CG34" s="123">
        <f t="shared" ref="CG34" si="527">CG32-CA32</f>
        <v>0</v>
      </c>
      <c r="CH34" s="123">
        <f t="shared" ref="CH34" si="528">CH32-CB32</f>
        <v>0</v>
      </c>
      <c r="CJ34" s="123">
        <f>CJ32-CD32</f>
        <v>0</v>
      </c>
      <c r="CK34" s="123">
        <f t="shared" ref="CK34" si="529">CK32-CE32</f>
        <v>0</v>
      </c>
      <c r="CL34" s="123">
        <f t="shared" ref="CL34" si="530">CL32-CF32</f>
        <v>0</v>
      </c>
      <c r="CM34" s="123">
        <f t="shared" ref="CM34" si="531">CM32-CG32</f>
        <v>0</v>
      </c>
      <c r="CN34" s="123">
        <f t="shared" ref="CN34" si="532">CN32-CH32</f>
        <v>0</v>
      </c>
    </row>
    <row r="35" spans="2:93" ht="18" customHeight="1" x14ac:dyDescent="0.25">
      <c r="B35" s="31" t="s">
        <v>396</v>
      </c>
      <c r="D35" s="121">
        <v>996</v>
      </c>
      <c r="E35" s="121">
        <v>407</v>
      </c>
      <c r="F35" s="121">
        <v>348</v>
      </c>
      <c r="G35" s="153">
        <f>H35-SUM(D35:F35)</f>
        <v>504</v>
      </c>
      <c r="H35" s="121">
        <v>2255</v>
      </c>
      <c r="J35" s="121">
        <v>300</v>
      </c>
      <c r="K35" s="121">
        <v>338</v>
      </c>
      <c r="L35" s="121">
        <v>390</v>
      </c>
      <c r="M35" s="153">
        <f>N35-SUM(J35:L35)</f>
        <v>354</v>
      </c>
      <c r="N35" s="121">
        <v>1382</v>
      </c>
      <c r="O35" s="120"/>
      <c r="P35" s="121">
        <v>312</v>
      </c>
      <c r="Q35" s="121">
        <v>336</v>
      </c>
      <c r="R35" s="121">
        <v>298</v>
      </c>
      <c r="S35" s="153">
        <f>T35-SUM(P35:R35)</f>
        <v>325</v>
      </c>
      <c r="T35" s="121">
        <v>1271</v>
      </c>
      <c r="U35" s="120"/>
      <c r="V35" s="121">
        <v>313</v>
      </c>
      <c r="W35" s="121">
        <v>431</v>
      </c>
      <c r="X35" s="121">
        <v>370</v>
      </c>
      <c r="Y35" s="153">
        <f>Z35-SUM(V35:X35)</f>
        <v>353</v>
      </c>
      <c r="Z35" s="121">
        <v>1467</v>
      </c>
      <c r="AB35" s="121">
        <v>323</v>
      </c>
      <c r="AC35" s="121">
        <v>293</v>
      </c>
      <c r="AD35" s="121">
        <v>238</v>
      </c>
      <c r="AE35" s="153">
        <f>AF35-SUM(AB35:AD35)</f>
        <v>220</v>
      </c>
      <c r="AF35" s="121">
        <v>1074</v>
      </c>
      <c r="AH35" s="121">
        <v>266</v>
      </c>
      <c r="AI35" s="121">
        <v>303</v>
      </c>
      <c r="AJ35" s="121">
        <v>339</v>
      </c>
      <c r="AK35" s="153">
        <f>AL35-SUM(AH35:AJ35)</f>
        <v>310</v>
      </c>
      <c r="AL35" s="121">
        <v>1218</v>
      </c>
      <c r="AM35" s="121"/>
      <c r="AN35" s="121">
        <v>876</v>
      </c>
      <c r="AO35" s="121">
        <v>300</v>
      </c>
      <c r="AP35" s="121">
        <v>320</v>
      </c>
      <c r="AQ35" s="153">
        <f>AR35-SUM(AN35:AP35)</f>
        <v>322</v>
      </c>
      <c r="AR35" s="121">
        <v>1818</v>
      </c>
      <c r="AS35" s="121"/>
      <c r="AT35" s="121">
        <v>223</v>
      </c>
      <c r="AU35" s="121">
        <v>556</v>
      </c>
      <c r="AV35" s="263">
        <v>355</v>
      </c>
      <c r="AW35" s="153">
        <f>AW$9*AW36</f>
        <v>367.11949999999996</v>
      </c>
      <c r="AX35" s="153">
        <f>SUM(AT35:AW35)</f>
        <v>1501.1195</v>
      </c>
      <c r="AY35" s="121"/>
      <c r="AZ35" s="153">
        <f>AZ$9*AZ36</f>
        <v>217.28420469649984</v>
      </c>
      <c r="BA35" s="153">
        <f t="shared" ref="BA35" si="533">BA$9*BA36</f>
        <v>547.97766193300981</v>
      </c>
      <c r="BB35" s="153">
        <f t="shared" ref="BB35" si="534">BB$9*BB36</f>
        <v>356.67272755494844</v>
      </c>
      <c r="BC35" s="153">
        <f t="shared" ref="BC35" si="535">BC$9*BC36</f>
        <v>372.978859</v>
      </c>
      <c r="BD35" s="153">
        <f>SUM(AZ35:BC35)</f>
        <v>1494.9134531844581</v>
      </c>
      <c r="BE35" s="121"/>
      <c r="BF35" s="153">
        <f>BF$9*BF36</f>
        <v>227.55359360076193</v>
      </c>
      <c r="BG35" s="153">
        <f t="shared" ref="BG35" si="536">BG$9*BG36</f>
        <v>573.86959104865616</v>
      </c>
      <c r="BH35" s="153">
        <f t="shared" ref="BH35" si="537">BH$9*BH36</f>
        <v>373.48661130288747</v>
      </c>
      <c r="BI35" s="153">
        <f t="shared" ref="BI35" si="538">BI$9*BI36</f>
        <v>390.47846422243038</v>
      </c>
      <c r="BJ35" s="153">
        <f>SUM(BF35:BI35)</f>
        <v>1565.3882601747359</v>
      </c>
      <c r="BK35" s="121"/>
      <c r="BL35" s="153">
        <f>BL$9*BL36</f>
        <v>236.85660160621978</v>
      </c>
      <c r="BM35" s="153">
        <f t="shared" ref="BM35" si="539">BM$9*BM36</f>
        <v>597.45937448464474</v>
      </c>
      <c r="BN35" s="153">
        <f t="shared" ref="BN35" si="540">BN$9*BN36</f>
        <v>388.79753789149862</v>
      </c>
      <c r="BO35" s="153">
        <f t="shared" ref="BO35" si="541">BO$9*BO36</f>
        <v>406.57767391757295</v>
      </c>
      <c r="BP35" s="153">
        <f>SUM(BL35:BO35)</f>
        <v>1629.6911878999363</v>
      </c>
      <c r="BQ35" s="121"/>
      <c r="BR35" s="153">
        <f>BR$9*BR36</f>
        <v>246.55617054899096</v>
      </c>
      <c r="BS35" s="153">
        <f t="shared" ref="BS35" si="542">BS$9*BS36</f>
        <v>622.05983314189291</v>
      </c>
      <c r="BT35" s="153">
        <f t="shared" ref="BT35" si="543">BT$9*BT36</f>
        <v>404.76281422991383</v>
      </c>
      <c r="BU35" s="153">
        <f t="shared" ref="BU35" si="544">BU$9*BU36</f>
        <v>423.37032290239927</v>
      </c>
      <c r="BV35" s="153">
        <f>SUM(BR35:BU35)</f>
        <v>1696.749140823197</v>
      </c>
      <c r="BW35" s="121"/>
      <c r="BX35" s="153">
        <f>BX$9*BX36</f>
        <v>256.66978130525155</v>
      </c>
      <c r="BY35" s="153">
        <f t="shared" ref="BY35" si="545">BY$9*BY36</f>
        <v>647.71571833533062</v>
      </c>
      <c r="BZ35" s="153">
        <f t="shared" ref="BZ35" si="546">BZ$9*BZ36</f>
        <v>421.41134591670016</v>
      </c>
      <c r="CA35" s="153">
        <f t="shared" ref="CA35" si="547">CA$9*CA36</f>
        <v>440.88729381413265</v>
      </c>
      <c r="CB35" s="153">
        <f>SUM(BX35:CA35)</f>
        <v>1766.6841393714149</v>
      </c>
      <c r="CC35" s="121"/>
      <c r="CD35" s="153">
        <f>CD$9*CD36</f>
        <v>267.21570609010786</v>
      </c>
      <c r="CE35" s="153">
        <f t="shared" ref="CE35" si="548">CE$9*CE36</f>
        <v>674.47381495304694</v>
      </c>
      <c r="CF35" s="153">
        <f t="shared" ref="CF35" si="549">CF$9*CF36</f>
        <v>438.77334914976205</v>
      </c>
      <c r="CG35" s="153">
        <f t="shared" ref="CG35" si="550">CG$9*CG36</f>
        <v>459.16088014438691</v>
      </c>
      <c r="CH35" s="153">
        <f>SUM(CD35:CG35)</f>
        <v>1839.6237503373038</v>
      </c>
      <c r="CI35" s="121"/>
      <c r="CJ35" s="153">
        <f>CJ$9*CJ36</f>
        <v>278.21304503760064</v>
      </c>
      <c r="CK35" s="153">
        <f t="shared" ref="CK35" si="551">CK$9*CK36</f>
        <v>702.38303575844077</v>
      </c>
      <c r="CL35" s="153">
        <f t="shared" ref="CL35" si="552">CL$9*CL36</f>
        <v>456.88041137724736</v>
      </c>
      <c r="CM35" s="153">
        <f t="shared" ref="CM35" si="553">CM$9*CM36</f>
        <v>478.22485196265626</v>
      </c>
      <c r="CN35" s="153">
        <f>SUM(CJ35:CM35)</f>
        <v>1915.701344135945</v>
      </c>
    </row>
    <row r="36" spans="2:93" ht="18" customHeight="1" x14ac:dyDescent="0.25">
      <c r="B36" s="14" t="s">
        <v>37</v>
      </c>
      <c r="D36" s="67">
        <f t="shared" ref="D36:H36" si="554">D35/D$9</f>
        <v>0.10140500916310324</v>
      </c>
      <c r="E36" s="67">
        <f t="shared" si="554"/>
        <v>3.5919159827023213E-2</v>
      </c>
      <c r="F36" s="67">
        <f t="shared" si="554"/>
        <v>3.0491544729694207E-2</v>
      </c>
      <c r="G36" s="67">
        <f t="shared" si="554"/>
        <v>3.9081885856079406E-2</v>
      </c>
      <c r="H36" s="67">
        <f t="shared" si="554"/>
        <v>4.9601865294091767E-2</v>
      </c>
      <c r="J36" s="67">
        <f>J35/J$9</f>
        <v>2.332996344972393E-2</v>
      </c>
      <c r="K36" s="67">
        <f t="shared" ref="K36:N36" si="555">K35/K$9</f>
        <v>2.4123902647919492E-2</v>
      </c>
      <c r="L36" s="67">
        <f t="shared" si="555"/>
        <v>2.8867505551443375E-2</v>
      </c>
      <c r="M36" s="67">
        <f t="shared" si="555"/>
        <v>2.4682749965137359E-2</v>
      </c>
      <c r="N36" s="67">
        <f t="shared" si="555"/>
        <v>2.5254924893096012E-2</v>
      </c>
      <c r="O36" s="120"/>
      <c r="P36" s="67">
        <f>P35/P$9</f>
        <v>2.316946383484331E-2</v>
      </c>
      <c r="Q36" s="67">
        <f t="shared" ref="Q36:T36" si="556">Q35/Q$9</f>
        <v>2.3281596452328159E-2</v>
      </c>
      <c r="R36" s="67">
        <f t="shared" si="556"/>
        <v>2.3357893086690704E-2</v>
      </c>
      <c r="S36" s="67">
        <f t="shared" si="556"/>
        <v>2.4726110772976262E-2</v>
      </c>
      <c r="T36" s="67">
        <f t="shared" si="556"/>
        <v>2.3624535315985129E-2</v>
      </c>
      <c r="U36" s="120"/>
      <c r="V36" s="67">
        <f>V35/V$9</f>
        <v>2.9431123648330983E-2</v>
      </c>
      <c r="W36" s="67">
        <f t="shared" ref="W36:Z36" si="557">W35/W$9</f>
        <v>4.3112933880164052E-2</v>
      </c>
      <c r="X36" s="67">
        <f t="shared" si="557"/>
        <v>3.7445602671794351E-2</v>
      </c>
      <c r="Y36" s="67">
        <f t="shared" si="557"/>
        <v>3.141967067200712E-2</v>
      </c>
      <c r="Z36" s="67">
        <f t="shared" si="557"/>
        <v>3.5139407875826388E-2</v>
      </c>
      <c r="AB36" s="67">
        <f>AB35/AB$9</f>
        <v>2.7172541431816268E-2</v>
      </c>
      <c r="AC36" s="67">
        <f t="shared" ref="AC36:AE36" si="558">AC35/AC$9</f>
        <v>2.2732562650321982E-2</v>
      </c>
      <c r="AD36" s="67">
        <f t="shared" si="558"/>
        <v>1.9198193111236588E-2</v>
      </c>
      <c r="AE36" s="67">
        <f t="shared" si="558"/>
        <v>1.5944339759385417E-2</v>
      </c>
      <c r="AF36" s="67">
        <f t="shared" ref="AF36" si="559">AF35/AF$9</f>
        <v>2.1070804967530558E-2</v>
      </c>
      <c r="AH36" s="67">
        <f>AH35/AH$9</f>
        <v>1.957465597174185E-2</v>
      </c>
      <c r="AI36" s="67">
        <f t="shared" ref="AI36:AL36" si="560">AI35/AI$9</f>
        <v>2.1267635291640344E-2</v>
      </c>
      <c r="AJ36" s="67">
        <f t="shared" si="560"/>
        <v>2.2609043617446978E-2</v>
      </c>
      <c r="AK36" s="67">
        <f t="shared" si="560"/>
        <v>1.8678074350786288E-2</v>
      </c>
      <c r="AL36" s="67">
        <f t="shared" si="560"/>
        <v>2.0495734262204048E-2</v>
      </c>
      <c r="AN36" s="67">
        <f>AN35/AN$9</f>
        <v>5.5226327070987263E-2</v>
      </c>
      <c r="AO36" s="67">
        <f t="shared" ref="AO36:AR36" si="561">AO35/AO$9</f>
        <v>1.7323016514609078E-2</v>
      </c>
      <c r="AP36" s="67">
        <f t="shared" si="561"/>
        <v>1.9036287923854849E-2</v>
      </c>
      <c r="AQ36" s="67">
        <f t="shared" si="561"/>
        <v>1.8863503222026949E-2</v>
      </c>
      <c r="AR36" s="67">
        <f t="shared" si="561"/>
        <v>2.7110050700864897E-2</v>
      </c>
      <c r="AS36" s="120"/>
      <c r="AT36" s="67">
        <f>AT35/AT$9</f>
        <v>1.4114817393505919E-2</v>
      </c>
      <c r="AU36" s="67">
        <f t="shared" ref="AU36:AV36" si="562">AU35/AU$9</f>
        <v>3.3315357421055784E-2</v>
      </c>
      <c r="AV36" s="264">
        <f t="shared" si="562"/>
        <v>2.2041475226623617E-2</v>
      </c>
      <c r="AW36" s="539">
        <v>2.1999999999999999E-2</v>
      </c>
      <c r="AX36" s="67">
        <f t="shared" ref="AX36" si="563">AX35/AX$9</f>
        <v>2.2994650071804693E-2</v>
      </c>
      <c r="AZ36" s="11">
        <f>AT36</f>
        <v>1.4114817393505919E-2</v>
      </c>
      <c r="BA36" s="11">
        <f t="shared" ref="BA36" si="564">AU36</f>
        <v>3.3315357421055784E-2</v>
      </c>
      <c r="BB36" s="11">
        <f t="shared" ref="BB36" si="565">AV36</f>
        <v>2.2041475226623617E-2</v>
      </c>
      <c r="BC36" s="11">
        <f t="shared" ref="BC36" si="566">AW36</f>
        <v>2.1999999999999999E-2</v>
      </c>
      <c r="BD36" s="67">
        <f t="shared" ref="BD36" si="567">BD35/BD$9</f>
        <v>2.3006552856193942E-2</v>
      </c>
      <c r="BF36" s="11">
        <f>AZ36</f>
        <v>1.4114817393505919E-2</v>
      </c>
      <c r="BG36" s="11">
        <f t="shared" ref="BG36" si="568">BA36</f>
        <v>3.3315357421055784E-2</v>
      </c>
      <c r="BH36" s="11">
        <f t="shared" ref="BH36" si="569">BB36</f>
        <v>2.2041475226623617E-2</v>
      </c>
      <c r="BI36" s="11">
        <f t="shared" ref="BI36" si="570">BC36</f>
        <v>2.1999999999999999E-2</v>
      </c>
      <c r="BJ36" s="67">
        <f t="shared" ref="BJ36" si="571">BJ35/BJ$9</f>
        <v>2.3006635870185435E-2</v>
      </c>
      <c r="BL36" s="11">
        <f>BF36</f>
        <v>1.4114817393505919E-2</v>
      </c>
      <c r="BM36" s="11">
        <f t="shared" ref="BM36" si="572">BG36</f>
        <v>3.3315357421055784E-2</v>
      </c>
      <c r="BN36" s="11">
        <f t="shared" ref="BN36" si="573">BH36</f>
        <v>2.2041475226623617E-2</v>
      </c>
      <c r="BO36" s="11">
        <f t="shared" ref="BO36" si="574">BI36</f>
        <v>2.1999999999999999E-2</v>
      </c>
      <c r="BP36" s="67">
        <f t="shared" ref="BP36" si="575">BP35/BP$9</f>
        <v>2.3007083646916043E-2</v>
      </c>
      <c r="BR36" s="11">
        <f>BL36</f>
        <v>1.4114817393505919E-2</v>
      </c>
      <c r="BS36" s="11">
        <f t="shared" ref="BS36" si="576">BM36</f>
        <v>3.3315357421055784E-2</v>
      </c>
      <c r="BT36" s="11">
        <f t="shared" ref="BT36" si="577">BN36</f>
        <v>2.2041475226623617E-2</v>
      </c>
      <c r="BU36" s="11">
        <f t="shared" ref="BU36" si="578">BO36</f>
        <v>2.1999999999999999E-2</v>
      </c>
      <c r="BV36" s="67">
        <f t="shared" ref="BV36" si="579">BV35/BV$9</f>
        <v>2.3007530363894746E-2</v>
      </c>
      <c r="BX36" s="11">
        <f>BR36</f>
        <v>1.4114817393505919E-2</v>
      </c>
      <c r="BY36" s="11">
        <f t="shared" ref="BY36" si="580">BS36</f>
        <v>3.3315357421055784E-2</v>
      </c>
      <c r="BZ36" s="11">
        <f t="shared" ref="BZ36" si="581">BT36</f>
        <v>2.2041475226623617E-2</v>
      </c>
      <c r="CA36" s="11">
        <f t="shared" ref="CA36" si="582">BU36</f>
        <v>2.1999999999999999E-2</v>
      </c>
      <c r="CB36" s="67">
        <f t="shared" ref="CB36" si="583">CB35/CB$9</f>
        <v>2.3007975995704918E-2</v>
      </c>
      <c r="CD36" s="11">
        <f>BX36</f>
        <v>1.4114817393505919E-2</v>
      </c>
      <c r="CE36" s="11">
        <f t="shared" ref="CE36" si="584">BY36</f>
        <v>3.3315357421055784E-2</v>
      </c>
      <c r="CF36" s="11">
        <f t="shared" ref="CF36" si="585">BZ36</f>
        <v>2.2041475226623617E-2</v>
      </c>
      <c r="CG36" s="11">
        <f t="shared" ref="CG36" si="586">CA36</f>
        <v>2.1999999999999999E-2</v>
      </c>
      <c r="CH36" s="67">
        <f t="shared" ref="CH36" si="587">CH35/CH$9</f>
        <v>2.3008420517179204E-2</v>
      </c>
      <c r="CJ36" s="11">
        <f>CD36</f>
        <v>1.4114817393505919E-2</v>
      </c>
      <c r="CK36" s="11">
        <f t="shared" ref="CK36" si="588">CE36</f>
        <v>3.3315357421055784E-2</v>
      </c>
      <c r="CL36" s="11">
        <f t="shared" ref="CL36" si="589">CF36</f>
        <v>2.2041475226623617E-2</v>
      </c>
      <c r="CM36" s="11">
        <f t="shared" ref="CM36" si="590">CG36</f>
        <v>2.1999999999999999E-2</v>
      </c>
      <c r="CN36" s="67">
        <f t="shared" ref="CN36" si="591">CN35/CN$9</f>
        <v>2.3008863903407201E-2</v>
      </c>
    </row>
    <row r="37" spans="2:93" ht="18" customHeight="1" x14ac:dyDescent="0.25">
      <c r="B37" s="14" t="s">
        <v>195</v>
      </c>
      <c r="J37" s="123">
        <f>J35-D35</f>
        <v>-696</v>
      </c>
      <c r="K37" s="123">
        <f t="shared" ref="K37" si="592">K35-E35</f>
        <v>-69</v>
      </c>
      <c r="L37" s="123">
        <f t="shared" ref="L37" si="593">L35-F35</f>
        <v>42</v>
      </c>
      <c r="M37" s="123">
        <f t="shared" ref="M37" si="594">M35-G35</f>
        <v>-150</v>
      </c>
      <c r="N37" s="123">
        <f t="shared" ref="N37" si="595">N35-H35</f>
        <v>-873</v>
      </c>
      <c r="O37" s="120"/>
      <c r="P37" s="123">
        <f>P35-J35</f>
        <v>12</v>
      </c>
      <c r="Q37" s="123">
        <f t="shared" ref="Q37" si="596">Q35-K35</f>
        <v>-2</v>
      </c>
      <c r="R37" s="123">
        <f t="shared" ref="R37" si="597">R35-L35</f>
        <v>-92</v>
      </c>
      <c r="S37" s="123">
        <f t="shared" ref="S37" si="598">S35-M35</f>
        <v>-29</v>
      </c>
      <c r="T37" s="123">
        <f t="shared" ref="T37" si="599">T35-N35</f>
        <v>-111</v>
      </c>
      <c r="U37" s="120"/>
      <c r="V37" s="123">
        <f>V35-P35</f>
        <v>1</v>
      </c>
      <c r="W37" s="123">
        <f t="shared" ref="W37" si="600">W35-Q35</f>
        <v>95</v>
      </c>
      <c r="X37" s="123">
        <f t="shared" ref="X37" si="601">X35-R35</f>
        <v>72</v>
      </c>
      <c r="Y37" s="123">
        <f t="shared" ref="Y37" si="602">Y35-S35</f>
        <v>28</v>
      </c>
      <c r="Z37" s="123">
        <f t="shared" ref="Z37" si="603">Z35-T35</f>
        <v>196</v>
      </c>
      <c r="AB37" s="123">
        <f>AB35-V35</f>
        <v>10</v>
      </c>
      <c r="AC37" s="123">
        <f t="shared" ref="AC37" si="604">AC35-W35</f>
        <v>-138</v>
      </c>
      <c r="AD37" s="123">
        <f t="shared" ref="AD37" si="605">AD35-X35</f>
        <v>-132</v>
      </c>
      <c r="AE37" s="123">
        <f t="shared" ref="AE37" si="606">AE35-Y35</f>
        <v>-133</v>
      </c>
      <c r="AF37" s="123">
        <f t="shared" ref="AF37" si="607">AF35-Z35</f>
        <v>-393</v>
      </c>
      <c r="AH37" s="123">
        <f>AH35-AB35</f>
        <v>-57</v>
      </c>
      <c r="AI37" s="123">
        <f t="shared" ref="AI37" si="608">AI35-AC35</f>
        <v>10</v>
      </c>
      <c r="AJ37" s="123">
        <f t="shared" ref="AJ37" si="609">AJ35-AD35</f>
        <v>101</v>
      </c>
      <c r="AK37" s="123">
        <f t="shared" ref="AK37" si="610">AK35-AE35</f>
        <v>90</v>
      </c>
      <c r="AL37" s="123">
        <f t="shared" ref="AL37" si="611">AL35-AF35</f>
        <v>144</v>
      </c>
      <c r="AN37" s="123">
        <f>AN35-AH35</f>
        <v>610</v>
      </c>
      <c r="AO37" s="240">
        <f t="shared" ref="AO37" si="612">AO35-AI35</f>
        <v>-3</v>
      </c>
      <c r="AP37" s="123">
        <f t="shared" ref="AP37" si="613">AP35-AJ35</f>
        <v>-19</v>
      </c>
      <c r="AQ37" s="240">
        <f t="shared" ref="AQ37" si="614">AQ35-AK35</f>
        <v>12</v>
      </c>
      <c r="AR37" s="240">
        <f t="shared" ref="AR37" si="615">AR35-AL35</f>
        <v>600</v>
      </c>
      <c r="AS37" s="120"/>
      <c r="AT37" s="123">
        <f>AT35-AN35</f>
        <v>-653</v>
      </c>
      <c r="AU37" s="240">
        <f t="shared" ref="AU37" si="616">AU35-AO35</f>
        <v>256</v>
      </c>
      <c r="AV37" s="303">
        <f t="shared" ref="AV37" si="617">AV35-AP35</f>
        <v>35</v>
      </c>
      <c r="AW37" s="123">
        <f t="shared" ref="AW37:AX37" si="618">AW35-AQ35</f>
        <v>45.11949999999996</v>
      </c>
      <c r="AX37" s="123">
        <f t="shared" si="618"/>
        <v>-316.88049999999998</v>
      </c>
      <c r="AZ37" s="123">
        <f>AZ35-AT35</f>
        <v>-5.7157953035001583</v>
      </c>
      <c r="BA37" s="123">
        <f t="shared" ref="BA37" si="619">BA35-AU35</f>
        <v>-8.0223380669901871</v>
      </c>
      <c r="BB37" s="123">
        <f t="shared" ref="BB37" si="620">BB35-AV35</f>
        <v>1.6727275549484375</v>
      </c>
      <c r="BC37" s="123">
        <f t="shared" ref="BC37:BD37" si="621">BC35-AW35</f>
        <v>5.8593590000000404</v>
      </c>
      <c r="BD37" s="123">
        <f t="shared" si="621"/>
        <v>-6.2060468155418675</v>
      </c>
      <c r="BF37" s="123">
        <f>BF35-AZ35</f>
        <v>10.269388904262087</v>
      </c>
      <c r="BG37" s="123">
        <f t="shared" ref="BG37" si="622">BG35-BA35</f>
        <v>25.891929115646349</v>
      </c>
      <c r="BH37" s="123">
        <f t="shared" ref="BH37" si="623">BH35-BB35</f>
        <v>16.81388374793903</v>
      </c>
      <c r="BI37" s="123">
        <f t="shared" ref="BI37" si="624">BI35-BC35</f>
        <v>17.499605222430375</v>
      </c>
      <c r="BJ37" s="123">
        <f t="shared" ref="BJ37" si="625">BJ35-BD35</f>
        <v>70.474806990277784</v>
      </c>
      <c r="BL37" s="123">
        <f>BL35-BF35</f>
        <v>9.3030080054578548</v>
      </c>
      <c r="BM37" s="123">
        <f t="shared" ref="BM37" si="626">BM35-BG35</f>
        <v>23.589783435988579</v>
      </c>
      <c r="BN37" s="123">
        <f t="shared" ref="BN37" si="627">BN35-BH35</f>
        <v>15.310926588611153</v>
      </c>
      <c r="BO37" s="123">
        <f t="shared" ref="BO37" si="628">BO35-BI35</f>
        <v>16.099209695142576</v>
      </c>
      <c r="BP37" s="123">
        <f t="shared" ref="BP37" si="629">BP35-BJ35</f>
        <v>64.302927725200334</v>
      </c>
      <c r="BR37" s="123">
        <f>BR35-BL35</f>
        <v>9.6995689427711795</v>
      </c>
      <c r="BS37" s="123">
        <f t="shared" ref="BS37" si="630">BS35-BM35</f>
        <v>24.600458657248168</v>
      </c>
      <c r="BT37" s="123">
        <f t="shared" ref="BT37" si="631">BT35-BN35</f>
        <v>15.965276338415208</v>
      </c>
      <c r="BU37" s="123">
        <f t="shared" ref="BU37" si="632">BU35-BO35</f>
        <v>16.792648984826315</v>
      </c>
      <c r="BV37" s="123">
        <f t="shared" ref="BV37" si="633">BV35-BP35</f>
        <v>67.0579529232607</v>
      </c>
      <c r="BX37" s="123">
        <f>BX35-BR35</f>
        <v>10.113610756260584</v>
      </c>
      <c r="BY37" s="123">
        <f t="shared" ref="BY37" si="634">BY35-BS35</f>
        <v>25.655885193437712</v>
      </c>
      <c r="BZ37" s="123">
        <f t="shared" ref="BZ37" si="635">BZ35-BT35</f>
        <v>16.648531686786328</v>
      </c>
      <c r="CA37" s="123">
        <f t="shared" ref="CA37" si="636">CA35-BU35</f>
        <v>17.516970911733381</v>
      </c>
      <c r="CB37" s="123">
        <f t="shared" ref="CB37" si="637">CB35-BV35</f>
        <v>69.934998548217891</v>
      </c>
      <c r="CD37" s="123">
        <f>CD35-BX35</f>
        <v>10.545924784856311</v>
      </c>
      <c r="CE37" s="123">
        <f t="shared" ref="CE37" si="638">CE35-BY35</f>
        <v>26.758096617716319</v>
      </c>
      <c r="CF37" s="123">
        <f t="shared" ref="CF37" si="639">CF35-BZ35</f>
        <v>17.362003233061898</v>
      </c>
      <c r="CG37" s="123">
        <f t="shared" ref="CG37" si="640">CG35-CA35</f>
        <v>18.273586330254261</v>
      </c>
      <c r="CH37" s="123">
        <f t="shared" ref="CH37" si="641">CH35-CB35</f>
        <v>72.93961096588896</v>
      </c>
      <c r="CJ37" s="123">
        <f>CJ35-CD35</f>
        <v>10.997338947492779</v>
      </c>
      <c r="CK37" s="123">
        <f t="shared" ref="CK37" si="642">CK35-CE35</f>
        <v>27.909220805393829</v>
      </c>
      <c r="CL37" s="123">
        <f t="shared" ref="CL37" si="643">CL35-CF35</f>
        <v>18.107062227485301</v>
      </c>
      <c r="CM37" s="123">
        <f t="shared" ref="CM37" si="644">CM35-CG35</f>
        <v>19.063971818269351</v>
      </c>
      <c r="CN37" s="123">
        <f t="shared" ref="CN37" si="645">CN35-CH35</f>
        <v>76.077593798641146</v>
      </c>
    </row>
    <row r="38" spans="2:93" ht="18" customHeight="1" x14ac:dyDescent="0.25">
      <c r="B38" s="14"/>
      <c r="J38" s="123"/>
      <c r="K38" s="123"/>
      <c r="L38" s="123"/>
      <c r="M38" s="123"/>
      <c r="N38" s="123"/>
      <c r="O38" s="120"/>
      <c r="P38" s="67"/>
      <c r="Q38" s="67"/>
      <c r="R38" s="67"/>
      <c r="S38" s="67"/>
      <c r="T38" s="67"/>
      <c r="U38" s="120"/>
      <c r="V38" s="67"/>
      <c r="W38" s="67"/>
      <c r="X38" s="67"/>
      <c r="Y38" s="67"/>
      <c r="Z38" s="67"/>
      <c r="AB38" s="156"/>
      <c r="AC38" s="156"/>
      <c r="AD38" s="156"/>
      <c r="AE38" s="67"/>
      <c r="AF38" s="156"/>
      <c r="AH38" s="156"/>
      <c r="AI38" s="156"/>
      <c r="AJ38" s="156"/>
      <c r="AK38" s="67"/>
      <c r="AL38" s="156"/>
      <c r="AN38" s="156"/>
      <c r="AO38" s="245"/>
      <c r="AP38" s="156"/>
      <c r="AQ38" s="239"/>
      <c r="AR38" s="245"/>
      <c r="AT38" s="156"/>
      <c r="AU38" s="245"/>
      <c r="AV38" s="305"/>
      <c r="AW38" s="67"/>
      <c r="AX38" s="156"/>
      <c r="AZ38" s="156"/>
      <c r="BA38" s="156"/>
      <c r="BB38" s="156"/>
      <c r="BC38" s="67"/>
      <c r="BD38" s="156"/>
      <c r="BF38" s="156"/>
      <c r="BG38" s="156"/>
      <c r="BH38" s="156"/>
      <c r="BI38" s="67"/>
      <c r="BJ38" s="156"/>
      <c r="BL38" s="156"/>
      <c r="BM38" s="156"/>
      <c r="BN38" s="156"/>
      <c r="BO38" s="67"/>
      <c r="BP38" s="156"/>
      <c r="BR38" s="156"/>
      <c r="BS38" s="156"/>
      <c r="BT38" s="156"/>
      <c r="BU38" s="67"/>
      <c r="BV38" s="156"/>
      <c r="BX38" s="156"/>
      <c r="BY38" s="156"/>
      <c r="BZ38" s="156"/>
      <c r="CA38" s="67"/>
      <c r="CB38" s="156"/>
      <c r="CD38" s="156"/>
      <c r="CE38" s="156"/>
      <c r="CF38" s="156"/>
      <c r="CG38" s="67"/>
      <c r="CH38" s="156"/>
      <c r="CJ38" s="156"/>
      <c r="CK38" s="156"/>
      <c r="CL38" s="156"/>
      <c r="CM38" s="67"/>
      <c r="CN38" s="156"/>
    </row>
    <row r="39" spans="2:93" ht="18" customHeight="1" x14ac:dyDescent="0.25">
      <c r="B39" s="155" t="s">
        <v>196</v>
      </c>
      <c r="C39" s="13"/>
      <c r="D39" s="73">
        <f t="shared" ref="D39:H39" si="646">D21+D32+D25+D29+D35</f>
        <v>2641</v>
      </c>
      <c r="E39" s="73">
        <f t="shared" si="646"/>
        <v>2331</v>
      </c>
      <c r="F39" s="73">
        <f t="shared" si="646"/>
        <v>2226</v>
      </c>
      <c r="G39" s="73">
        <f t="shared" si="646"/>
        <v>2544</v>
      </c>
      <c r="H39" s="73">
        <f t="shared" si="646"/>
        <v>9742</v>
      </c>
      <c r="I39" s="13"/>
      <c r="J39" s="73">
        <f t="shared" ref="J39:N39" si="647">J21+J32+J25+J29+J35</f>
        <v>2185</v>
      </c>
      <c r="K39" s="73">
        <f t="shared" si="647"/>
        <v>2422</v>
      </c>
      <c r="L39" s="73">
        <f t="shared" si="647"/>
        <v>2353</v>
      </c>
      <c r="M39" s="73">
        <f t="shared" si="647"/>
        <v>2472</v>
      </c>
      <c r="N39" s="73">
        <f t="shared" si="647"/>
        <v>9432</v>
      </c>
      <c r="O39" s="122"/>
      <c r="P39" s="73">
        <f t="shared" ref="P39:T39" si="648">P21+P32+P25+P29+P35</f>
        <v>2256</v>
      </c>
      <c r="Q39" s="73">
        <f t="shared" si="648"/>
        <v>2278</v>
      </c>
      <c r="R39" s="73">
        <f t="shared" si="648"/>
        <v>2169</v>
      </c>
      <c r="S39" s="73">
        <f t="shared" si="648"/>
        <v>2177</v>
      </c>
      <c r="T39" s="73">
        <f t="shared" si="648"/>
        <v>8880</v>
      </c>
      <c r="U39" s="122"/>
      <c r="V39" s="73">
        <f>V21+V32+V25+V29+V35</f>
        <v>1965</v>
      </c>
      <c r="W39" s="73">
        <f t="shared" ref="W39:BP39" si="649">W21+W32+W25+W29+W35</f>
        <v>2100</v>
      </c>
      <c r="X39" s="73">
        <f t="shared" si="649"/>
        <v>1977</v>
      </c>
      <c r="Y39" s="73">
        <f t="shared" si="649"/>
        <v>2071</v>
      </c>
      <c r="Z39" s="73">
        <f t="shared" si="649"/>
        <v>8113</v>
      </c>
      <c r="AA39" s="13"/>
      <c r="AB39" s="73">
        <f t="shared" si="649"/>
        <v>2061</v>
      </c>
      <c r="AC39" s="73">
        <f t="shared" si="649"/>
        <v>2219</v>
      </c>
      <c r="AD39" s="73">
        <f t="shared" si="649"/>
        <v>2116</v>
      </c>
      <c r="AE39" s="73">
        <f t="shared" si="649"/>
        <v>2184</v>
      </c>
      <c r="AF39" s="73">
        <f t="shared" si="649"/>
        <v>8580</v>
      </c>
      <c r="AG39" s="13"/>
      <c r="AH39" s="73">
        <f t="shared" si="649"/>
        <v>2175</v>
      </c>
      <c r="AI39" s="73">
        <f t="shared" si="649"/>
        <v>2328</v>
      </c>
      <c r="AJ39" s="73">
        <f t="shared" si="649"/>
        <v>2367</v>
      </c>
      <c r="AK39" s="73">
        <f t="shared" si="649"/>
        <v>3303</v>
      </c>
      <c r="AL39" s="73">
        <f t="shared" si="649"/>
        <v>10173</v>
      </c>
      <c r="AM39" s="13"/>
      <c r="AN39" s="73">
        <f t="shared" si="649"/>
        <v>3028</v>
      </c>
      <c r="AO39" s="73">
        <f t="shared" si="649"/>
        <v>2601</v>
      </c>
      <c r="AP39" s="73">
        <f t="shared" si="649"/>
        <v>2778</v>
      </c>
      <c r="AQ39" s="73">
        <f t="shared" si="649"/>
        <v>2920</v>
      </c>
      <c r="AR39" s="73">
        <f t="shared" si="649"/>
        <v>11327</v>
      </c>
      <c r="AS39" s="13"/>
      <c r="AT39" s="73">
        <f t="shared" si="649"/>
        <v>2618</v>
      </c>
      <c r="AU39" s="73">
        <f t="shared" si="649"/>
        <v>3057</v>
      </c>
      <c r="AV39" s="306">
        <f t="shared" si="649"/>
        <v>2893</v>
      </c>
      <c r="AW39" s="73">
        <f t="shared" si="649"/>
        <v>2936.9559999999997</v>
      </c>
      <c r="AX39" s="73">
        <f t="shared" ref="AX39" si="650">AX21+AX32+AX25+AX29+AX35</f>
        <v>11504.956</v>
      </c>
      <c r="AY39" s="13"/>
      <c r="AZ39" s="73">
        <f t="shared" si="649"/>
        <v>2550.6439347939749</v>
      </c>
      <c r="BA39" s="73">
        <f t="shared" si="649"/>
        <v>3026.2580848487032</v>
      </c>
      <c r="BB39" s="73">
        <f t="shared" si="649"/>
        <v>2844.7199981331182</v>
      </c>
      <c r="BC39" s="73">
        <f t="shared" si="649"/>
        <v>2980.4401551000001</v>
      </c>
      <c r="BD39" s="73">
        <f t="shared" ref="BD39" si="651">BD21+BD32+BD25+BD29+BD35</f>
        <v>11402.062172875794</v>
      </c>
      <c r="BE39" s="13"/>
      <c r="BF39" s="73">
        <f t="shared" si="649"/>
        <v>2667.9693532651013</v>
      </c>
      <c r="BG39" s="73">
        <f t="shared" si="649"/>
        <v>3165.8036188533451</v>
      </c>
      <c r="BH39" s="73">
        <f t="shared" si="649"/>
        <v>2975.4337979000202</v>
      </c>
      <c r="BI39" s="73">
        <f t="shared" si="649"/>
        <v>3116.7281053390357</v>
      </c>
      <c r="BJ39" s="73">
        <f t="shared" si="649"/>
        <v>11925.9348753575</v>
      </c>
      <c r="BK39" s="13"/>
      <c r="BL39" s="73">
        <f t="shared" si="649"/>
        <v>2773.6870344415938</v>
      </c>
      <c r="BM39" s="73">
        <f t="shared" si="649"/>
        <v>3292.3521070645415</v>
      </c>
      <c r="BN39" s="73">
        <f t="shared" si="649"/>
        <v>3093.8825831551376</v>
      </c>
      <c r="BO39" s="73">
        <f t="shared" si="649"/>
        <v>3241.5329093246501</v>
      </c>
      <c r="BP39" s="73">
        <f t="shared" si="649"/>
        <v>12401.454633985923</v>
      </c>
      <c r="BQ39" s="13"/>
      <c r="BR39" s="73">
        <f t="shared" ref="BR39:BV39" si="652">BR21+BR32+BR25+BR29+BR35</f>
        <v>2883.7793481661324</v>
      </c>
      <c r="BS39" s="73">
        <f t="shared" si="652"/>
        <v>3424.1807119615478</v>
      </c>
      <c r="BT39" s="73">
        <f t="shared" si="652"/>
        <v>3217.2546064995049</v>
      </c>
      <c r="BU39" s="73">
        <f t="shared" si="652"/>
        <v>3371.5672987500166</v>
      </c>
      <c r="BV39" s="73">
        <f t="shared" si="652"/>
        <v>12896.7819653772</v>
      </c>
      <c r="BW39" s="13"/>
      <c r="BX39" s="73">
        <f t="shared" ref="BX39:CB39" si="653">BX21+BX32+BX25+BX29+BX35</f>
        <v>2998.4336499914448</v>
      </c>
      <c r="BY39" s="73">
        <f t="shared" si="653"/>
        <v>3561.517300301573</v>
      </c>
      <c r="BZ39" s="73">
        <f t="shared" si="653"/>
        <v>3345.7615492905466</v>
      </c>
      <c r="CA39" s="73">
        <f t="shared" si="653"/>
        <v>3507.0580189760558</v>
      </c>
      <c r="CB39" s="73">
        <f t="shared" si="653"/>
        <v>13412.770518559619</v>
      </c>
      <c r="CC39" s="13"/>
      <c r="CD39" s="73">
        <f t="shared" ref="CD39:CH39" si="654">CD21+CD32+CD25+CD29+CD35</f>
        <v>3117.8455379504148</v>
      </c>
      <c r="CE39" s="73">
        <f t="shared" si="654"/>
        <v>3704.5998337893343</v>
      </c>
      <c r="CF39" s="73">
        <f t="shared" si="654"/>
        <v>3479.6244372569813</v>
      </c>
      <c r="CG39" s="73">
        <f t="shared" si="654"/>
        <v>3648.2419022381291</v>
      </c>
      <c r="CH39" s="73">
        <f t="shared" si="654"/>
        <v>13950.311711234859</v>
      </c>
      <c r="CI39" s="13"/>
      <c r="CJ39" s="73">
        <f t="shared" ref="CJ39:CN39" si="655">CJ21+CJ32+CJ25+CJ29+CJ35</f>
        <v>3242.2192227851069</v>
      </c>
      <c r="CK39" s="73">
        <f t="shared" si="655"/>
        <v>3853.6768254327148</v>
      </c>
      <c r="CL39" s="73">
        <f t="shared" si="655"/>
        <v>3619.0740614705546</v>
      </c>
      <c r="CM39" s="73">
        <f t="shared" si="655"/>
        <v>3795.3663251218086</v>
      </c>
      <c r="CN39" s="73">
        <f t="shared" si="655"/>
        <v>14510.336434810186</v>
      </c>
    </row>
    <row r="40" spans="2:93" ht="18" customHeight="1" x14ac:dyDescent="0.25">
      <c r="B40" s="14" t="s">
        <v>197</v>
      </c>
      <c r="D40" s="156">
        <f>D39/D9</f>
        <v>0.26888617389533698</v>
      </c>
      <c r="E40" s="156">
        <f>E39/E9</f>
        <v>0.20571882446386019</v>
      </c>
      <c r="F40" s="156">
        <f>F39/F9</f>
        <v>0.19504074301235433</v>
      </c>
      <c r="G40" s="156">
        <f>G39/G9</f>
        <v>0.19727047146401985</v>
      </c>
      <c r="H40" s="156">
        <f>H39/H9</f>
        <v>0.2142888566275131</v>
      </c>
      <c r="J40" s="156">
        <f>J39/J9</f>
        <v>0.1699199004588226</v>
      </c>
      <c r="K40" s="156">
        <f>K39/K9</f>
        <v>0.17286417814574262</v>
      </c>
      <c r="L40" s="156">
        <f>L39/L9</f>
        <v>0.17416728349370836</v>
      </c>
      <c r="M40" s="156">
        <f>M39/M9</f>
        <v>0.17236089806163715</v>
      </c>
      <c r="N40" s="156">
        <f>N39/N9</f>
        <v>0.17236212126749753</v>
      </c>
      <c r="O40" s="120"/>
      <c r="P40" s="156">
        <f>P39/P9</f>
        <v>0.16753304619040546</v>
      </c>
      <c r="Q40" s="156">
        <f>Q39/Q9</f>
        <v>0.15784368070953436</v>
      </c>
      <c r="R40" s="156">
        <f>R39/R9</f>
        <v>0.17001097350681926</v>
      </c>
      <c r="S40" s="156">
        <f>S39/S9</f>
        <v>0.16562690200852101</v>
      </c>
      <c r="T40" s="156">
        <f>T39/T9</f>
        <v>0.16505576208178438</v>
      </c>
      <c r="U40" s="120"/>
      <c r="V40" s="156">
        <f>V39/V9</f>
        <v>0.18476727785613539</v>
      </c>
      <c r="W40" s="156">
        <f>W39/W9</f>
        <v>0.21006301890567169</v>
      </c>
      <c r="X40" s="156">
        <f>X39/X9</f>
        <v>0.20008096346523632</v>
      </c>
      <c r="Y40" s="156">
        <f>Y39/Y9</f>
        <v>0.18433466844681798</v>
      </c>
      <c r="Z40" s="156">
        <f>Z39/Z9</f>
        <v>0.1943326626425218</v>
      </c>
      <c r="AB40" s="156">
        <f>AB39/AB9</f>
        <v>0.17338268696895767</v>
      </c>
      <c r="AC40" s="156">
        <f>AC39/AC9</f>
        <v>0.17216230894561255</v>
      </c>
      <c r="AD40" s="156">
        <f>AD39/AD9</f>
        <v>0.17068645640074212</v>
      </c>
      <c r="AE40" s="156">
        <f>AE39/AE9</f>
        <v>0.15828380924771707</v>
      </c>
      <c r="AF40" s="156">
        <f>AF39/AF9</f>
        <v>0.16833101175178042</v>
      </c>
      <c r="AH40" s="156">
        <f>AH39/AH9</f>
        <v>0.16005592758849069</v>
      </c>
      <c r="AI40" s="156">
        <f>AI39/AI9</f>
        <v>0.16340282164666245</v>
      </c>
      <c r="AJ40" s="156">
        <f>AJ39/AJ9</f>
        <v>0.15786314525810324</v>
      </c>
      <c r="AK40" s="156">
        <f>AK39/AK9</f>
        <v>0.19901186961499065</v>
      </c>
      <c r="AL40" s="156">
        <f>AL39/AL9</f>
        <v>0.17118481498308849</v>
      </c>
      <c r="AN40" s="156">
        <f>AN39/AN9</f>
        <v>0.19089648215861807</v>
      </c>
      <c r="AO40" s="245">
        <f>AO39/AO9</f>
        <v>0.15019055318166069</v>
      </c>
      <c r="AP40" s="156">
        <f>AP39/AP9</f>
        <v>0.1652587745389649</v>
      </c>
      <c r="AQ40" s="245">
        <f>AQ39/AQ9</f>
        <v>0.17106033977738722</v>
      </c>
      <c r="AR40" s="245">
        <f>AR39/AR9</f>
        <v>0.16890844020280346</v>
      </c>
      <c r="AT40" s="156">
        <f>AT39/AT9</f>
        <v>0.16570669029685423</v>
      </c>
      <c r="AU40" s="245">
        <f>AU39/AU9</f>
        <v>0.18317454610821499</v>
      </c>
      <c r="AV40" s="305">
        <f>AV39/AV9</f>
        <v>0.17962250093132995</v>
      </c>
      <c r="AW40" s="156">
        <f>AW39/AW9</f>
        <v>0.17599999999999999</v>
      </c>
      <c r="AX40" s="156">
        <f>AX39/AX9</f>
        <v>0.17623676017233125</v>
      </c>
      <c r="AZ40" s="156">
        <f>AZ39/AZ9</f>
        <v>0.16569024621811509</v>
      </c>
      <c r="BA40" s="156">
        <f>BA39/BA9</f>
        <v>0.18398718916651688</v>
      </c>
      <c r="BB40" s="156">
        <f>BB39/BB9</f>
        <v>0.17579652303489385</v>
      </c>
      <c r="BC40" s="156">
        <f>BC39/BC9</f>
        <v>0.17579999999999998</v>
      </c>
      <c r="BD40" s="156">
        <f>BD39/BD9</f>
        <v>0.17547647690980303</v>
      </c>
      <c r="BF40" s="156">
        <f>BF39/BF9</f>
        <v>0.16549024621811509</v>
      </c>
      <c r="BG40" s="156">
        <f>BG39/BG9</f>
        <v>0.1837871891665169</v>
      </c>
      <c r="BH40" s="156">
        <f>BH39/BH9</f>
        <v>0.17559652303489384</v>
      </c>
      <c r="BI40" s="156">
        <f>BI39/BI9</f>
        <v>0.17560000000000001</v>
      </c>
      <c r="BJ40" s="156">
        <f>BJ39/BJ9</f>
        <v>0.17527641420938486</v>
      </c>
      <c r="BL40" s="156">
        <f>BL39/BL9</f>
        <v>0.16529024621811508</v>
      </c>
      <c r="BM40" s="156">
        <f>BM39/BM9</f>
        <v>0.18358718916651687</v>
      </c>
      <c r="BN40" s="156">
        <f>BN39/BN9</f>
        <v>0.17539652303489384</v>
      </c>
      <c r="BO40" s="156">
        <f>BO39/BO9</f>
        <v>0.1754</v>
      </c>
      <c r="BP40" s="156">
        <f>BP39/BP9</f>
        <v>0.17507691409635798</v>
      </c>
      <c r="BR40" s="156">
        <f>BR39/BR9</f>
        <v>0.16509024621811508</v>
      </c>
      <c r="BS40" s="156">
        <f>BS39/BS9</f>
        <v>0.18338718916651686</v>
      </c>
      <c r="BT40" s="156">
        <f>BT39/BT9</f>
        <v>0.17519652303489383</v>
      </c>
      <c r="BU40" s="156">
        <f>BU39/BU9</f>
        <v>0.17520000000000002</v>
      </c>
      <c r="BV40" s="156">
        <f>BV39/BV9</f>
        <v>0.17487741441907406</v>
      </c>
      <c r="BX40" s="156">
        <f>BX39/BX9</f>
        <v>0.1648902462181151</v>
      </c>
      <c r="BY40" s="156">
        <f>BY39/BY9</f>
        <v>0.18318718916651686</v>
      </c>
      <c r="BZ40" s="156">
        <f>BZ39/BZ9</f>
        <v>0.17499652303489382</v>
      </c>
      <c r="CA40" s="156">
        <f>CA39/CA9</f>
        <v>0.17500000000000002</v>
      </c>
      <c r="CB40" s="156">
        <f>CB39/CB9</f>
        <v>0.17467791511204614</v>
      </c>
      <c r="CD40" s="156">
        <f>CD39/CD9</f>
        <v>0.16469024621811509</v>
      </c>
      <c r="CE40" s="156">
        <f>CE39/CE9</f>
        <v>0.18298718916651691</v>
      </c>
      <c r="CF40" s="156">
        <f>CF39/CF9</f>
        <v>0.17479652303489382</v>
      </c>
      <c r="CG40" s="156">
        <f>CG39/CG9</f>
        <v>0.17480000000000001</v>
      </c>
      <c r="CH40" s="156">
        <f>CH39/CH9</f>
        <v>0.17447841611034279</v>
      </c>
      <c r="CJ40" s="156">
        <f>CJ39/CJ9</f>
        <v>0.16449024621811509</v>
      </c>
      <c r="CK40" s="156">
        <f>CK39/CK9</f>
        <v>0.18278718916651684</v>
      </c>
      <c r="CL40" s="156">
        <f>CL39/CL9</f>
        <v>0.17459652303489384</v>
      </c>
      <c r="CM40" s="156">
        <f>CM39/CM9</f>
        <v>0.17460000000000001</v>
      </c>
      <c r="CN40" s="156">
        <f>CN39/CN9</f>
        <v>0.17427891734960649</v>
      </c>
    </row>
    <row r="41" spans="2:93" ht="18" customHeight="1" x14ac:dyDescent="0.25">
      <c r="B41" s="14"/>
      <c r="D41" s="120"/>
      <c r="E41" s="120"/>
      <c r="F41" s="120"/>
      <c r="G41" s="120"/>
      <c r="H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94"/>
      <c r="U41" s="120"/>
      <c r="V41" s="120"/>
      <c r="W41" s="120"/>
      <c r="X41" s="120"/>
      <c r="Y41" s="120"/>
      <c r="Z41" s="194"/>
      <c r="AA41" s="120"/>
      <c r="AB41" s="120"/>
      <c r="AC41" s="120"/>
      <c r="AD41" s="120"/>
      <c r="AE41" s="120"/>
      <c r="AF41" s="194"/>
      <c r="AG41" s="120"/>
      <c r="AH41" s="120"/>
      <c r="AI41" s="120"/>
      <c r="AJ41" s="120"/>
      <c r="AK41" s="195"/>
      <c r="AL41" s="194"/>
      <c r="AM41" s="120"/>
      <c r="AN41" s="120"/>
      <c r="AO41" s="237"/>
      <c r="AP41" s="120"/>
      <c r="AQ41" s="284"/>
      <c r="AR41" s="285"/>
      <c r="AS41" s="120"/>
      <c r="AT41" s="120"/>
      <c r="AU41" s="237"/>
      <c r="AV41" s="262"/>
      <c r="AW41" s="120"/>
      <c r="AX41" s="194"/>
      <c r="AY41" s="120"/>
      <c r="AZ41" s="120"/>
      <c r="BA41" s="120"/>
      <c r="BB41" s="120"/>
      <c r="BC41" s="120"/>
      <c r="BD41" s="194"/>
      <c r="BE41" s="120"/>
      <c r="BF41" s="120"/>
      <c r="BG41" s="120"/>
      <c r="BH41" s="120"/>
      <c r="BI41" s="120"/>
      <c r="BJ41" s="194"/>
      <c r="BK41" s="120"/>
      <c r="BL41" s="120"/>
      <c r="BM41" s="120"/>
      <c r="BN41" s="120"/>
      <c r="BO41" s="120"/>
      <c r="BP41" s="194"/>
      <c r="BQ41" s="120"/>
      <c r="BR41" s="120"/>
      <c r="BS41" s="120"/>
      <c r="BT41" s="120"/>
      <c r="BU41" s="120"/>
      <c r="BV41" s="194"/>
      <c r="BW41" s="120"/>
      <c r="BX41" s="120"/>
      <c r="BY41" s="120"/>
      <c r="BZ41" s="120"/>
      <c r="CA41" s="120"/>
      <c r="CB41" s="194"/>
      <c r="CC41" s="120"/>
      <c r="CD41" s="120"/>
      <c r="CE41" s="120"/>
      <c r="CF41" s="120"/>
      <c r="CG41" s="120"/>
      <c r="CH41" s="194"/>
      <c r="CI41" s="120"/>
      <c r="CJ41" s="120"/>
      <c r="CK41" s="120"/>
      <c r="CL41" s="120"/>
      <c r="CM41" s="120"/>
      <c r="CN41" s="194"/>
    </row>
    <row r="42" spans="2:93" ht="18" customHeight="1" x14ac:dyDescent="0.25">
      <c r="B42" s="155" t="s">
        <v>127</v>
      </c>
      <c r="C42" s="13"/>
      <c r="D42" s="73">
        <f t="shared" ref="D42:H42" si="656">D17-D39</f>
        <v>380</v>
      </c>
      <c r="E42" s="73">
        <f t="shared" si="656"/>
        <v>1184</v>
      </c>
      <c r="F42" s="73">
        <f t="shared" si="656"/>
        <v>1509</v>
      </c>
      <c r="G42" s="73">
        <f t="shared" si="656"/>
        <v>1387</v>
      </c>
      <c r="H42" s="73">
        <f t="shared" si="656"/>
        <v>4460</v>
      </c>
      <c r="I42" s="13"/>
      <c r="J42" s="73">
        <f t="shared" ref="J42:N42" si="657">J17-J39</f>
        <v>2108</v>
      </c>
      <c r="K42" s="73">
        <f t="shared" si="657"/>
        <v>2167</v>
      </c>
      <c r="L42" s="73">
        <f t="shared" si="657"/>
        <v>2135</v>
      </c>
      <c r="M42" s="73">
        <f t="shared" si="657"/>
        <v>1883</v>
      </c>
      <c r="N42" s="73">
        <f t="shared" si="657"/>
        <v>8293</v>
      </c>
      <c r="O42" s="122"/>
      <c r="P42" s="73">
        <f t="shared" ref="P42:T42" si="658">P17-P39</f>
        <v>2207</v>
      </c>
      <c r="Q42" s="73">
        <f t="shared" si="658"/>
        <v>2213</v>
      </c>
      <c r="R42" s="73">
        <f t="shared" si="658"/>
        <v>2020</v>
      </c>
      <c r="S42" s="73">
        <f t="shared" si="658"/>
        <v>1850</v>
      </c>
      <c r="T42" s="73">
        <f t="shared" si="658"/>
        <v>8290</v>
      </c>
      <c r="U42" s="122"/>
      <c r="V42" s="73">
        <f>V17-V39</f>
        <v>1404</v>
      </c>
      <c r="W42" s="73">
        <f t="shared" ref="W42:AV42" si="659">W17-W39</f>
        <v>784</v>
      </c>
      <c r="X42" s="73">
        <f t="shared" si="659"/>
        <v>985</v>
      </c>
      <c r="Y42" s="73">
        <f t="shared" si="659"/>
        <v>1380</v>
      </c>
      <c r="Z42" s="73">
        <f t="shared" si="659"/>
        <v>4553</v>
      </c>
      <c r="AA42" s="13"/>
      <c r="AB42" s="73">
        <f t="shared" si="659"/>
        <v>1814</v>
      </c>
      <c r="AC42" s="73">
        <f t="shared" si="659"/>
        <v>1789</v>
      </c>
      <c r="AD42" s="73">
        <f t="shared" si="659"/>
        <v>1664</v>
      </c>
      <c r="AE42" s="73">
        <f t="shared" si="659"/>
        <v>1611</v>
      </c>
      <c r="AF42" s="73">
        <f t="shared" si="659"/>
        <v>6878</v>
      </c>
      <c r="AG42" s="13"/>
      <c r="AH42" s="73">
        <f t="shared" si="659"/>
        <v>1855</v>
      </c>
      <c r="AI42" s="73">
        <f t="shared" si="659"/>
        <v>1944</v>
      </c>
      <c r="AJ42" s="73">
        <f t="shared" si="659"/>
        <v>2425</v>
      </c>
      <c r="AK42" s="73">
        <f t="shared" si="659"/>
        <v>1680</v>
      </c>
      <c r="AL42" s="73">
        <f t="shared" si="659"/>
        <v>7904</v>
      </c>
      <c r="AM42" s="13"/>
      <c r="AN42" s="73">
        <f t="shared" si="659"/>
        <v>2731</v>
      </c>
      <c r="AO42" s="73">
        <f t="shared" si="659"/>
        <v>3652</v>
      </c>
      <c r="AP42" s="73">
        <f t="shared" si="659"/>
        <v>3449</v>
      </c>
      <c r="AQ42" s="73">
        <f t="shared" si="659"/>
        <v>3134</v>
      </c>
      <c r="AR42" s="73">
        <f t="shared" si="659"/>
        <v>12966</v>
      </c>
      <c r="AS42" s="13"/>
      <c r="AT42" s="73">
        <f t="shared" si="659"/>
        <v>3519</v>
      </c>
      <c r="AU42" s="73">
        <f t="shared" si="659"/>
        <v>3482</v>
      </c>
      <c r="AV42" s="306">
        <f t="shared" si="659"/>
        <v>3147</v>
      </c>
      <c r="AW42" s="73">
        <f>AW114+AW283+AW296</f>
        <v>3100.1915876932271</v>
      </c>
      <c r="AX42" s="73">
        <f>AX114+AX283+AX296</f>
        <v>13248.191587693229</v>
      </c>
      <c r="AY42" s="13"/>
      <c r="AZ42" s="73">
        <f>AZ114+AZ283+AZ296</f>
        <v>3231.5687669378535</v>
      </c>
      <c r="BA42" s="73">
        <f>BA114+BA283+BA296</f>
        <v>3450.8981351930056</v>
      </c>
      <c r="BB42" s="73">
        <f>BB114+BB283+BB296</f>
        <v>3134.4736549037357</v>
      </c>
      <c r="BC42" s="73">
        <f>BC114+BC283+BC296</f>
        <v>3192.0792955095521</v>
      </c>
      <c r="BD42" s="73">
        <f>BD114+BD283+BD296</f>
        <v>13009.019852544148</v>
      </c>
      <c r="BE42" s="13"/>
      <c r="BF42" s="73">
        <f>BF114+BF283+BF296</f>
        <v>3497.6791430740241</v>
      </c>
      <c r="BG42" s="73">
        <f>BG114+BG283+BG296</f>
        <v>3735.5436364069515</v>
      </c>
      <c r="BH42" s="73">
        <f>BH114+BH283+BH296</f>
        <v>3413.2260532998635</v>
      </c>
      <c r="BI42" s="73">
        <f>BI114+BI283+BI296</f>
        <v>3481.0559950928669</v>
      </c>
      <c r="BJ42" s="73">
        <f>BJ114+BJ283+BJ296</f>
        <v>14127.504827873707</v>
      </c>
      <c r="BK42" s="13"/>
      <c r="BL42" s="73">
        <f>BL114+BL283+BL296</f>
        <v>3696.8856516183664</v>
      </c>
      <c r="BM42" s="73">
        <f>BM114+BM283+BM296</f>
        <v>3949.0373271075146</v>
      </c>
      <c r="BN42" s="73">
        <f>BN114+BN283+BN296</f>
        <v>3622.458157837862</v>
      </c>
      <c r="BO42" s="73">
        <f>BO114+BO283+BO296</f>
        <v>3698.7929177927131</v>
      </c>
      <c r="BP42" s="73">
        <f>BP114+BP283+BP296</f>
        <v>14967.174054356456</v>
      </c>
      <c r="BQ42" s="13"/>
      <c r="BR42" s="73">
        <f>BR114+BR283+BR296</f>
        <v>3907.8405361158593</v>
      </c>
      <c r="BS42" s="73">
        <f>BS114+BS283+BS296</f>
        <v>4175.1465230836693</v>
      </c>
      <c r="BT42" s="73">
        <f>BT114+BT283+BT296</f>
        <v>3844.200311061546</v>
      </c>
      <c r="BU42" s="73">
        <f>BU114+BU283+BU296</f>
        <v>3929.4095102245715</v>
      </c>
      <c r="BV42" s="73">
        <f>BV114+BV283+BV296</f>
        <v>15856.596880485647</v>
      </c>
      <c r="BW42" s="13"/>
      <c r="BX42" s="73">
        <f>BX114+BX283+BX296</f>
        <v>4127.6352546988492</v>
      </c>
      <c r="BY42" s="73">
        <f>BY114+BY283+BY296</f>
        <v>4410.7787131656014</v>
      </c>
      <c r="BZ42" s="73">
        <f>BZ114+BZ283+BZ296</f>
        <v>4075.2653281973398</v>
      </c>
      <c r="CA42" s="73">
        <f>CA114+CA283+CA296</f>
        <v>4169.8099750312267</v>
      </c>
      <c r="CB42" s="73">
        <f>CB114+CB283+CB296</f>
        <v>16783.489271093018</v>
      </c>
      <c r="CC42" s="13"/>
      <c r="CD42" s="73">
        <f>CD114+CD283+CD296</f>
        <v>4356.6529904154822</v>
      </c>
      <c r="CE42" s="73">
        <f>CE114+CE283+CE296</f>
        <v>4656.3486017247978</v>
      </c>
      <c r="CF42" s="73">
        <f>CF114+CF283+CF296</f>
        <v>4316.0584322401292</v>
      </c>
      <c r="CG42" s="73">
        <f>CG114+CG283+CG296</f>
        <v>4420.4236033734624</v>
      </c>
      <c r="CH42" s="73">
        <f>CH114+CH283+CH296</f>
        <v>17749.483627753874</v>
      </c>
      <c r="CI42" s="13"/>
      <c r="CJ42" s="73">
        <f>CJ114+CJ283+CJ296</f>
        <v>4600.9338967960448</v>
      </c>
      <c r="CK42" s="73">
        <f>CK114+CK283+CK296</f>
        <v>4918.0026374826384</v>
      </c>
      <c r="CL42" s="73">
        <f>CL114+CL283+CL296</f>
        <v>4572.8873170728693</v>
      </c>
      <c r="CM42" s="73">
        <f>CM114+CM283+CM296</f>
        <v>4687.5866773338275</v>
      </c>
      <c r="CN42" s="73">
        <f>CN114+CN283+CN296</f>
        <v>18779.410528685381</v>
      </c>
    </row>
    <row r="43" spans="2:93" ht="18" customHeight="1" x14ac:dyDescent="0.25">
      <c r="B43" s="14" t="s">
        <v>117</v>
      </c>
      <c r="D43" s="156">
        <f>D42/D9</f>
        <v>3.8688658114436981E-2</v>
      </c>
      <c r="E43" s="156">
        <f>E42/E9</f>
        <v>0.10449210131497662</v>
      </c>
      <c r="F43" s="156">
        <f>F42/F9</f>
        <v>0.13221764654341539</v>
      </c>
      <c r="G43" s="156">
        <f>G42/G9</f>
        <v>0.10755272952853598</v>
      </c>
      <c r="H43" s="156">
        <f>H42/H9</f>
        <v>9.8103910958602783E-2</v>
      </c>
      <c r="J43" s="156">
        <f>J42/J9</f>
        <v>0.1639318765067268</v>
      </c>
      <c r="K43" s="156">
        <f>K42/K9</f>
        <v>0.15466419242024124</v>
      </c>
      <c r="L43" s="156">
        <f>L42/L9</f>
        <v>0.15803108808290156</v>
      </c>
      <c r="M43" s="156">
        <f>M42/M9</f>
        <v>0.13129270673546228</v>
      </c>
      <c r="N43" s="156">
        <f>N42/N9</f>
        <v>0.15154782354446109</v>
      </c>
      <c r="O43" s="120"/>
      <c r="P43" s="156">
        <f>P42/P9</f>
        <v>0.1638942521907025</v>
      </c>
      <c r="Q43" s="156">
        <f>Q42/Q9</f>
        <v>0.15333980044345899</v>
      </c>
      <c r="R43" s="156">
        <f>R42/R9</f>
        <v>0.1583320269634739</v>
      </c>
      <c r="S43" s="156">
        <f>S42/S9</f>
        <v>0.14074863055386488</v>
      </c>
      <c r="T43" s="156">
        <f>T42/T9</f>
        <v>0.15408921933085501</v>
      </c>
      <c r="U43" s="120"/>
      <c r="V43" s="156">
        <f>V42/V9</f>
        <v>0.13201692524682651</v>
      </c>
      <c r="W43" s="156">
        <f>W42/W9</f>
        <v>7.8423527058117434E-2</v>
      </c>
      <c r="X43" s="156">
        <f>X42/X9</f>
        <v>9.9686266572209289E-2</v>
      </c>
      <c r="Y43" s="156">
        <f>Y42/Y9</f>
        <v>0.12283044058744993</v>
      </c>
      <c r="Z43" s="156">
        <f>Z42/Z9</f>
        <v>0.10905911660438823</v>
      </c>
      <c r="AB43" s="156">
        <f>AB42/AB9</f>
        <v>0.15260368469756877</v>
      </c>
      <c r="AC43" s="156">
        <f>AC42/AC9</f>
        <v>0.13880052758165878</v>
      </c>
      <c r="AD43" s="156">
        <f>AD42/AD9</f>
        <v>0.13422602242478018</v>
      </c>
      <c r="AE43" s="156">
        <f>AE42/AE9</f>
        <v>0.1167560516016814</v>
      </c>
      <c r="AF43" s="156">
        <f>AF42/AF9</f>
        <v>0.13493947538796572</v>
      </c>
      <c r="AH43" s="156">
        <f>AH42/AH9</f>
        <v>0.1365074692766208</v>
      </c>
      <c r="AI43" s="156">
        <f>AI42/AI9</f>
        <v>0.13644977890082122</v>
      </c>
      <c r="AJ43" s="156">
        <f>AJ42/AJ9</f>
        <v>0.16173135921035081</v>
      </c>
      <c r="AK43" s="156">
        <f>AK42/AK9</f>
        <v>0.10122311261071278</v>
      </c>
      <c r="AL43" s="156">
        <f>AL42/AL9</f>
        <v>0.13300351691991855</v>
      </c>
      <c r="AN43" s="156">
        <f>AN42/AN9</f>
        <v>0.17217248770646829</v>
      </c>
      <c r="AO43" s="245">
        <f>AO42/AO9</f>
        <v>0.21087885437117451</v>
      </c>
      <c r="AP43" s="156">
        <f>AP42/AP9</f>
        <v>0.20517549077929803</v>
      </c>
      <c r="AQ43" s="245">
        <f>AQ42/AQ9</f>
        <v>0.18359695371997656</v>
      </c>
      <c r="AR43" s="245">
        <f>AR42/AR9</f>
        <v>0.19334923948702654</v>
      </c>
      <c r="AT43" s="156">
        <f>AT42/AT9</f>
        <v>0.22273561617823912</v>
      </c>
      <c r="AU43" s="245">
        <f>AU42/AU9</f>
        <v>0.20864042183474144</v>
      </c>
      <c r="AV43" s="305">
        <f>AV42/AV9</f>
        <v>0.19539302123432262</v>
      </c>
      <c r="AW43" s="156">
        <f>AW42/AW9</f>
        <v>0.18578205442437951</v>
      </c>
      <c r="AX43" s="156">
        <f>AX42/AX9</f>
        <v>0.20294022537395084</v>
      </c>
      <c r="AZ43" s="156">
        <f>AZ42/AZ9</f>
        <v>0.20992323442744781</v>
      </c>
      <c r="BA43" s="156">
        <f>BA42/BA9</f>
        <v>0.20980399892954885</v>
      </c>
      <c r="BB43" s="156">
        <f>BB42/BB9</f>
        <v>0.19370256842085418</v>
      </c>
      <c r="BC43" s="156">
        <f>BC42/BC9</f>
        <v>0.18828344504429445</v>
      </c>
      <c r="BD43" s="156">
        <f>BD42/BD9</f>
        <v>0.20020737803066876</v>
      </c>
      <c r="BF43" s="156">
        <f>BF42/BF9</f>
        <v>0.21695593387191758</v>
      </c>
      <c r="BG43" s="156">
        <f>BG42/BG9</f>
        <v>0.21686280881590803</v>
      </c>
      <c r="BH43" s="156">
        <f>BH42/BH9</f>
        <v>0.20143302388867618</v>
      </c>
      <c r="BI43" s="156">
        <f>BI42/BI9</f>
        <v>0.19612664694465337</v>
      </c>
      <c r="BJ43" s="156">
        <f>BJ42/BJ9</f>
        <v>0.20763306305420751</v>
      </c>
      <c r="BL43" s="156">
        <f>BL42/BL9</f>
        <v>0.22030572736164397</v>
      </c>
      <c r="BM43" s="156">
        <f>BM42/BM9</f>
        <v>0.22020508111561807</v>
      </c>
      <c r="BN43" s="156">
        <f>BN42/BN9</f>
        <v>0.20536221031251989</v>
      </c>
      <c r="BO43" s="156">
        <f>BO42/BO9</f>
        <v>0.2001424313523345</v>
      </c>
      <c r="BP43" s="156">
        <f>BP42/BP9</f>
        <v>0.21129832939102436</v>
      </c>
      <c r="BR43" s="156">
        <f>BR42/BR9</f>
        <v>0.2237155754301253</v>
      </c>
      <c r="BS43" s="156">
        <f>BS42/BS9</f>
        <v>0.22360630166275763</v>
      </c>
      <c r="BT43" s="156">
        <f>BT42/BT9</f>
        <v>0.20933703132697459</v>
      </c>
      <c r="BU43" s="156">
        <f>BU42/BU9</f>
        <v>0.2041876923075438</v>
      </c>
      <c r="BV43" s="156">
        <f>BV42/BV9</f>
        <v>0.21501182786443912</v>
      </c>
      <c r="BX43" s="156">
        <f>BX42/BX9</f>
        <v>0.22698744507746815</v>
      </c>
      <c r="BY43" s="156">
        <f>BY42/BY9</f>
        <v>0.22686908033042413</v>
      </c>
      <c r="BZ43" s="156">
        <f>BZ42/BZ9</f>
        <v>0.21315244746907072</v>
      </c>
      <c r="CA43" s="156">
        <f>CA42/CA9</f>
        <v>0.2080709077757196</v>
      </c>
      <c r="CB43" s="156">
        <f>CB42/CB9</f>
        <v>0.2185756410372669</v>
      </c>
      <c r="CD43" s="156">
        <f>CD42/CD9</f>
        <v>0.23012629873578555</v>
      </c>
      <c r="CE43" s="156">
        <f>CE42/CE9</f>
        <v>0.22999842915220378</v>
      </c>
      <c r="CF43" s="156">
        <f>CF42/CF9</f>
        <v>0.21681420531858744</v>
      </c>
      <c r="CG43" s="156">
        <f>CG42/CG9</f>
        <v>0.21179791981328053</v>
      </c>
      <c r="CH43" s="156">
        <f>CH42/CH9</f>
        <v>0.22199516786803214</v>
      </c>
      <c r="CJ43" s="156">
        <f>CJ42/CJ9</f>
        <v>0.2334230653494013</v>
      </c>
      <c r="CK43" s="156">
        <f>CK42/CK9</f>
        <v>0.23327017784321558</v>
      </c>
      <c r="CL43" s="156">
        <f>CL42/CL9</f>
        <v>0.22061173997275579</v>
      </c>
      <c r="CM43" s="156">
        <f>CM42/CM9</f>
        <v>0.21564522729863733</v>
      </c>
      <c r="CN43" s="156">
        <f>CN42/CN9</f>
        <v>0.22555337363174671</v>
      </c>
    </row>
    <row r="44" spans="2:93" ht="18" customHeight="1" x14ac:dyDescent="0.25">
      <c r="B44" s="377" t="s">
        <v>379</v>
      </c>
      <c r="D44" s="456" t="str">
        <f>IF(D114+D283+D296-D42=0,"OK",D114+D283+D296-D42)</f>
        <v>OK</v>
      </c>
      <c r="E44" s="456" t="str">
        <f>IF(E114+E283+E296-E42=0,"OK",E114+E283+E296-E42)</f>
        <v>OK</v>
      </c>
      <c r="F44" s="456" t="str">
        <f>IF(F114+F283+F296-F42=0,"OK",F114+F283+F296-F42)</f>
        <v>OK</v>
      </c>
      <c r="G44" s="456" t="str">
        <f>IF(G114+G283+G296-G42=0,"OK",G114+G283+G296-G42)</f>
        <v>OK</v>
      </c>
      <c r="H44" s="456" t="str">
        <f>IF(H114+H283+H296-H42=0,"OK",H114+H283+H296-H42)</f>
        <v>OK</v>
      </c>
      <c r="J44" s="456" t="str">
        <f>IF(J114+J283+J296-J42=0,"OK",J114+J283+J296-J42)</f>
        <v>OK</v>
      </c>
      <c r="K44" s="456" t="str">
        <f>IF(K114+K283+K296-K42=0,"OK",K114+K283+K296-K42)</f>
        <v>OK</v>
      </c>
      <c r="L44" s="456" t="str">
        <f>IF(L114+L283+L296-L42=0,"OK",L114+L283+L296-L42)</f>
        <v>OK</v>
      </c>
      <c r="M44" s="456" t="str">
        <f>IF(M114+M283+M296-M42=0,"OK",M114+M283+M296-M42)</f>
        <v>OK</v>
      </c>
      <c r="N44" s="456" t="str">
        <f>IF(N114+N283+N296-N42=0,"OK",N114+N283+N296-N42)</f>
        <v>OK</v>
      </c>
      <c r="O44" s="120"/>
      <c r="P44" s="456" t="str">
        <f>IF(P114+P283+P296-P42=0,"OK",P114+P283+P296-P42)</f>
        <v>OK</v>
      </c>
      <c r="Q44" s="456" t="str">
        <f>IF(Q114+Q283+Q296-Q42=0,"OK",Q114+Q283+Q296-Q42)</f>
        <v>OK</v>
      </c>
      <c r="R44" s="456" t="str">
        <f>IF(R114+R283+R296-R42=0,"OK",R114+R283+R296-R42)</f>
        <v>OK</v>
      </c>
      <c r="S44" s="456" t="str">
        <f>IF(S114+S283+S296-S42=0,"OK",S114+S283+S296-S42)</f>
        <v>OK</v>
      </c>
      <c r="T44" s="456" t="str">
        <f>IF(T114+T283+T296-T42=0,"OK",T114+T283+T296-T42)</f>
        <v>OK</v>
      </c>
      <c r="U44" s="120"/>
      <c r="V44" s="456" t="str">
        <f>IF(V114+V283+V296-V42=0,"OK",V114+V283+V296-V42)</f>
        <v>OK</v>
      </c>
      <c r="W44" s="456" t="str">
        <f>IF(W114+W283+W296-W42=0,"OK",W114+W283+W296-W42)</f>
        <v>OK</v>
      </c>
      <c r="X44" s="456" t="str">
        <f>IF(X114+X283+X296-X42=0,"OK",X114+X283+X296-X42)</f>
        <v>OK</v>
      </c>
      <c r="Y44" s="456" t="str">
        <f>IF(Y114+Y283+Y296-Y42=0,"OK",Y114+Y283+Y296-Y42)</f>
        <v>OK</v>
      </c>
      <c r="Z44" s="456" t="str">
        <f>IF(Z114+Z283+Z296-Z42=0,"OK",Z114+Z283+Z296-Z42)</f>
        <v>OK</v>
      </c>
      <c r="AB44" s="456" t="str">
        <f>IF(AB114+AB283+AB296-AB42=0,"OK",AB114+AB283+AB296-AB42)</f>
        <v>OK</v>
      </c>
      <c r="AC44" s="456" t="str">
        <f>IF(AC114+AC283+AC296-AC42=0,"OK",AC114+AC283+AC296-AC42)</f>
        <v>OK</v>
      </c>
      <c r="AD44" s="456" t="str">
        <f>IF(AD114+AD283+AD296-AD42=0,"OK",AD114+AD283+AD296-AD42)</f>
        <v>OK</v>
      </c>
      <c r="AE44" s="456" t="str">
        <f>IF(AE114+AE283+AE296-AE42=0,"OK",AE114+AE283+AE296-AE42)</f>
        <v>OK</v>
      </c>
      <c r="AF44" s="456" t="str">
        <f>IF(AF114+AF283+AF296-AF42=0,"OK",AF114+AF283+AF296-AF42)</f>
        <v>OK</v>
      </c>
      <c r="AH44" s="456" t="str">
        <f>IF(AH114+AH283+AH296-AH42=0,"OK",AH114+AH283+AH296-AH42)</f>
        <v>OK</v>
      </c>
      <c r="AI44" s="456" t="str">
        <f>IF(AI114+AI283+AI296-AI42=0,"OK",AI114+AI283+AI296-AI42)</f>
        <v>OK</v>
      </c>
      <c r="AJ44" s="456" t="str">
        <f>IF(AJ114+AJ283+AJ296-AJ42=0,"OK",AJ114+AJ283+AJ296-AJ42)</f>
        <v>OK</v>
      </c>
      <c r="AK44" s="456" t="str">
        <f>IF(AK114+AK283+AK296-AK42=0,"OK",AK114+AK283+AK296-AK42)</f>
        <v>OK</v>
      </c>
      <c r="AL44" s="456" t="str">
        <f>IF(AL114+AL283+AL296-AL42=0,"OK",AL114+AL283+AL296-AL42)</f>
        <v>OK</v>
      </c>
      <c r="AN44" s="456" t="str">
        <f>IF(AN114+AN283+AN296-AN42=0,"OK",AN114+AN283+AN296-AN42)</f>
        <v>OK</v>
      </c>
      <c r="AO44" s="456" t="str">
        <f>IF(AO114+AO283+AO296-AO42=0,"OK",AO114+AO283+AO296-AO42)</f>
        <v>OK</v>
      </c>
      <c r="AP44" s="456" t="str">
        <f>IF(AP114+AP283+AP296-AP42=0,"OK",AP114+AP283+AP296-AP42)</f>
        <v>OK</v>
      </c>
      <c r="AQ44" s="456" t="str">
        <f>IF(AQ114+AQ283+AQ296-AQ42=0,"OK",AQ114+AQ283+AQ296-AQ42)</f>
        <v>OK</v>
      </c>
      <c r="AR44" s="456" t="str">
        <f>IF(AR114+AR283+AR296-AR42=0,"OK",AR114+AR283+AR296-AR42)</f>
        <v>OK</v>
      </c>
      <c r="AT44" s="456" t="str">
        <f>IF(AT114+AT283+AT296-AT42=0,"OK",AT114+AT283+AT296-AT42)</f>
        <v>OK</v>
      </c>
      <c r="AU44" s="456" t="str">
        <f>IF(AU114+AU283+AU296-AU42=0,"OK",AU114+AU283+AU296-AU42)</f>
        <v>OK</v>
      </c>
      <c r="AV44" s="544" t="str">
        <f>IF(AV114+AV283+AV296-AV42=0,"OK",AV114+AV283+AV296-AV42)</f>
        <v>OK</v>
      </c>
      <c r="AW44" s="456" t="str">
        <f>IF(AW114+AW283+AW296-AW42=0,"OK",AW114+AW283+AW296-AW42)</f>
        <v>OK</v>
      </c>
      <c r="AX44" s="456" t="str">
        <f>IF(AX114+AX283+AX296-AX42=0,"OK",AX114+AX283+AX296-AX42)</f>
        <v>OK</v>
      </c>
      <c r="AZ44" s="456" t="str">
        <f>IF(AZ114+AZ283+AZ296-AZ42=0,"OK",AZ114+AZ283+AZ296-AZ42)</f>
        <v>OK</v>
      </c>
      <c r="BA44" s="456" t="str">
        <f>IF(BA114+BA283+BA296-BA42=0,"OK",BA114+BA283+BA296-BA42)</f>
        <v>OK</v>
      </c>
      <c r="BB44" s="456" t="str">
        <f>IF(BB114+BB283+BB296-BB42=0,"OK",BB114+BB283+BB296-BB42)</f>
        <v>OK</v>
      </c>
      <c r="BC44" s="456" t="str">
        <f>IF(BC114+BC283+BC296-BC42=0,"OK",BC114+BC283+BC296-BC42)</f>
        <v>OK</v>
      </c>
      <c r="BD44" s="456" t="str">
        <f>IF(BD114+BD283+BD296-BD42=0,"OK",BD114+BD283+BD296-BD42)</f>
        <v>OK</v>
      </c>
      <c r="BF44" s="456" t="str">
        <f>IF(BF114+BF283+BF296-BF42=0,"OK",BF114+BF283+BF296-BF42)</f>
        <v>OK</v>
      </c>
      <c r="BG44" s="456" t="str">
        <f>IF(BG114+BG283+BG296-BG42=0,"OK",BG114+BG283+BG296-BG42)</f>
        <v>OK</v>
      </c>
      <c r="BH44" s="456" t="str">
        <f>IF(BH114+BH283+BH296-BH42=0,"OK",BH114+BH283+BH296-BH42)</f>
        <v>OK</v>
      </c>
      <c r="BI44" s="456" t="str">
        <f>IF(BI114+BI283+BI296-BI42=0,"OK",BI114+BI283+BI296-BI42)</f>
        <v>OK</v>
      </c>
      <c r="BJ44" s="456" t="str">
        <f>IF(BJ114+BJ283+BJ296-BJ42=0,"OK",BJ114+BJ283+BJ296-BJ42)</f>
        <v>OK</v>
      </c>
      <c r="BL44" s="456" t="str">
        <f>IF(BL114+BL283+BL296-BL42=0,"OK",BL114+BL283+BL296-BL42)</f>
        <v>OK</v>
      </c>
      <c r="BM44" s="456" t="str">
        <f>IF(BM114+BM283+BM296-BM42=0,"OK",BM114+BM283+BM296-BM42)</f>
        <v>OK</v>
      </c>
      <c r="BN44" s="456" t="str">
        <f>IF(BN114+BN283+BN296-BN42=0,"OK",BN114+BN283+BN296-BN42)</f>
        <v>OK</v>
      </c>
      <c r="BO44" s="456" t="str">
        <f>IF(BO114+BO283+BO296-BO42=0,"OK",BO114+BO283+BO296-BO42)</f>
        <v>OK</v>
      </c>
      <c r="BP44" s="456" t="str">
        <f>IF(BP114+BP283+BP296-BP42=0,"OK",BP114+BP283+BP296-BP42)</f>
        <v>OK</v>
      </c>
      <c r="BR44" s="456" t="str">
        <f>IF(BR114+BR283+BR296-BR42=0,"OK",BR114+BR283+BR296-BR42)</f>
        <v>OK</v>
      </c>
      <c r="BS44" s="456" t="str">
        <f>IF(BS114+BS283+BS296-BS42=0,"OK",BS114+BS283+BS296-BS42)</f>
        <v>OK</v>
      </c>
      <c r="BT44" s="456" t="str">
        <f>IF(BT114+BT283+BT296-BT42=0,"OK",BT114+BT283+BT296-BT42)</f>
        <v>OK</v>
      </c>
      <c r="BU44" s="456" t="str">
        <f>IF(BU114+BU283+BU296-BU42=0,"OK",BU114+BU283+BU296-BU42)</f>
        <v>OK</v>
      </c>
      <c r="BV44" s="456" t="str">
        <f>IF(BV114+BV283+BV296-BV42=0,"OK",BV114+BV283+BV296-BV42)</f>
        <v>OK</v>
      </c>
      <c r="BX44" s="456" t="str">
        <f>IF(BX114+BX283+BX296-BX42=0,"OK",BX114+BX283+BX296-BX42)</f>
        <v>OK</v>
      </c>
      <c r="BY44" s="456" t="str">
        <f>IF(BY114+BY283+BY296-BY42=0,"OK",BY114+BY283+BY296-BY42)</f>
        <v>OK</v>
      </c>
      <c r="BZ44" s="456" t="str">
        <f>IF(BZ114+BZ283+BZ296-BZ42=0,"OK",BZ114+BZ283+BZ296-BZ42)</f>
        <v>OK</v>
      </c>
      <c r="CA44" s="456" t="str">
        <f>IF(CA114+CA283+CA296-CA42=0,"OK",CA114+CA283+CA296-CA42)</f>
        <v>OK</v>
      </c>
      <c r="CB44" s="456" t="str">
        <f>IF(CB114+CB283+CB296-CB42=0,"OK",CB114+CB283+CB296-CB42)</f>
        <v>OK</v>
      </c>
      <c r="CD44" s="456" t="str">
        <f>IF(CD114+CD283+CD296-CD42=0,"OK",CD114+CD283+CD296-CD42)</f>
        <v>OK</v>
      </c>
      <c r="CE44" s="456" t="str">
        <f>IF(CE114+CE283+CE296-CE42=0,"OK",CE114+CE283+CE296-CE42)</f>
        <v>OK</v>
      </c>
      <c r="CF44" s="456" t="str">
        <f>IF(CF114+CF283+CF296-CF42=0,"OK",CF114+CF283+CF296-CF42)</f>
        <v>OK</v>
      </c>
      <c r="CG44" s="456" t="str">
        <f>IF(CG114+CG283+CG296-CG42=0,"OK",CG114+CG283+CG296-CG42)</f>
        <v>OK</v>
      </c>
      <c r="CH44" s="456" t="str">
        <f>IF(CH114+CH283+CH296-CH42=0,"OK",CH114+CH283+CH296-CH42)</f>
        <v>OK</v>
      </c>
      <c r="CJ44" s="456" t="str">
        <f>IF(CJ114+CJ283+CJ296-CJ42=0,"OK",CJ114+CJ283+CJ296-CJ42)</f>
        <v>OK</v>
      </c>
      <c r="CK44" s="456" t="str">
        <f>IF(CK114+CK283+CK296-CK42=0,"OK",CK114+CK283+CK296-CK42)</f>
        <v>OK</v>
      </c>
      <c r="CL44" s="456" t="str">
        <f>IF(CL114+CL283+CL296-CL42=0,"OK",CL114+CL283+CL296-CL42)</f>
        <v>OK</v>
      </c>
      <c r="CM44" s="456" t="str">
        <f>IF(CM114+CM283+CM296-CM42=0,"OK",CM114+CM283+CM296-CM42)</f>
        <v>OK</v>
      </c>
      <c r="CN44" s="456" t="str">
        <f>IF(CN114+CN283+CN296-CN42=0,"OK",CN114+CN283+CN296-CN42)</f>
        <v>OK</v>
      </c>
    </row>
    <row r="45" spans="2:93" ht="18" customHeight="1" x14ac:dyDescent="0.25">
      <c r="B45" s="14"/>
      <c r="D45" s="120"/>
      <c r="E45" s="120"/>
      <c r="F45" s="120"/>
      <c r="G45" s="120"/>
      <c r="H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237"/>
      <c r="AP45" s="120"/>
      <c r="AQ45" s="237"/>
      <c r="AR45" s="237"/>
      <c r="AS45" s="120"/>
      <c r="AT45" s="120"/>
      <c r="AU45" s="237"/>
      <c r="AV45" s="262"/>
      <c r="AW45" s="120"/>
      <c r="AX45" s="120"/>
      <c r="AY45" s="120"/>
      <c r="AZ45" s="120"/>
      <c r="BA45" s="120"/>
      <c r="BB45" s="120"/>
      <c r="BC45" s="120"/>
      <c r="BD45" s="120"/>
      <c r="BE45" s="120"/>
      <c r="BF45" s="120"/>
      <c r="BG45" s="120"/>
      <c r="BH45" s="120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0"/>
      <c r="BT45" s="120"/>
      <c r="BU45" s="120"/>
      <c r="BV45" s="120"/>
      <c r="BW45" s="120"/>
      <c r="BX45" s="120"/>
      <c r="BY45" s="120"/>
      <c r="BZ45" s="120"/>
      <c r="CA45" s="120"/>
      <c r="CB45" s="120"/>
      <c r="CC45" s="120"/>
      <c r="CD45" s="120"/>
      <c r="CE45" s="120"/>
      <c r="CF45" s="120"/>
      <c r="CG45" s="120"/>
      <c r="CH45" s="120"/>
      <c r="CI45" s="120"/>
      <c r="CJ45" s="120"/>
      <c r="CK45" s="120"/>
      <c r="CL45" s="120"/>
      <c r="CM45" s="120"/>
      <c r="CN45" s="120"/>
    </row>
    <row r="46" spans="2:93" s="403" customFormat="1" ht="18" customHeight="1" x14ac:dyDescent="0.25">
      <c r="B46" s="436" t="s">
        <v>404</v>
      </c>
      <c r="D46" s="443">
        <f>SUM(D119+D286+D299)</f>
        <v>710</v>
      </c>
      <c r="E46" s="443">
        <f>SUM(E119+E286+E299)</f>
        <v>720</v>
      </c>
      <c r="F46" s="443">
        <f>SUM(F119+F286+F299)</f>
        <v>723</v>
      </c>
      <c r="G46" s="443">
        <f>SUM(G119+G286+G299)</f>
        <v>724</v>
      </c>
      <c r="H46" s="443">
        <f>SUM(H119+H286+H299)</f>
        <v>2877</v>
      </c>
      <c r="J46" s="443">
        <f>SUM(J119+J286+J299)</f>
        <v>681</v>
      </c>
      <c r="K46" s="443">
        <f>SUM(K119+K286+K299)</f>
        <v>686</v>
      </c>
      <c r="L46" s="443">
        <f>SUM(L119+L286+L299)</f>
        <v>698</v>
      </c>
      <c r="M46" s="443">
        <f>SUM(M119+M286+M299)</f>
        <v>701</v>
      </c>
      <c r="N46" s="443">
        <f>SUM(N119+N286+N299)</f>
        <v>2766</v>
      </c>
      <c r="O46" s="446"/>
      <c r="P46" s="443">
        <f>SUM(P119+P286+P299)</f>
        <v>641</v>
      </c>
      <c r="Q46" s="443">
        <f>SUM(Q119+Q286+Q299)</f>
        <v>647</v>
      </c>
      <c r="R46" s="443">
        <f>SUM(R119+R286+R299)</f>
        <v>645</v>
      </c>
      <c r="S46" s="443">
        <f>SUM(S119+S286+S299)</f>
        <v>644</v>
      </c>
      <c r="T46" s="443">
        <f>SUM(T119+T286+T299)</f>
        <v>2577</v>
      </c>
      <c r="U46" s="446"/>
      <c r="V46" s="443">
        <f>SUM(V119+V286+V299)</f>
        <v>614</v>
      </c>
      <c r="W46" s="443">
        <f>SUM(W119+W286+W299)</f>
        <v>608</v>
      </c>
      <c r="X46" s="443">
        <f>SUM(X119+X286+X299)</f>
        <v>593</v>
      </c>
      <c r="Y46" s="443">
        <f>SUM(Y119+Y286+Y299)</f>
        <v>421</v>
      </c>
      <c r="Z46" s="443">
        <f>SUM(Z119+Z286+Z299)</f>
        <v>2432</v>
      </c>
      <c r="AA46" s="446"/>
      <c r="AB46" s="443">
        <f>SUM(AB119+AB286+AB299)</f>
        <v>586</v>
      </c>
      <c r="AC46" s="443">
        <f>SUM(AC119+AC286+AC299)</f>
        <v>587</v>
      </c>
      <c r="AD46" s="443">
        <f>SUM(AD119+AD286+AD299)</f>
        <v>593</v>
      </c>
      <c r="AE46" s="443">
        <f>SUM(AE119+AE286+AE299)</f>
        <v>586</v>
      </c>
      <c r="AF46" s="443">
        <f>SUM(AF119+AF286+AF299)</f>
        <v>2352</v>
      </c>
      <c r="AG46" s="446"/>
      <c r="AH46" s="443">
        <f>SUM(AH119+AH286+AH299)</f>
        <v>557</v>
      </c>
      <c r="AI46" s="443">
        <f>SUM(AI119+AI286+AI299)</f>
        <v>553</v>
      </c>
      <c r="AJ46" s="443">
        <f>SUM(AJ119+AJ286+AJ299)</f>
        <v>551</v>
      </c>
      <c r="AK46" s="443">
        <f>SUM(AK119+AK286+AK299)</f>
        <v>558</v>
      </c>
      <c r="AL46" s="443">
        <f>SUM(AL119+AL286+AL299)</f>
        <v>2219</v>
      </c>
      <c r="AM46" s="446"/>
      <c r="AN46" s="443">
        <f>SUM(AN119+AN286+AN299)</f>
        <v>532</v>
      </c>
      <c r="AO46" s="443">
        <f>SUM(AO119+AO286+AO299)</f>
        <v>542</v>
      </c>
      <c r="AP46" s="443">
        <f>SUM(AP119+AP286+AP299)</f>
        <v>525</v>
      </c>
      <c r="AQ46" s="443">
        <f>SUM(AQ119+AQ286+AQ299)</f>
        <v>545</v>
      </c>
      <c r="AR46" s="443">
        <f>SUM(AR119+AR286+AR299)</f>
        <v>2144</v>
      </c>
      <c r="AS46" s="440"/>
      <c r="AT46" s="443">
        <f>SUM(AT119+AT286+AT299)</f>
        <v>524</v>
      </c>
      <c r="AU46" s="443">
        <f>SUM(AU119+AU286+AU299)</f>
        <v>531</v>
      </c>
      <c r="AV46" s="444">
        <f>SUM(AV119+AV286+AV299)</f>
        <v>543</v>
      </c>
      <c r="AW46" s="443">
        <f>SUM(AW119+AW286+AW299)</f>
        <v>591.20000000000005</v>
      </c>
      <c r="AX46" s="443">
        <f>SUM(AX119+AX286+AX299)</f>
        <v>2189.1999999999998</v>
      </c>
      <c r="AY46" s="446"/>
      <c r="AZ46" s="443">
        <f>SUM(AZ119+AZ286+AZ299)</f>
        <v>542.16</v>
      </c>
      <c r="BA46" s="443">
        <f>SUM(BA119+BA286+BA299)</f>
        <v>549.51</v>
      </c>
      <c r="BB46" s="443">
        <f>SUM(BB119+BB286+BB299)</f>
        <v>562.02</v>
      </c>
      <c r="BC46" s="443">
        <f>SUM(BC119+BC286+BC299)</f>
        <v>612.13200000000006</v>
      </c>
      <c r="BD46" s="443">
        <f>SUM(BD119+BD286+BD299)</f>
        <v>2265.8220000000001</v>
      </c>
      <c r="BE46" s="446"/>
      <c r="BF46" s="443">
        <f>SUM(BF119+BF286+BF299)</f>
        <v>561.06720000000007</v>
      </c>
      <c r="BG46" s="443">
        <f>SUM(BG119+BG286+BG299)</f>
        <v>568.78470000000004</v>
      </c>
      <c r="BH46" s="443">
        <f>SUM(BH119+BH286+BH299)</f>
        <v>581.8284000000001</v>
      </c>
      <c r="BI46" s="443">
        <f>SUM(BI119+BI286+BI299)</f>
        <v>633.93804000000011</v>
      </c>
      <c r="BJ46" s="443">
        <f>SUM(BJ119+BJ286+BJ299)</f>
        <v>2345.61834</v>
      </c>
      <c r="BK46" s="446"/>
      <c r="BL46" s="443">
        <f>SUM(BL119+BL286+BL299)</f>
        <v>576.224469</v>
      </c>
      <c r="BM46" s="443">
        <f>SUM(BM119+BM286+BM299)</f>
        <v>584.12939400000005</v>
      </c>
      <c r="BN46" s="443">
        <f>SUM(BN119+BN286+BN299)</f>
        <v>597.63241800000014</v>
      </c>
      <c r="BO46" s="443">
        <f>SUM(BO119+BO286+BO299)</f>
        <v>651.2009958000001</v>
      </c>
      <c r="BP46" s="443">
        <f>SUM(BP119+BP286+BP299)</f>
        <v>2409.1872768000003</v>
      </c>
      <c r="BQ46" s="446"/>
      <c r="BR46" s="443">
        <f>SUM(BR119+BR286+BR299)</f>
        <v>587.74895837999998</v>
      </c>
      <c r="BS46" s="443">
        <f>SUM(BS119+BS286+BS299)</f>
        <v>595.81198188000008</v>
      </c>
      <c r="BT46" s="443">
        <f>SUM(BT119+BT286+BT299)</f>
        <v>609.58506636000016</v>
      </c>
      <c r="BU46" s="443">
        <f>SUM(BU119+BU286+BU299)</f>
        <v>664.22501571600003</v>
      </c>
      <c r="BV46" s="443">
        <f>SUM(BV119+BV286+BV299)</f>
        <v>2457.3710223360004</v>
      </c>
      <c r="BW46" s="446"/>
      <c r="BX46" s="443">
        <f>SUM(BX119+BX286+BX299)</f>
        <v>599.5039375476</v>
      </c>
      <c r="BY46" s="443">
        <f>SUM(BY119+BY286+BY299)</f>
        <v>607.7282215176001</v>
      </c>
      <c r="BZ46" s="443">
        <f>SUM(BZ119+BZ286+BZ299)</f>
        <v>621.77676768720005</v>
      </c>
      <c r="CA46" s="443">
        <f>SUM(CA119+CA286+CA299)</f>
        <v>677.50951603032013</v>
      </c>
      <c r="CB46" s="443">
        <f>SUM(CB119+CB286+CB299)</f>
        <v>2506.5184427827203</v>
      </c>
      <c r="CC46" s="446"/>
      <c r="CD46" s="443">
        <f>SUM(CD119+CD286+CD299)</f>
        <v>611.49401629855208</v>
      </c>
      <c r="CE46" s="443">
        <f>SUM(CE119+CE286+CE299)</f>
        <v>619.88278594795213</v>
      </c>
      <c r="CF46" s="443">
        <f>SUM(CF119+CF286+CF299)</f>
        <v>634.21230304094411</v>
      </c>
      <c r="CG46" s="443">
        <f>SUM(CG119+CG286+CG299)</f>
        <v>691.05970635092649</v>
      </c>
      <c r="CH46" s="443">
        <f>SUM(CH119+CH286+CH299)</f>
        <v>2556.6488116383748</v>
      </c>
      <c r="CI46" s="446"/>
      <c r="CJ46" s="443">
        <f>SUM(CJ119+CJ286+CJ299)</f>
        <v>623.72389662452315</v>
      </c>
      <c r="CK46" s="443">
        <f>SUM(CK119+CK286+CK299)</f>
        <v>632.2804416669112</v>
      </c>
      <c r="CL46" s="443">
        <f>SUM(CL119+CL286+CL299)</f>
        <v>646.89654910176307</v>
      </c>
      <c r="CM46" s="443">
        <f>SUM(CM119+CM286+CM299)</f>
        <v>704.88090047794503</v>
      </c>
      <c r="CN46" s="443">
        <f>SUM(CN119+CN286+CN299)</f>
        <v>2607.7817878711421</v>
      </c>
      <c r="CO46" s="447"/>
    </row>
    <row r="47" spans="2:93" ht="18" customHeight="1" x14ac:dyDescent="0.25">
      <c r="B47" s="14"/>
      <c r="D47" s="120"/>
      <c r="E47" s="120"/>
      <c r="F47" s="120"/>
      <c r="G47" s="120"/>
      <c r="H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237"/>
      <c r="AP47" s="120"/>
      <c r="AQ47" s="237"/>
      <c r="AR47" s="237"/>
      <c r="AS47" s="120"/>
      <c r="AT47" s="120"/>
      <c r="AU47" s="237"/>
      <c r="AV47" s="262"/>
      <c r="AW47" s="120"/>
      <c r="AX47" s="120"/>
      <c r="AY47" s="120"/>
      <c r="AZ47" s="120"/>
      <c r="BA47" s="120"/>
      <c r="BB47" s="120"/>
      <c r="BC47" s="120"/>
      <c r="BD47" s="120"/>
      <c r="BE47" s="120"/>
      <c r="BF47" s="120"/>
      <c r="BG47" s="120"/>
      <c r="BH47" s="120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0"/>
      <c r="CB47" s="120"/>
      <c r="CC47" s="120"/>
      <c r="CD47" s="120"/>
      <c r="CE47" s="120"/>
      <c r="CF47" s="120"/>
      <c r="CG47" s="120"/>
      <c r="CH47" s="120"/>
      <c r="CI47" s="120"/>
      <c r="CJ47" s="120"/>
      <c r="CK47" s="120"/>
      <c r="CL47" s="120"/>
      <c r="CM47" s="120"/>
      <c r="CN47" s="120"/>
    </row>
    <row r="48" spans="2:93" ht="18" customHeight="1" x14ac:dyDescent="0.25">
      <c r="B48" s="155" t="s">
        <v>7</v>
      </c>
      <c r="C48" s="13"/>
      <c r="D48" s="73">
        <f t="shared" ref="D48:H48" si="660">D42+D46</f>
        <v>1090</v>
      </c>
      <c r="E48" s="73">
        <f t="shared" si="660"/>
        <v>1904</v>
      </c>
      <c r="F48" s="73">
        <f t="shared" si="660"/>
        <v>2232</v>
      </c>
      <c r="G48" s="73">
        <f t="shared" si="660"/>
        <v>2111</v>
      </c>
      <c r="H48" s="73">
        <f t="shared" si="660"/>
        <v>7337</v>
      </c>
      <c r="I48" s="13"/>
      <c r="J48" s="73">
        <f t="shared" ref="J48:N48" si="661">J42+J46</f>
        <v>2789</v>
      </c>
      <c r="K48" s="73">
        <f t="shared" si="661"/>
        <v>2853</v>
      </c>
      <c r="L48" s="73">
        <f t="shared" si="661"/>
        <v>2833</v>
      </c>
      <c r="M48" s="73">
        <f t="shared" si="661"/>
        <v>2584</v>
      </c>
      <c r="N48" s="73">
        <f t="shared" si="661"/>
        <v>11059</v>
      </c>
      <c r="O48" s="122"/>
      <c r="P48" s="73">
        <f t="shared" ref="P48:T48" si="662">P42+P46</f>
        <v>2848</v>
      </c>
      <c r="Q48" s="73">
        <f t="shared" si="662"/>
        <v>2860</v>
      </c>
      <c r="R48" s="73">
        <f t="shared" si="662"/>
        <v>2665</v>
      </c>
      <c r="S48" s="73">
        <f t="shared" si="662"/>
        <v>2494</v>
      </c>
      <c r="T48" s="73">
        <f t="shared" si="662"/>
        <v>10867</v>
      </c>
      <c r="U48" s="122"/>
      <c r="V48" s="73">
        <f t="shared" ref="V48:Z48" si="663">V42+V46</f>
        <v>2018</v>
      </c>
      <c r="W48" s="73">
        <f t="shared" si="663"/>
        <v>1392</v>
      </c>
      <c r="X48" s="73">
        <f t="shared" si="663"/>
        <v>1578</v>
      </c>
      <c r="Y48" s="73">
        <f t="shared" si="663"/>
        <v>1801</v>
      </c>
      <c r="Z48" s="73">
        <f t="shared" si="663"/>
        <v>6985</v>
      </c>
      <c r="AA48" s="13"/>
      <c r="AB48" s="73">
        <f t="shared" ref="AB48:AF48" si="664">AB42+AB46</f>
        <v>2400</v>
      </c>
      <c r="AC48" s="73">
        <f t="shared" si="664"/>
        <v>2376</v>
      </c>
      <c r="AD48" s="73">
        <f t="shared" si="664"/>
        <v>2257</v>
      </c>
      <c r="AE48" s="73">
        <f t="shared" si="664"/>
        <v>2197</v>
      </c>
      <c r="AF48" s="73">
        <f t="shared" si="664"/>
        <v>9230</v>
      </c>
      <c r="AG48" s="13"/>
      <c r="AH48" s="73">
        <f t="shared" ref="AH48:AL48" si="665">AH42+AH46</f>
        <v>2412</v>
      </c>
      <c r="AI48" s="73">
        <f t="shared" si="665"/>
        <v>2497</v>
      </c>
      <c r="AJ48" s="73">
        <f t="shared" si="665"/>
        <v>2976</v>
      </c>
      <c r="AK48" s="73">
        <f t="shared" si="665"/>
        <v>2238</v>
      </c>
      <c r="AL48" s="73">
        <f t="shared" si="665"/>
        <v>10123</v>
      </c>
      <c r="AM48" s="13"/>
      <c r="AN48" s="73">
        <f t="shared" ref="AN48:AR48" si="666">AN42+AN46</f>
        <v>3263</v>
      </c>
      <c r="AO48" s="73">
        <f t="shared" si="666"/>
        <v>4194</v>
      </c>
      <c r="AP48" s="73">
        <f t="shared" si="666"/>
        <v>3974</v>
      </c>
      <c r="AQ48" s="73">
        <f t="shared" si="666"/>
        <v>3679</v>
      </c>
      <c r="AR48" s="73">
        <f t="shared" si="666"/>
        <v>15110</v>
      </c>
      <c r="AS48" s="13"/>
      <c r="AT48" s="73">
        <f t="shared" ref="AT48:AU48" si="667">AT42+AT46</f>
        <v>4043</v>
      </c>
      <c r="AU48" s="73">
        <f t="shared" si="667"/>
        <v>4013</v>
      </c>
      <c r="AV48" s="306">
        <f>AV42+AV46</f>
        <v>3690</v>
      </c>
      <c r="AW48" s="73">
        <f t="shared" ref="AW48:AX48" si="668">AW42+AW46</f>
        <v>3691.3915876932269</v>
      </c>
      <c r="AX48" s="73">
        <f t="shared" si="668"/>
        <v>15437.39158769323</v>
      </c>
      <c r="AY48" s="13"/>
      <c r="AZ48" s="73">
        <f t="shared" ref="AZ48:BD48" si="669">AZ42+AZ46</f>
        <v>3773.7287669378534</v>
      </c>
      <c r="BA48" s="73">
        <f t="shared" si="669"/>
        <v>4000.4081351930054</v>
      </c>
      <c r="BB48" s="73">
        <f t="shared" si="669"/>
        <v>3696.4936549037357</v>
      </c>
      <c r="BC48" s="73">
        <f t="shared" si="669"/>
        <v>3804.2112955095522</v>
      </c>
      <c r="BD48" s="73">
        <f t="shared" si="669"/>
        <v>15274.841852544148</v>
      </c>
      <c r="BE48" s="13"/>
      <c r="BF48" s="73">
        <f t="shared" ref="BF48:BJ48" si="670">BF42+BF46</f>
        <v>4058.746343074024</v>
      </c>
      <c r="BG48" s="73">
        <f t="shared" si="670"/>
        <v>4304.3283364069512</v>
      </c>
      <c r="BH48" s="73">
        <f t="shared" si="670"/>
        <v>3995.0544532998638</v>
      </c>
      <c r="BI48" s="73">
        <f t="shared" si="670"/>
        <v>4114.9940350928673</v>
      </c>
      <c r="BJ48" s="73">
        <f t="shared" si="670"/>
        <v>16473.123167873706</v>
      </c>
      <c r="BK48" s="13"/>
      <c r="BL48" s="73">
        <f t="shared" ref="BL48:BP48" si="671">BL42+BL46</f>
        <v>4273.1101206183666</v>
      </c>
      <c r="BM48" s="73">
        <f t="shared" si="671"/>
        <v>4533.1667211075146</v>
      </c>
      <c r="BN48" s="73">
        <f t="shared" si="671"/>
        <v>4220.0905758378622</v>
      </c>
      <c r="BO48" s="73">
        <f t="shared" si="671"/>
        <v>4349.9939135927134</v>
      </c>
      <c r="BP48" s="73">
        <f t="shared" si="671"/>
        <v>17376.361331156455</v>
      </c>
      <c r="BQ48" s="13"/>
      <c r="BR48" s="73">
        <f t="shared" ref="BR48:BV48" si="672">BR42+BR46</f>
        <v>4495.5894944958591</v>
      </c>
      <c r="BS48" s="73">
        <f t="shared" si="672"/>
        <v>4770.9585049636698</v>
      </c>
      <c r="BT48" s="73">
        <f t="shared" si="672"/>
        <v>4453.7853774215464</v>
      </c>
      <c r="BU48" s="73">
        <f t="shared" si="672"/>
        <v>4593.6345259405716</v>
      </c>
      <c r="BV48" s="73">
        <f t="shared" si="672"/>
        <v>18313.967902821649</v>
      </c>
      <c r="BW48" s="13"/>
      <c r="BX48" s="73">
        <f t="shared" ref="BX48:CB48" si="673">BX42+BX46</f>
        <v>4727.1391922464491</v>
      </c>
      <c r="BY48" s="73">
        <f t="shared" si="673"/>
        <v>5018.5069346832015</v>
      </c>
      <c r="BZ48" s="73">
        <f t="shared" si="673"/>
        <v>4697.0420958845398</v>
      </c>
      <c r="CA48" s="73">
        <f t="shared" si="673"/>
        <v>4847.3194910615466</v>
      </c>
      <c r="CB48" s="73">
        <f t="shared" si="673"/>
        <v>19290.007713875737</v>
      </c>
      <c r="CC48" s="13"/>
      <c r="CD48" s="73">
        <f t="shared" ref="CD48:CH48" si="674">CD42+CD46</f>
        <v>4968.1470067140344</v>
      </c>
      <c r="CE48" s="73">
        <f t="shared" si="674"/>
        <v>5276.2313876727503</v>
      </c>
      <c r="CF48" s="73">
        <f t="shared" si="674"/>
        <v>4950.270735281073</v>
      </c>
      <c r="CG48" s="73">
        <f t="shared" si="674"/>
        <v>5111.4833097243891</v>
      </c>
      <c r="CH48" s="73">
        <f t="shared" si="674"/>
        <v>20306.132439392248</v>
      </c>
      <c r="CI48" s="13"/>
      <c r="CJ48" s="73">
        <f t="shared" ref="CJ48:CN48" si="675">CJ42+CJ46</f>
        <v>5224.6577934205679</v>
      </c>
      <c r="CK48" s="73">
        <f t="shared" si="675"/>
        <v>5550.2830791495498</v>
      </c>
      <c r="CL48" s="73">
        <f t="shared" si="675"/>
        <v>5219.7838661746327</v>
      </c>
      <c r="CM48" s="73">
        <f t="shared" si="675"/>
        <v>5392.4675778117726</v>
      </c>
      <c r="CN48" s="73">
        <f t="shared" si="675"/>
        <v>21387.192316556524</v>
      </c>
    </row>
    <row r="49" spans="1:93" ht="18" customHeight="1" x14ac:dyDescent="0.25">
      <c r="B49" s="14" t="s">
        <v>8</v>
      </c>
      <c r="D49" s="156">
        <f t="shared" ref="D49" si="676">D48/D9</f>
        <v>0.11097536143351659</v>
      </c>
      <c r="E49" s="156">
        <f t="shared" ref="E49" si="677">E48/E9</f>
        <v>0.1680345953578678</v>
      </c>
      <c r="F49" s="156">
        <f t="shared" ref="F49" si="678">F48/F9</f>
        <v>0.19556645930079733</v>
      </c>
      <c r="G49" s="156">
        <f t="shared" ref="G49" si="679">G48/G9</f>
        <v>0.1636941687344913</v>
      </c>
      <c r="H49" s="156">
        <f t="shared" ref="H49" si="680">H48/H9</f>
        <v>0.16138753244467907</v>
      </c>
      <c r="J49" s="156">
        <f t="shared" ref="J49" si="681">J48/J9</f>
        <v>0.21689089353760013</v>
      </c>
      <c r="K49" s="156">
        <f t="shared" ref="K49" si="682">K48/K9</f>
        <v>0.20362572264649204</v>
      </c>
      <c r="L49" s="156">
        <f t="shared" ref="L49" si="683">L48/L9</f>
        <v>0.20969652109548484</v>
      </c>
      <c r="M49" s="156">
        <f t="shared" ref="M49" si="684">M48/M9</f>
        <v>0.18017012968902524</v>
      </c>
      <c r="N49" s="156">
        <f t="shared" ref="N49" si="685">N48/N9</f>
        <v>0.20209422170242317</v>
      </c>
      <c r="O49" s="120"/>
      <c r="P49" s="156">
        <f t="shared" ref="P49" si="686">P48/P9</f>
        <v>0.21149561859497995</v>
      </c>
      <c r="Q49" s="156">
        <f t="shared" ref="Q49" si="687">Q48/Q9</f>
        <v>0.19817073170731708</v>
      </c>
      <c r="R49" s="156">
        <f t="shared" ref="R49" si="688">R48/R9</f>
        <v>0.20888854052359304</v>
      </c>
      <c r="S49" s="156">
        <f t="shared" ref="S49" si="689">S48/S9</f>
        <v>0.18974437005477784</v>
      </c>
      <c r="T49" s="156">
        <f t="shared" ref="T49" si="690">T48/T9</f>
        <v>0.20198884758364313</v>
      </c>
      <c r="U49" s="120"/>
      <c r="V49" s="156">
        <f t="shared" ref="V49" si="691">V48/V9</f>
        <v>0.18975082275505406</v>
      </c>
      <c r="W49" s="156">
        <f t="shared" ref="W49" si="692">W48/W9</f>
        <v>0.13924177253175954</v>
      </c>
      <c r="X49" s="156">
        <f t="shared" ref="X49" si="693">X48/X9</f>
        <v>0.15970043517862564</v>
      </c>
      <c r="Y49" s="156">
        <f t="shared" ref="Y49" si="694">Y48/Y9</f>
        <v>0.16030262572318646</v>
      </c>
      <c r="Z49" s="156">
        <f t="shared" ref="Z49" si="695">Z48/Z9</f>
        <v>0.1673134042349334</v>
      </c>
      <c r="AB49" s="156">
        <f t="shared" ref="AB49" si="696">AB48/AB9</f>
        <v>0.20190123664507445</v>
      </c>
      <c r="AC49" s="156">
        <f t="shared" ref="AC49" si="697">AC48/AC9</f>
        <v>0.18434323842035844</v>
      </c>
      <c r="AD49" s="156">
        <f t="shared" ref="AD49" si="698">AD48/AD9</f>
        <v>0.18206017584899573</v>
      </c>
      <c r="AE49" s="156">
        <f t="shared" ref="AE49" si="699">AE48/AE9</f>
        <v>0.15922597477895348</v>
      </c>
      <c r="AF49" s="156">
        <f t="shared" ref="AF49" si="700">AF48/AF9</f>
        <v>0.18108336112691531</v>
      </c>
      <c r="AH49" s="156">
        <f t="shared" ref="AH49" si="701">AH48/AH9</f>
        <v>0.17749650452571933</v>
      </c>
      <c r="AI49" s="156">
        <f t="shared" ref="AI49" si="702">AI48/AI9</f>
        <v>0.17526496806345196</v>
      </c>
      <c r="AJ49" s="156">
        <f t="shared" ref="AJ49" si="703">AJ48/AJ9</f>
        <v>0.19847939175670268</v>
      </c>
      <c r="AK49" s="156">
        <f t="shared" ref="AK49" si="704">AK48/AK9</f>
        <v>0.1348436464421281</v>
      </c>
      <c r="AL49" s="156">
        <f t="shared" ref="AL49" si="705">AL48/AL9</f>
        <v>0.17034344658152017</v>
      </c>
      <c r="AN49" s="156">
        <f t="shared" ref="AN49" si="706">AN48/AN9</f>
        <v>0.20571176396419114</v>
      </c>
      <c r="AO49" s="245">
        <f t="shared" ref="AO49" si="707">AO48/AO9</f>
        <v>0.24217577087423489</v>
      </c>
      <c r="AP49" s="156">
        <f t="shared" ref="AP49" si="708">AP48/AP9</f>
        <v>0.23640690065437239</v>
      </c>
      <c r="AQ49" s="245">
        <f t="shared" ref="AQ49" si="709">AQ48/AQ9</f>
        <v>0.21552431165787933</v>
      </c>
      <c r="AR49" s="245">
        <f t="shared" ref="AR49" si="710">AR48/AR9</f>
        <v>0.22532060841037876</v>
      </c>
      <c r="AT49" s="156">
        <f t="shared" ref="AT49:AX49" si="711">AT48/AT9</f>
        <v>0.25590227229571494</v>
      </c>
      <c r="AU49" s="245">
        <f t="shared" si="711"/>
        <v>0.24045778656600156</v>
      </c>
      <c r="AV49" s="305">
        <f>AV48/AV9</f>
        <v>0.22910716503166523</v>
      </c>
      <c r="AW49" s="156">
        <f t="shared" si="711"/>
        <v>0.2212103005404262</v>
      </c>
      <c r="AX49" s="156">
        <f t="shared" si="711"/>
        <v>0.2364751224538934</v>
      </c>
      <c r="AZ49" s="156">
        <f t="shared" ref="AZ49" si="712">AZ48/AZ9</f>
        <v>0.24514203649707858</v>
      </c>
      <c r="BA49" s="156">
        <f t="shared" ref="BA49" si="713">BA48/BA9</f>
        <v>0.24321251779483502</v>
      </c>
      <c r="BB49" s="156">
        <f t="shared" ref="BB49" si="714">BB48/BB9</f>
        <v>0.22843398730950068</v>
      </c>
      <c r="BC49" s="156">
        <f t="shared" ref="BC49:BD49" si="715">BC48/BC9</f>
        <v>0.22438979175817078</v>
      </c>
      <c r="BD49" s="156">
        <f t="shared" si="715"/>
        <v>0.23507812823676438</v>
      </c>
      <c r="BF49" s="156">
        <f t="shared" ref="BF49" si="716">BF48/BF9</f>
        <v>0.25175811364931111</v>
      </c>
      <c r="BG49" s="156">
        <f t="shared" ref="BG49" si="717">BG48/BG9</f>
        <v>0.24988296857293782</v>
      </c>
      <c r="BH49" s="156">
        <f t="shared" ref="BH49" si="718">BH48/BH9</f>
        <v>0.23576988062367132</v>
      </c>
      <c r="BI49" s="156">
        <f t="shared" ref="BI49" si="719">BI48/BI9</f>
        <v>0.23184343585328704</v>
      </c>
      <c r="BJ49" s="156">
        <f t="shared" ref="BJ49" si="720">BJ48/BJ9</f>
        <v>0.24210680251663647</v>
      </c>
      <c r="BL49" s="156">
        <f t="shared" ref="BL49" si="721">BL48/BL9</f>
        <v>0.25464423894396726</v>
      </c>
      <c r="BM49" s="156">
        <f t="shared" ref="BM49" si="722">BM48/BM9</f>
        <v>0.2527771360072848</v>
      </c>
      <c r="BN49" s="156">
        <f t="shared" ref="BN49" si="723">BN48/BN9</f>
        <v>0.2392428264486495</v>
      </c>
      <c r="BO49" s="156">
        <f t="shared" ref="BO49" si="724">BO48/BO9</f>
        <v>0.23537904867457451</v>
      </c>
      <c r="BP49" s="156">
        <f t="shared" ref="BP49" si="725">BP48/BP9</f>
        <v>0.24530990999596705</v>
      </c>
      <c r="BR49" s="156">
        <f t="shared" ref="BR49" si="726">BR48/BR9</f>
        <v>0.25736295566922013</v>
      </c>
      <c r="BS49" s="156">
        <f t="shared" ref="BS49" si="727">BS48/BS9</f>
        <v>0.25551591561713116</v>
      </c>
      <c r="BT49" s="156">
        <f t="shared" ref="BT49" si="728">BT48/BT9</f>
        <v>0.2425321610827966</v>
      </c>
      <c r="BU49" s="156">
        <f t="shared" ref="BU49" si="729">BU48/BU9</f>
        <v>0.23870345677013879</v>
      </c>
      <c r="BV49" s="156">
        <f t="shared" ref="BV49" si="730">BV48/BV9</f>
        <v>0.24833321701470595</v>
      </c>
      <c r="BX49" s="156">
        <f t="shared" ref="BX49" si="731">BX48/BX9</f>
        <v>0.25995544217529798</v>
      </c>
      <c r="BY49" s="156">
        <f t="shared" ref="BY49" si="732">BY48/BY9</f>
        <v>0.25812767471309039</v>
      </c>
      <c r="BZ49" s="156">
        <f t="shared" ref="BZ49" si="733">BZ48/BZ9</f>
        <v>0.24567382439511237</v>
      </c>
      <c r="CA49" s="156">
        <f t="shared" ref="CA49" si="734">CA48/CA9</f>
        <v>0.24187820855710868</v>
      </c>
      <c r="CB49" s="156">
        <f t="shared" ref="CB49" si="735">CB48/CB9</f>
        <v>0.25121866696314371</v>
      </c>
      <c r="CD49" s="156">
        <f t="shared" ref="CD49" si="736">CD48/CD9</f>
        <v>0.26242651979526582</v>
      </c>
      <c r="CE49" s="156">
        <f t="shared" ref="CE49" si="737">CE48/CE9</f>
        <v>0.26061728508874371</v>
      </c>
      <c r="CF49" s="156">
        <f t="shared" ref="CF49" si="738">CF48/CF9</f>
        <v>0.24867342100017975</v>
      </c>
      <c r="CG49" s="156">
        <f t="shared" ref="CG49" si="739">CG48/CG9</f>
        <v>0.24490900178293695</v>
      </c>
      <c r="CH49" s="156">
        <f t="shared" ref="CH49" si="740">CH48/CH9</f>
        <v>0.2539715168155473</v>
      </c>
      <c r="CJ49" s="156">
        <f t="shared" ref="CJ49" si="741">CJ48/CJ9</f>
        <v>0.26506697659601908</v>
      </c>
      <c r="CK49" s="156">
        <f t="shared" ref="CK49" si="742">CK48/CK9</f>
        <v>0.26326043647998681</v>
      </c>
      <c r="CL49" s="156">
        <f t="shared" ref="CL49" si="743">CL48/CL9</f>
        <v>0.25182024422495825</v>
      </c>
      <c r="CM49" s="156">
        <f t="shared" ref="CM49" si="744">CM48/CM9</f>
        <v>0.24807219078008713</v>
      </c>
      <c r="CN49" s="156">
        <f t="shared" ref="CN49" si="745">CN48/CN9</f>
        <v>0.25687458997404367</v>
      </c>
    </row>
    <row r="50" spans="1:93" ht="18" customHeight="1" thickBot="1" x14ac:dyDescent="0.3">
      <c r="A50" s="126"/>
      <c r="B50" s="411"/>
      <c r="C50" s="126"/>
      <c r="D50" s="217"/>
      <c r="E50" s="217"/>
      <c r="F50" s="217"/>
      <c r="G50" s="217"/>
      <c r="H50" s="217"/>
      <c r="I50" s="126"/>
      <c r="J50" s="217"/>
      <c r="K50" s="217"/>
      <c r="L50" s="217"/>
      <c r="M50" s="217"/>
      <c r="N50" s="217"/>
      <c r="O50" s="204"/>
      <c r="P50" s="217"/>
      <c r="Q50" s="217"/>
      <c r="R50" s="217"/>
      <c r="S50" s="217"/>
      <c r="T50" s="217"/>
      <c r="U50" s="204"/>
      <c r="V50" s="217"/>
      <c r="W50" s="217"/>
      <c r="X50" s="217"/>
      <c r="Y50" s="217"/>
      <c r="Z50" s="217"/>
      <c r="AA50" s="126"/>
      <c r="AB50" s="217"/>
      <c r="AC50" s="217"/>
      <c r="AD50" s="217"/>
      <c r="AE50" s="217"/>
      <c r="AF50" s="217"/>
      <c r="AG50" s="126"/>
      <c r="AH50" s="217"/>
      <c r="AI50" s="217"/>
      <c r="AJ50" s="217"/>
      <c r="AK50" s="217"/>
      <c r="AL50" s="217"/>
      <c r="AM50" s="126"/>
      <c r="AN50" s="217"/>
      <c r="AO50" s="217"/>
      <c r="AP50" s="217"/>
      <c r="AQ50" s="217"/>
      <c r="AR50" s="217"/>
      <c r="AS50" s="126"/>
      <c r="AT50" s="217"/>
      <c r="AU50" s="217"/>
      <c r="AV50" s="409"/>
      <c r="AW50" s="217"/>
      <c r="AX50" s="217"/>
      <c r="AY50" s="126"/>
      <c r="AZ50" s="217"/>
      <c r="BA50" s="217"/>
      <c r="BB50" s="217"/>
      <c r="BC50" s="217"/>
      <c r="BD50" s="217"/>
      <c r="BE50" s="126"/>
      <c r="BF50" s="217"/>
      <c r="BG50" s="217"/>
      <c r="BH50" s="217"/>
      <c r="BI50" s="217"/>
      <c r="BJ50" s="217"/>
      <c r="BK50" s="126"/>
      <c r="BL50" s="217"/>
      <c r="BM50" s="217"/>
      <c r="BN50" s="217"/>
      <c r="BO50" s="217"/>
      <c r="BP50" s="217"/>
      <c r="BQ50" s="126"/>
      <c r="BR50" s="217"/>
      <c r="BS50" s="217"/>
      <c r="BT50" s="217"/>
      <c r="BU50" s="217"/>
      <c r="BV50" s="217"/>
      <c r="BW50" s="126"/>
      <c r="BX50" s="217"/>
      <c r="BY50" s="217"/>
      <c r="BZ50" s="217"/>
      <c r="CA50" s="217"/>
      <c r="CB50" s="217"/>
      <c r="CC50" s="126"/>
      <c r="CD50" s="217"/>
      <c r="CE50" s="217"/>
      <c r="CF50" s="217"/>
      <c r="CG50" s="217"/>
      <c r="CH50" s="217"/>
      <c r="CI50" s="126"/>
      <c r="CJ50" s="217"/>
      <c r="CK50" s="217"/>
      <c r="CL50" s="217"/>
      <c r="CM50" s="217"/>
      <c r="CN50" s="217"/>
    </row>
    <row r="51" spans="1:93" ht="18" customHeight="1" thickBot="1" x14ac:dyDescent="0.3">
      <c r="A51" s="410">
        <v>1</v>
      </c>
      <c r="B51" s="407" t="s">
        <v>403</v>
      </c>
      <c r="C51" s="408"/>
      <c r="D51" s="217"/>
      <c r="E51" s="217"/>
      <c r="F51" s="217"/>
      <c r="G51" s="217"/>
      <c r="H51" s="217"/>
      <c r="I51" s="126"/>
      <c r="J51" s="217"/>
      <c r="K51" s="217"/>
      <c r="L51" s="217"/>
      <c r="M51" s="217"/>
      <c r="N51" s="217"/>
      <c r="O51" s="204"/>
      <c r="P51" s="217"/>
      <c r="Q51" s="217"/>
      <c r="R51" s="217"/>
      <c r="S51" s="217"/>
      <c r="T51" s="217"/>
      <c r="U51" s="204"/>
      <c r="V51" s="217"/>
      <c r="W51" s="217"/>
      <c r="X51" s="217"/>
      <c r="Y51" s="217"/>
      <c r="Z51" s="217"/>
      <c r="AA51" s="126"/>
      <c r="AB51" s="217"/>
      <c r="AC51" s="217"/>
      <c r="AD51" s="217"/>
      <c r="AE51" s="217"/>
      <c r="AF51" s="217"/>
      <c r="AG51" s="126"/>
      <c r="AH51" s="217"/>
      <c r="AI51" s="217"/>
      <c r="AJ51" s="217"/>
      <c r="AK51" s="217"/>
      <c r="AL51" s="217"/>
      <c r="AM51" s="126"/>
      <c r="AN51" s="217"/>
      <c r="AO51" s="217"/>
      <c r="AP51" s="217"/>
      <c r="AQ51" s="417"/>
      <c r="AR51" s="217"/>
      <c r="AS51" s="126"/>
      <c r="AT51" s="217"/>
      <c r="AU51" s="217"/>
      <c r="AV51" s="409"/>
      <c r="AW51" s="217"/>
      <c r="AX51" s="217"/>
      <c r="AY51" s="126"/>
      <c r="AZ51" s="217"/>
      <c r="BA51" s="217"/>
      <c r="BB51" s="217"/>
      <c r="BC51" s="217"/>
      <c r="BD51" s="217"/>
      <c r="BE51" s="126"/>
      <c r="BF51" s="217"/>
      <c r="BG51" s="217"/>
      <c r="BH51" s="217"/>
      <c r="BI51" s="217"/>
      <c r="BJ51" s="217"/>
      <c r="BK51" s="126"/>
      <c r="BL51" s="217"/>
      <c r="BM51" s="217"/>
      <c r="BN51" s="217"/>
      <c r="BO51" s="217"/>
      <c r="BP51" s="217"/>
      <c r="BQ51" s="126"/>
      <c r="BR51" s="217"/>
      <c r="BS51" s="217"/>
      <c r="BT51" s="217"/>
      <c r="BU51" s="217"/>
      <c r="BV51" s="217"/>
      <c r="BW51" s="126"/>
      <c r="BX51" s="217"/>
      <c r="BY51" s="217"/>
      <c r="BZ51" s="217"/>
      <c r="CA51" s="217"/>
      <c r="CB51" s="217"/>
      <c r="CC51" s="126"/>
      <c r="CD51" s="217"/>
      <c r="CE51" s="217"/>
      <c r="CF51" s="217"/>
      <c r="CG51" s="217"/>
      <c r="CH51" s="217"/>
      <c r="CI51" s="126"/>
      <c r="CJ51" s="217"/>
      <c r="CK51" s="217"/>
      <c r="CL51" s="217"/>
      <c r="CM51" s="217"/>
      <c r="CN51" s="217"/>
    </row>
    <row r="52" spans="1:93" s="137" customFormat="1" ht="18" customHeight="1" x14ac:dyDescent="0.25">
      <c r="A52" s="414"/>
      <c r="B52" s="206" t="s">
        <v>374</v>
      </c>
      <c r="D52" s="153">
        <f t="shared" ref="D52:H55" si="746">D127+D168+D209</f>
        <v>4233</v>
      </c>
      <c r="E52" s="153">
        <f t="shared" si="746"/>
        <v>4912</v>
      </c>
      <c r="F52" s="244">
        <f t="shared" si="746"/>
        <v>4674</v>
      </c>
      <c r="G52" s="244">
        <f t="shared" si="746"/>
        <v>5464</v>
      </c>
      <c r="H52" s="153">
        <f t="shared" si="746"/>
        <v>19283</v>
      </c>
      <c r="I52" s="153"/>
      <c r="J52" s="153">
        <f t="shared" ref="J52:N55" si="747">J127+J168+J209</f>
        <v>5643</v>
      </c>
      <c r="K52" s="153">
        <f t="shared" si="747"/>
        <v>6125</v>
      </c>
      <c r="L52" s="244">
        <f t="shared" si="747"/>
        <v>5804</v>
      </c>
      <c r="M52" s="244">
        <f t="shared" si="747"/>
        <v>6224</v>
      </c>
      <c r="N52" s="153">
        <f t="shared" si="747"/>
        <v>23796</v>
      </c>
      <c r="O52" s="153"/>
      <c r="P52" s="153">
        <f t="shared" ref="P52:T55" si="748">P127+P168+P209</f>
        <v>6067</v>
      </c>
      <c r="Q52" s="153">
        <f t="shared" si="748"/>
        <v>6868</v>
      </c>
      <c r="R52" s="244">
        <f t="shared" si="748"/>
        <v>5646</v>
      </c>
      <c r="S52" s="244">
        <f t="shared" si="748"/>
        <v>5370</v>
      </c>
      <c r="T52" s="153">
        <f t="shared" si="748"/>
        <v>23951</v>
      </c>
      <c r="U52" s="153"/>
      <c r="V52" s="153">
        <f t="shared" ref="V52:Z55" si="749">V127+V168+V209</f>
        <v>4519</v>
      </c>
      <c r="W52" s="153">
        <f t="shared" si="749"/>
        <v>3927</v>
      </c>
      <c r="X52" s="244">
        <f t="shared" si="749"/>
        <v>3852</v>
      </c>
      <c r="Y52" s="244">
        <f t="shared" si="749"/>
        <v>4196</v>
      </c>
      <c r="Z52" s="153">
        <f t="shared" si="749"/>
        <v>16494</v>
      </c>
      <c r="AA52" s="153"/>
      <c r="AB52" s="153">
        <f t="shared" ref="AB52:AF55" si="750">AB127+AB168+AB209</f>
        <v>4565</v>
      </c>
      <c r="AC52" s="153">
        <f t="shared" si="750"/>
        <v>5289</v>
      </c>
      <c r="AD52" s="244">
        <f t="shared" si="750"/>
        <v>5015</v>
      </c>
      <c r="AE52" s="244">
        <f t="shared" si="750"/>
        <v>5405</v>
      </c>
      <c r="AF52" s="153">
        <f t="shared" si="750"/>
        <v>20274</v>
      </c>
      <c r="AG52" s="153"/>
      <c r="AH52" s="153">
        <f t="shared" ref="AH52:AL55" si="751">AH127+AH168+AH209</f>
        <v>5676</v>
      </c>
      <c r="AI52" s="153">
        <f t="shared" si="751"/>
        <v>6310</v>
      </c>
      <c r="AJ52" s="244">
        <f t="shared" si="751"/>
        <v>6650</v>
      </c>
      <c r="AK52" s="244">
        <f t="shared" si="751"/>
        <v>7437</v>
      </c>
      <c r="AL52" s="153">
        <f t="shared" si="751"/>
        <v>26073</v>
      </c>
      <c r="AM52" s="153"/>
      <c r="AN52" s="153">
        <f t="shared" ref="AN52:AR55" si="752">AN127+AN168+AN209</f>
        <v>7488</v>
      </c>
      <c r="AO52" s="153">
        <f t="shared" si="752"/>
        <v>8430</v>
      </c>
      <c r="AP52" s="244">
        <f t="shared" si="752"/>
        <v>8410</v>
      </c>
      <c r="AQ52" s="244">
        <f t="shared" si="752"/>
        <v>8253</v>
      </c>
      <c r="AR52" s="153">
        <f t="shared" si="752"/>
        <v>32581</v>
      </c>
      <c r="AS52" s="153"/>
      <c r="AT52" s="153">
        <f t="shared" ref="AT52:AW55" si="753">AT127+AT168+AT209</f>
        <v>8048</v>
      </c>
      <c r="AU52" s="153">
        <f t="shared" si="753"/>
        <v>8471</v>
      </c>
      <c r="AV52" s="304">
        <f t="shared" si="753"/>
        <v>7974</v>
      </c>
      <c r="AW52" s="153">
        <f t="shared" si="753"/>
        <v>8092.5</v>
      </c>
      <c r="AX52" s="153">
        <f>SUM(AT52:AW52)</f>
        <v>32585.5</v>
      </c>
      <c r="AY52" s="153"/>
      <c r="AZ52" s="153">
        <f t="shared" ref="AZ52:BC55" si="754">AZ127+AZ168+AZ209</f>
        <v>7833.4000000000005</v>
      </c>
      <c r="BA52" s="153">
        <f t="shared" si="754"/>
        <v>8406.1</v>
      </c>
      <c r="BB52" s="153">
        <f t="shared" si="754"/>
        <v>7998.49</v>
      </c>
      <c r="BC52" s="153">
        <f t="shared" si="754"/>
        <v>8319.9599999999991</v>
      </c>
      <c r="BD52" s="153">
        <f>SUM(AZ52:BC52)</f>
        <v>32557.949999999997</v>
      </c>
      <c r="BE52" s="153"/>
      <c r="BF52" s="153">
        <f t="shared" ref="BF52:BI55" si="755">BF127+BF168+BF209</f>
        <v>8213.6940000000013</v>
      </c>
      <c r="BG52" s="153">
        <f t="shared" si="755"/>
        <v>8814.3450000000012</v>
      </c>
      <c r="BH52" s="153">
        <f t="shared" si="755"/>
        <v>8386.6520999999993</v>
      </c>
      <c r="BI52" s="153">
        <f t="shared" si="755"/>
        <v>8724.3516000000018</v>
      </c>
      <c r="BJ52" s="153">
        <f>SUM(BF52:BI52)</f>
        <v>34139.042700000005</v>
      </c>
      <c r="BK52" s="104"/>
      <c r="BL52" s="153">
        <f t="shared" ref="BL52:BO55" si="756">BL127+BL168+BL209</f>
        <v>8540.1039600000004</v>
      </c>
      <c r="BM52" s="153">
        <f t="shared" si="756"/>
        <v>9167.7325500000006</v>
      </c>
      <c r="BN52" s="153">
        <f t="shared" si="756"/>
        <v>8721.3532590000013</v>
      </c>
      <c r="BO52" s="153">
        <f t="shared" si="756"/>
        <v>9078.7764239999997</v>
      </c>
      <c r="BP52" s="153">
        <f>SUM(BL52:BO52)</f>
        <v>35507.966193</v>
      </c>
      <c r="BQ52" s="104"/>
      <c r="BR52" s="153">
        <f t="shared" ref="BR52:BU55" si="757">BR127+BR168+BR209</f>
        <v>8880.1878654000011</v>
      </c>
      <c r="BS52" s="153">
        <f t="shared" si="757"/>
        <v>9536.0441625000021</v>
      </c>
      <c r="BT52" s="153">
        <f t="shared" si="757"/>
        <v>9070.1282036100019</v>
      </c>
      <c r="BU52" s="153">
        <f t="shared" si="757"/>
        <v>9448.3479999600022</v>
      </c>
      <c r="BV52" s="153">
        <f>SUM(BR52:BU52)</f>
        <v>36934.708231470009</v>
      </c>
      <c r="BW52" s="104"/>
      <c r="BX52" s="153">
        <f t="shared" ref="BX52:CA55" si="758">BX127+BX168+BX209</f>
        <v>9234.5452844760021</v>
      </c>
      <c r="BY52" s="153">
        <f t="shared" si="758"/>
        <v>9919.9386642150021</v>
      </c>
      <c r="BZ52" s="153">
        <f t="shared" si="758"/>
        <v>9433.5958917819007</v>
      </c>
      <c r="CA52" s="153">
        <f t="shared" si="758"/>
        <v>9833.7416025384009</v>
      </c>
      <c r="CB52" s="153">
        <f>SUM(BX52:CA52)</f>
        <v>38421.821443011308</v>
      </c>
      <c r="CC52" s="104"/>
      <c r="CD52" s="153">
        <f t="shared" ref="CD52:CG55" si="759">CD127+CD168+CD209</f>
        <v>9603.8030507513431</v>
      </c>
      <c r="CE52" s="153">
        <f t="shared" si="759"/>
        <v>10320.105001225053</v>
      </c>
      <c r="CF52" s="153">
        <f t="shared" si="759"/>
        <v>9812.4034916990022</v>
      </c>
      <c r="CG52" s="153">
        <f t="shared" si="759"/>
        <v>10235.663615107838</v>
      </c>
      <c r="CH52" s="153">
        <f>SUM(CD52:CG52)</f>
        <v>39971.975158783236</v>
      </c>
      <c r="CI52" s="104"/>
      <c r="CJ52" s="153">
        <f t="shared" ref="CJ52:CM55" si="760">CJ127+CJ168+CJ209</f>
        <v>9988.6165372922096</v>
      </c>
      <c r="CK52" s="153">
        <f t="shared" si="760"/>
        <v>10737.263652257248</v>
      </c>
      <c r="CL52" s="153">
        <f t="shared" si="760"/>
        <v>10207.227702328539</v>
      </c>
      <c r="CM52" s="153">
        <f t="shared" si="760"/>
        <v>10654.852997815115</v>
      </c>
      <c r="CN52" s="153">
        <f>SUM(CJ52:CM52)</f>
        <v>41587.960889693109</v>
      </c>
      <c r="CO52" s="379"/>
    </row>
    <row r="53" spans="1:93" s="137" customFormat="1" ht="18" customHeight="1" x14ac:dyDescent="0.25">
      <c r="A53" s="414"/>
      <c r="B53" s="206" t="s">
        <v>375</v>
      </c>
      <c r="D53" s="153">
        <f t="shared" si="746"/>
        <v>794</v>
      </c>
      <c r="E53" s="153">
        <f t="shared" si="746"/>
        <v>975</v>
      </c>
      <c r="F53" s="244">
        <f t="shared" si="746"/>
        <v>1019</v>
      </c>
      <c r="G53" s="244">
        <f t="shared" si="746"/>
        <v>1150</v>
      </c>
      <c r="H53" s="153">
        <f t="shared" si="746"/>
        <v>3938</v>
      </c>
      <c r="I53" s="153"/>
      <c r="J53" s="153">
        <f t="shared" si="747"/>
        <v>984</v>
      </c>
      <c r="K53" s="153">
        <f t="shared" si="747"/>
        <v>1073</v>
      </c>
      <c r="L53" s="244">
        <f t="shared" si="747"/>
        <v>1126</v>
      </c>
      <c r="M53" s="244">
        <f t="shared" si="747"/>
        <v>1274</v>
      </c>
      <c r="N53" s="153">
        <f t="shared" si="747"/>
        <v>4457</v>
      </c>
      <c r="O53" s="153"/>
      <c r="P53" s="153">
        <f t="shared" si="748"/>
        <v>1074</v>
      </c>
      <c r="Q53" s="153">
        <f t="shared" si="748"/>
        <v>1165</v>
      </c>
      <c r="R53" s="244">
        <f t="shared" si="748"/>
        <v>1140</v>
      </c>
      <c r="S53" s="244">
        <f t="shared" si="748"/>
        <v>1076</v>
      </c>
      <c r="T53" s="153">
        <f t="shared" si="748"/>
        <v>4455</v>
      </c>
      <c r="U53" s="153"/>
      <c r="V53" s="153">
        <f t="shared" si="749"/>
        <v>834</v>
      </c>
      <c r="W53" s="153">
        <f t="shared" si="749"/>
        <v>679</v>
      </c>
      <c r="X53" s="244">
        <f t="shared" si="749"/>
        <v>720</v>
      </c>
      <c r="Y53" s="244">
        <f t="shared" si="749"/>
        <v>983</v>
      </c>
      <c r="Z53" s="153">
        <f t="shared" si="749"/>
        <v>3216</v>
      </c>
      <c r="AA53" s="153"/>
      <c r="AB53" s="153">
        <f t="shared" si="750"/>
        <v>1053</v>
      </c>
      <c r="AC53" s="153">
        <f t="shared" si="750"/>
        <v>1167</v>
      </c>
      <c r="AD53" s="244">
        <f t="shared" si="750"/>
        <v>1274</v>
      </c>
      <c r="AE53" s="244">
        <f t="shared" si="750"/>
        <v>1376</v>
      </c>
      <c r="AF53" s="153">
        <f t="shared" si="750"/>
        <v>4870</v>
      </c>
      <c r="AG53" s="153"/>
      <c r="AH53" s="153">
        <f t="shared" si="751"/>
        <v>1336</v>
      </c>
      <c r="AI53" s="153">
        <f t="shared" si="751"/>
        <v>1483</v>
      </c>
      <c r="AJ53" s="244">
        <f t="shared" si="751"/>
        <v>1739</v>
      </c>
      <c r="AK53" s="244">
        <f t="shared" si="751"/>
        <v>1909</v>
      </c>
      <c r="AL53" s="153">
        <f t="shared" si="751"/>
        <v>6467</v>
      </c>
      <c r="AM53" s="153"/>
      <c r="AN53" s="153">
        <f t="shared" si="752"/>
        <v>1453</v>
      </c>
      <c r="AO53" s="153">
        <f t="shared" si="752"/>
        <v>1563</v>
      </c>
      <c r="AP53" s="244">
        <f t="shared" si="752"/>
        <v>1514</v>
      </c>
      <c r="AQ53" s="244">
        <f t="shared" si="752"/>
        <v>1800</v>
      </c>
      <c r="AR53" s="153">
        <f t="shared" si="752"/>
        <v>6330</v>
      </c>
      <c r="AS53" s="153"/>
      <c r="AT53" s="153">
        <f t="shared" si="753"/>
        <v>1479</v>
      </c>
      <c r="AU53" s="153">
        <f t="shared" si="753"/>
        <v>1640</v>
      </c>
      <c r="AV53" s="304">
        <f t="shared" si="753"/>
        <v>1605</v>
      </c>
      <c r="AW53" s="153">
        <f t="shared" si="753"/>
        <v>1856.7499999999998</v>
      </c>
      <c r="AX53" s="153">
        <f t="shared" ref="AX53:AX56" si="761">SUM(AT53:AW53)</f>
        <v>6580.75</v>
      </c>
      <c r="AY53" s="153"/>
      <c r="AZ53" s="153">
        <f t="shared" si="754"/>
        <v>1434.8</v>
      </c>
      <c r="BA53" s="153">
        <f t="shared" si="754"/>
        <v>1584.2</v>
      </c>
      <c r="BB53" s="153">
        <f t="shared" si="754"/>
        <v>1559.1200000000001</v>
      </c>
      <c r="BC53" s="153">
        <f t="shared" si="754"/>
        <v>1806.412</v>
      </c>
      <c r="BD53" s="153">
        <f t="shared" ref="BD53:BD56" si="762">SUM(AZ53:BC53)</f>
        <v>6384.5320000000002</v>
      </c>
      <c r="BE53" s="153"/>
      <c r="BF53" s="153">
        <f t="shared" si="755"/>
        <v>1490.3899999999999</v>
      </c>
      <c r="BG53" s="153">
        <f t="shared" si="755"/>
        <v>1645.6585</v>
      </c>
      <c r="BH53" s="153">
        <f t="shared" si="755"/>
        <v>1618.4268000000002</v>
      </c>
      <c r="BI53" s="153">
        <f t="shared" si="755"/>
        <v>1872.01208</v>
      </c>
      <c r="BJ53" s="153">
        <f t="shared" ref="BJ53:BJ56" si="763">SUM(BF53:BI53)</f>
        <v>6626.4873800000005</v>
      </c>
      <c r="BK53" s="104"/>
      <c r="BL53" s="153">
        <f t="shared" si="756"/>
        <v>1542.0985599999999</v>
      </c>
      <c r="BM53" s="153">
        <f t="shared" si="756"/>
        <v>1702.9770199999998</v>
      </c>
      <c r="BN53" s="153">
        <f t="shared" si="756"/>
        <v>1674.0042720000001</v>
      </c>
      <c r="BO53" s="153">
        <f t="shared" si="756"/>
        <v>1933.6366432</v>
      </c>
      <c r="BP53" s="153">
        <f t="shared" ref="BP53:BP56" si="764">SUM(BL53:BO53)</f>
        <v>6852.7164952000003</v>
      </c>
      <c r="BQ53" s="104"/>
      <c r="BR53" s="153">
        <f t="shared" si="757"/>
        <v>1595.7173215999999</v>
      </c>
      <c r="BS53" s="153">
        <f t="shared" si="757"/>
        <v>1762.4181243999999</v>
      </c>
      <c r="BT53" s="153">
        <f t="shared" si="757"/>
        <v>1731.6216508800003</v>
      </c>
      <c r="BU53" s="153">
        <f t="shared" si="757"/>
        <v>1997.4610705280002</v>
      </c>
      <c r="BV53" s="153">
        <f t="shared" ref="BV53:BV56" si="765">SUM(BR53:BU53)</f>
        <v>7087.2181674080002</v>
      </c>
      <c r="BW53" s="104"/>
      <c r="BX53" s="153">
        <f t="shared" si="758"/>
        <v>1651.3195300480002</v>
      </c>
      <c r="BY53" s="153">
        <f t="shared" si="758"/>
        <v>1824.0633134480004</v>
      </c>
      <c r="BZ53" s="153">
        <f t="shared" si="758"/>
        <v>1791.3568690752004</v>
      </c>
      <c r="CA53" s="153">
        <f t="shared" si="758"/>
        <v>2063.5680541811203</v>
      </c>
      <c r="CB53" s="153">
        <f t="shared" ref="CB53:CB56" si="766">SUM(BX53:CA53)</f>
        <v>7330.3077667523212</v>
      </c>
      <c r="CC53" s="104"/>
      <c r="CD53" s="153">
        <f t="shared" si="759"/>
        <v>1708.9812971455999</v>
      </c>
      <c r="CE53" s="153">
        <f t="shared" si="759"/>
        <v>1887.9972793393601</v>
      </c>
      <c r="CF53" s="153">
        <f t="shared" si="759"/>
        <v>1853.2909030414085</v>
      </c>
      <c r="CG53" s="153">
        <f t="shared" si="759"/>
        <v>2132.0434879970048</v>
      </c>
      <c r="CH53" s="153">
        <f t="shared" ref="CH53:CH56" si="767">SUM(CD53:CG53)</f>
        <v>7582.312967523374</v>
      </c>
      <c r="CI53" s="104"/>
      <c r="CJ53" s="153">
        <f t="shared" si="760"/>
        <v>1768.7817146450177</v>
      </c>
      <c r="CK53" s="153">
        <f t="shared" si="760"/>
        <v>1954.3080325334436</v>
      </c>
      <c r="CL53" s="153">
        <f t="shared" si="760"/>
        <v>1917.5078935503288</v>
      </c>
      <c r="CM53" s="153">
        <f t="shared" si="760"/>
        <v>2202.9765933984982</v>
      </c>
      <c r="CN53" s="153">
        <f t="shared" ref="CN53:CN56" si="768">SUM(CJ53:CM53)</f>
        <v>7843.574234127288</v>
      </c>
      <c r="CO53" s="379"/>
    </row>
    <row r="54" spans="1:93" s="137" customFormat="1" ht="18" customHeight="1" x14ac:dyDescent="0.25">
      <c r="A54" s="414"/>
      <c r="B54" s="206" t="s">
        <v>376</v>
      </c>
      <c r="D54" s="153">
        <f t="shared" si="746"/>
        <v>2128</v>
      </c>
      <c r="E54" s="153">
        <f t="shared" si="746"/>
        <v>2439</v>
      </c>
      <c r="F54" s="244">
        <f t="shared" si="746"/>
        <v>2662</v>
      </c>
      <c r="G54" s="244">
        <f t="shared" si="746"/>
        <v>2737</v>
      </c>
      <c r="H54" s="153">
        <f t="shared" si="746"/>
        <v>9966</v>
      </c>
      <c r="I54" s="153"/>
      <c r="J54" s="153">
        <f t="shared" si="747"/>
        <v>2679</v>
      </c>
      <c r="K54" s="153">
        <f t="shared" si="747"/>
        <v>2893</v>
      </c>
      <c r="L54" s="244">
        <f t="shared" si="747"/>
        <v>2863</v>
      </c>
      <c r="M54" s="244">
        <f t="shared" si="747"/>
        <v>3126</v>
      </c>
      <c r="N54" s="153">
        <f t="shared" si="747"/>
        <v>11561</v>
      </c>
      <c r="O54" s="153"/>
      <c r="P54" s="153">
        <f t="shared" si="748"/>
        <v>2506</v>
      </c>
      <c r="Q54" s="153">
        <f t="shared" si="748"/>
        <v>2714</v>
      </c>
      <c r="R54" s="244">
        <f t="shared" si="748"/>
        <v>2668</v>
      </c>
      <c r="S54" s="244">
        <f t="shared" si="748"/>
        <v>2954</v>
      </c>
      <c r="T54" s="153">
        <f t="shared" si="748"/>
        <v>10842</v>
      </c>
      <c r="U54" s="153"/>
      <c r="V54" s="153">
        <f t="shared" si="749"/>
        <v>2337</v>
      </c>
      <c r="W54" s="153">
        <f t="shared" si="749"/>
        <v>2241</v>
      </c>
      <c r="X54" s="244">
        <f t="shared" si="749"/>
        <v>2293</v>
      </c>
      <c r="Y54" s="244">
        <f t="shared" si="749"/>
        <v>2613</v>
      </c>
      <c r="Z54" s="153">
        <f t="shared" si="749"/>
        <v>9484</v>
      </c>
      <c r="AA54" s="153"/>
      <c r="AB54" s="153">
        <f t="shared" si="750"/>
        <v>2648</v>
      </c>
      <c r="AC54" s="153">
        <f t="shared" si="750"/>
        <v>3012</v>
      </c>
      <c r="AD54" s="244">
        <f t="shared" si="750"/>
        <v>2840</v>
      </c>
      <c r="AE54" s="244">
        <f t="shared" si="750"/>
        <v>3253</v>
      </c>
      <c r="AF54" s="153">
        <f t="shared" si="750"/>
        <v>11753</v>
      </c>
      <c r="AG54" s="153"/>
      <c r="AH54" s="153">
        <f t="shared" si="751"/>
        <v>3055</v>
      </c>
      <c r="AI54" s="153">
        <f t="shared" si="751"/>
        <v>2906</v>
      </c>
      <c r="AJ54" s="244">
        <f t="shared" si="751"/>
        <v>3053</v>
      </c>
      <c r="AK54" s="244">
        <f t="shared" si="751"/>
        <v>3522</v>
      </c>
      <c r="AL54" s="153">
        <f t="shared" si="751"/>
        <v>12536</v>
      </c>
      <c r="AM54" s="153"/>
      <c r="AN54" s="153">
        <f t="shared" si="752"/>
        <v>3319</v>
      </c>
      <c r="AO54" s="153">
        <f t="shared" si="752"/>
        <v>3434</v>
      </c>
      <c r="AP54" s="244">
        <f t="shared" si="752"/>
        <v>3287</v>
      </c>
      <c r="AQ54" s="244">
        <f t="shared" si="752"/>
        <v>3212</v>
      </c>
      <c r="AR54" s="153">
        <f t="shared" si="752"/>
        <v>13252</v>
      </c>
      <c r="AS54" s="153"/>
      <c r="AT54" s="153">
        <f t="shared" si="753"/>
        <v>2755</v>
      </c>
      <c r="AU54" s="153">
        <f t="shared" si="753"/>
        <v>2910</v>
      </c>
      <c r="AV54" s="304">
        <f t="shared" si="753"/>
        <v>3078</v>
      </c>
      <c r="AW54" s="153">
        <f t="shared" si="753"/>
        <v>3054.6</v>
      </c>
      <c r="AX54" s="153">
        <f t="shared" si="761"/>
        <v>11797.6</v>
      </c>
      <c r="AY54" s="153"/>
      <c r="AZ54" s="153">
        <f t="shared" si="754"/>
        <v>2673.6000000000004</v>
      </c>
      <c r="BA54" s="153">
        <f t="shared" si="754"/>
        <v>2876.3500000000004</v>
      </c>
      <c r="BB54" s="153">
        <f t="shared" si="754"/>
        <v>3112.48</v>
      </c>
      <c r="BC54" s="153">
        <f t="shared" si="754"/>
        <v>3101.7150000000001</v>
      </c>
      <c r="BD54" s="153">
        <f t="shared" si="762"/>
        <v>11764.145</v>
      </c>
      <c r="BE54" s="153"/>
      <c r="BF54" s="153">
        <f t="shared" si="755"/>
        <v>2803.0950000000003</v>
      </c>
      <c r="BG54" s="153">
        <f t="shared" si="755"/>
        <v>3015.7474999999999</v>
      </c>
      <c r="BH54" s="153">
        <f t="shared" si="755"/>
        <v>3263.5072</v>
      </c>
      <c r="BI54" s="153">
        <f t="shared" si="755"/>
        <v>3252.63555</v>
      </c>
      <c r="BJ54" s="153">
        <f t="shared" si="763"/>
        <v>12334.985250000002</v>
      </c>
      <c r="BK54" s="104"/>
      <c r="BL54" s="153">
        <f t="shared" si="756"/>
        <v>2929.4851500000004</v>
      </c>
      <c r="BM54" s="153">
        <f t="shared" si="756"/>
        <v>3152.0439249999999</v>
      </c>
      <c r="BN54" s="153">
        <f t="shared" si="756"/>
        <v>3410.4306380000003</v>
      </c>
      <c r="BO54" s="153">
        <f t="shared" si="756"/>
        <v>3400.7999220000002</v>
      </c>
      <c r="BP54" s="153">
        <f t="shared" si="764"/>
        <v>12892.759635</v>
      </c>
      <c r="BQ54" s="104"/>
      <c r="BR54" s="153">
        <f t="shared" si="757"/>
        <v>3061.6442235000004</v>
      </c>
      <c r="BS54" s="153">
        <f t="shared" si="757"/>
        <v>3294.5755332500003</v>
      </c>
      <c r="BT54" s="153">
        <f t="shared" si="757"/>
        <v>3564.0501710200006</v>
      </c>
      <c r="BU54" s="153">
        <f t="shared" si="757"/>
        <v>3555.7938163800009</v>
      </c>
      <c r="BV54" s="153">
        <f t="shared" si="765"/>
        <v>13476.063744150002</v>
      </c>
      <c r="BW54" s="104"/>
      <c r="BX54" s="153">
        <f t="shared" si="758"/>
        <v>3199.8386433150008</v>
      </c>
      <c r="BY54" s="153">
        <f t="shared" si="758"/>
        <v>3443.6308983925001</v>
      </c>
      <c r="BZ54" s="153">
        <f t="shared" si="758"/>
        <v>3724.6746007358006</v>
      </c>
      <c r="CA54" s="153">
        <f t="shared" si="758"/>
        <v>3717.9355614102005</v>
      </c>
      <c r="CB54" s="153">
        <f t="shared" si="766"/>
        <v>14086.079703853502</v>
      </c>
      <c r="CC54" s="104"/>
      <c r="CD54" s="153">
        <f t="shared" si="759"/>
        <v>3344.3472724663507</v>
      </c>
      <c r="CE54" s="153">
        <f t="shared" si="759"/>
        <v>3599.5120953313258</v>
      </c>
      <c r="CF54" s="153">
        <f t="shared" si="759"/>
        <v>3892.6271287839827</v>
      </c>
      <c r="CG54" s="153">
        <f t="shared" si="759"/>
        <v>3887.5584758603586</v>
      </c>
      <c r="CH54" s="153">
        <f t="shared" si="767"/>
        <v>14724.044972442018</v>
      </c>
      <c r="CI54" s="104"/>
      <c r="CJ54" s="153">
        <f t="shared" si="760"/>
        <v>3495.4620009546925</v>
      </c>
      <c r="CK54" s="153">
        <f t="shared" si="760"/>
        <v>3762.5353381978603</v>
      </c>
      <c r="CL54" s="153">
        <f t="shared" si="760"/>
        <v>4068.2460351550294</v>
      </c>
      <c r="CM54" s="153">
        <f t="shared" si="760"/>
        <v>4065.0115814882106</v>
      </c>
      <c r="CN54" s="153">
        <f t="shared" si="768"/>
        <v>15391.254955795792</v>
      </c>
      <c r="CO54" s="379"/>
    </row>
    <row r="55" spans="1:93" s="137" customFormat="1" ht="18" customHeight="1" x14ac:dyDescent="0.25">
      <c r="A55" s="414"/>
      <c r="B55" s="206" t="s">
        <v>377</v>
      </c>
      <c r="D55" s="153">
        <f t="shared" si="746"/>
        <v>1962</v>
      </c>
      <c r="E55" s="153">
        <f t="shared" si="746"/>
        <v>2304</v>
      </c>
      <c r="F55" s="244">
        <f t="shared" si="746"/>
        <v>2330</v>
      </c>
      <c r="G55" s="244">
        <f t="shared" si="746"/>
        <v>2818</v>
      </c>
      <c r="H55" s="153">
        <f t="shared" si="746"/>
        <v>9414</v>
      </c>
      <c r="I55" s="153"/>
      <c r="J55" s="153">
        <f t="shared" si="747"/>
        <v>2837</v>
      </c>
      <c r="K55" s="153">
        <f t="shared" si="747"/>
        <v>3191</v>
      </c>
      <c r="L55" s="244">
        <f t="shared" si="747"/>
        <v>2976</v>
      </c>
      <c r="M55" s="244">
        <f t="shared" si="747"/>
        <v>3018</v>
      </c>
      <c r="N55" s="153">
        <f t="shared" si="747"/>
        <v>12022</v>
      </c>
      <c r="O55" s="153"/>
      <c r="P55" s="153">
        <f t="shared" si="748"/>
        <v>3085</v>
      </c>
      <c r="Q55" s="153">
        <f t="shared" si="748"/>
        <v>2934</v>
      </c>
      <c r="R55" s="244">
        <f t="shared" si="748"/>
        <v>2562</v>
      </c>
      <c r="S55" s="244">
        <f t="shared" si="748"/>
        <v>3025</v>
      </c>
      <c r="T55" s="153">
        <f t="shared" si="748"/>
        <v>11606</v>
      </c>
      <c r="U55" s="153"/>
      <c r="V55" s="153">
        <f t="shared" si="749"/>
        <v>2219</v>
      </c>
      <c r="W55" s="153">
        <f t="shared" si="749"/>
        <v>2436</v>
      </c>
      <c r="X55" s="244">
        <f t="shared" si="749"/>
        <v>2362</v>
      </c>
      <c r="Y55" s="244">
        <f t="shared" si="749"/>
        <v>2775</v>
      </c>
      <c r="Z55" s="153">
        <f t="shared" si="749"/>
        <v>9792</v>
      </c>
      <c r="AA55" s="153"/>
      <c r="AB55" s="153">
        <f t="shared" si="750"/>
        <v>2930</v>
      </c>
      <c r="AC55" s="153">
        <f t="shared" si="750"/>
        <v>2726</v>
      </c>
      <c r="AD55" s="244">
        <f t="shared" si="750"/>
        <v>2564</v>
      </c>
      <c r="AE55" s="244">
        <f t="shared" si="750"/>
        <v>3049</v>
      </c>
      <c r="AF55" s="153">
        <f t="shared" si="750"/>
        <v>11269</v>
      </c>
      <c r="AG55" s="153"/>
      <c r="AH55" s="153">
        <f t="shared" si="751"/>
        <v>2810</v>
      </c>
      <c r="AI55" s="153">
        <f t="shared" si="751"/>
        <v>2827</v>
      </c>
      <c r="AJ55" s="244">
        <f t="shared" si="751"/>
        <v>2804</v>
      </c>
      <c r="AK55" s="244">
        <f t="shared" si="751"/>
        <v>2960</v>
      </c>
      <c r="AL55" s="153">
        <f t="shared" si="751"/>
        <v>11401</v>
      </c>
      <c r="AM55" s="153"/>
      <c r="AN55" s="153">
        <f t="shared" si="752"/>
        <v>2858</v>
      </c>
      <c r="AO55" s="153">
        <f t="shared" si="752"/>
        <v>3124</v>
      </c>
      <c r="AP55" s="244">
        <f t="shared" si="752"/>
        <v>2784</v>
      </c>
      <c r="AQ55" s="244">
        <f t="shared" si="752"/>
        <v>2964</v>
      </c>
      <c r="AR55" s="153">
        <f t="shared" si="752"/>
        <v>11730</v>
      </c>
      <c r="AS55" s="153"/>
      <c r="AT55" s="153">
        <f t="shared" si="753"/>
        <v>2718</v>
      </c>
      <c r="AU55" s="153">
        <f t="shared" si="753"/>
        <v>2837</v>
      </c>
      <c r="AV55" s="304">
        <f t="shared" si="753"/>
        <v>2594</v>
      </c>
      <c r="AW55" s="153">
        <f t="shared" si="753"/>
        <v>2808.75</v>
      </c>
      <c r="AX55" s="153">
        <f t="shared" si="761"/>
        <v>10957.75</v>
      </c>
      <c r="AY55" s="153"/>
      <c r="AZ55" s="153">
        <f t="shared" si="754"/>
        <v>2571.3000000000002</v>
      </c>
      <c r="BA55" s="153">
        <f t="shared" si="754"/>
        <v>2690.1</v>
      </c>
      <c r="BB55" s="153">
        <f t="shared" si="754"/>
        <v>2593.0500000000002</v>
      </c>
      <c r="BC55" s="153">
        <f t="shared" si="754"/>
        <v>2807.1149999999998</v>
      </c>
      <c r="BD55" s="153">
        <f t="shared" si="762"/>
        <v>10661.564999999999</v>
      </c>
      <c r="BE55" s="153"/>
      <c r="BF55" s="153">
        <f t="shared" si="755"/>
        <v>2691.8460000000005</v>
      </c>
      <c r="BG55" s="153">
        <f t="shared" si="755"/>
        <v>2816.0550000000003</v>
      </c>
      <c r="BH55" s="153">
        <f t="shared" si="755"/>
        <v>2714.0725000000002</v>
      </c>
      <c r="BI55" s="153">
        <f t="shared" si="755"/>
        <v>2938.5502500000002</v>
      </c>
      <c r="BJ55" s="153">
        <f t="shared" si="763"/>
        <v>11160.52375</v>
      </c>
      <c r="BK55" s="104"/>
      <c r="BL55" s="153">
        <f t="shared" si="756"/>
        <v>2808.7146900000002</v>
      </c>
      <c r="BM55" s="153">
        <f t="shared" si="756"/>
        <v>2938.7520000000004</v>
      </c>
      <c r="BN55" s="153">
        <f t="shared" si="756"/>
        <v>2832.0727999999999</v>
      </c>
      <c r="BO55" s="153">
        <f t="shared" si="756"/>
        <v>3066.4778100000003</v>
      </c>
      <c r="BP55" s="153">
        <f t="shared" si="764"/>
        <v>11646.017300000001</v>
      </c>
      <c r="BQ55" s="104"/>
      <c r="BR55" s="153">
        <f t="shared" si="757"/>
        <v>2930.7178701000003</v>
      </c>
      <c r="BS55" s="153">
        <f t="shared" si="757"/>
        <v>3066.8596200000002</v>
      </c>
      <c r="BT55" s="153">
        <f t="shared" si="757"/>
        <v>2955.2649820000006</v>
      </c>
      <c r="BU55" s="153">
        <f t="shared" si="757"/>
        <v>3200.0417499000005</v>
      </c>
      <c r="BV55" s="153">
        <f t="shared" si="765"/>
        <v>12152.884222000001</v>
      </c>
      <c r="BW55" s="104"/>
      <c r="BX55" s="153">
        <f t="shared" si="758"/>
        <v>3058.0839070290003</v>
      </c>
      <c r="BY55" s="153">
        <f t="shared" si="758"/>
        <v>3200.6194218000001</v>
      </c>
      <c r="BZ55" s="153">
        <f t="shared" si="758"/>
        <v>3083.8803147800008</v>
      </c>
      <c r="CA55" s="153">
        <f t="shared" si="758"/>
        <v>3339.4934887710006</v>
      </c>
      <c r="CB55" s="153">
        <f t="shared" si="766"/>
        <v>12682.077132380002</v>
      </c>
      <c r="CC55" s="104"/>
      <c r="CD55" s="153">
        <f t="shared" si="759"/>
        <v>3191.0514515414106</v>
      </c>
      <c r="CE55" s="153">
        <f t="shared" si="759"/>
        <v>3340.2838865220006</v>
      </c>
      <c r="CF55" s="153">
        <f t="shared" si="759"/>
        <v>3218.1604975462005</v>
      </c>
      <c r="CG55" s="153">
        <f t="shared" si="759"/>
        <v>3485.0958006405908</v>
      </c>
      <c r="CH55" s="153">
        <f t="shared" si="767"/>
        <v>13234.591636250201</v>
      </c>
      <c r="CI55" s="104"/>
      <c r="CJ55" s="153">
        <f t="shared" si="760"/>
        <v>3329.8699072458794</v>
      </c>
      <c r="CK55" s="153">
        <f t="shared" si="760"/>
        <v>3486.1169142253802</v>
      </c>
      <c r="CL55" s="153">
        <f t="shared" si="760"/>
        <v>3358.3581361317983</v>
      </c>
      <c r="CM55" s="153">
        <f t="shared" si="760"/>
        <v>3637.1233336009022</v>
      </c>
      <c r="CN55" s="153">
        <f t="shared" si="768"/>
        <v>13811.468291203961</v>
      </c>
      <c r="CO55" s="379"/>
    </row>
    <row r="56" spans="1:93" s="137" customFormat="1" ht="18" customHeight="1" x14ac:dyDescent="0.25">
      <c r="A56" s="414"/>
      <c r="B56" s="416" t="s">
        <v>415</v>
      </c>
      <c r="D56" s="153">
        <f t="shared" ref="D56" si="769">D57-SUM(D52:D55)</f>
        <v>13</v>
      </c>
      <c r="E56" s="153">
        <f t="shared" ref="E56" si="770">E57-SUM(E52:E55)</f>
        <v>9</v>
      </c>
      <c r="F56" s="203">
        <f t="shared" ref="F56" si="771">F57-SUM(F52:F55)</f>
        <v>28</v>
      </c>
      <c r="G56" s="203">
        <f t="shared" ref="G56" si="772">G57-SUM(G52:G55)</f>
        <v>25</v>
      </c>
      <c r="H56" s="153">
        <f t="shared" ref="H56" si="773">H57-SUM(H52:H55)</f>
        <v>75</v>
      </c>
      <c r="I56" s="153"/>
      <c r="J56" s="153">
        <f t="shared" ref="J56" si="774">J57-SUM(J52:J55)</f>
        <v>7</v>
      </c>
      <c r="K56" s="153">
        <f t="shared" ref="K56" si="775">K57-SUM(K52:K55)</f>
        <v>-3</v>
      </c>
      <c r="L56" s="203">
        <f t="shared" ref="L56" si="776">L57-SUM(L52:L55)</f>
        <v>-6</v>
      </c>
      <c r="M56" s="203">
        <f t="shared" ref="M56" si="777">M57-SUM(M52:M55)</f>
        <v>-12</v>
      </c>
      <c r="N56" s="153">
        <f t="shared" ref="N56" si="778">N57-SUM(N52:N55)</f>
        <v>-14</v>
      </c>
      <c r="O56" s="153"/>
      <c r="P56" s="153">
        <f t="shared" ref="P56" si="779">P57-SUM(P52:P55)</f>
        <v>-8</v>
      </c>
      <c r="Q56" s="153">
        <f t="shared" ref="Q56" si="780">Q57-SUM(Q52:Q55)</f>
        <v>-10</v>
      </c>
      <c r="R56" s="203">
        <f t="shared" ref="R56" si="781">R57-SUM(R52:R55)</f>
        <v>-42</v>
      </c>
      <c r="S56" s="203">
        <f t="shared" ref="S56" si="782">S57-SUM(S52:S55)</f>
        <v>-39</v>
      </c>
      <c r="T56" s="153">
        <f t="shared" ref="T56" si="783">T57-SUM(T52:T55)</f>
        <v>-99</v>
      </c>
      <c r="U56" s="153"/>
      <c r="V56" s="153">
        <f t="shared" ref="V56" si="784">V57-SUM(V52:V55)</f>
        <v>5</v>
      </c>
      <c r="W56" s="153">
        <f t="shared" ref="W56" si="785">W57-SUM(W52:W55)</f>
        <v>27</v>
      </c>
      <c r="X56" s="203">
        <f t="shared" ref="X56" si="786">X57-SUM(X52:X55)</f>
        <v>1</v>
      </c>
      <c r="Y56" s="203">
        <f t="shared" ref="Y56" si="787">Y57-SUM(Y52:Y55)</f>
        <v>3</v>
      </c>
      <c r="Z56" s="153">
        <f t="shared" ref="Z56" si="788">Z57-SUM(Z52:Z55)</f>
        <v>36</v>
      </c>
      <c r="AA56" s="153"/>
      <c r="AB56" s="153">
        <f t="shared" ref="AB56" si="789">AB57-SUM(AB52:AB55)</f>
        <v>-5</v>
      </c>
      <c r="AC56" s="153">
        <f t="shared" ref="AC56" si="790">AC57-SUM(AC52:AC55)</f>
        <v>-1</v>
      </c>
      <c r="AD56" s="203">
        <f t="shared" ref="AD56" si="791">AD57-SUM(AD52:AD55)</f>
        <v>14</v>
      </c>
      <c r="AE56" s="203">
        <f t="shared" ref="AE56" si="792">AE57-SUM(AE52:AE55)</f>
        <v>14</v>
      </c>
      <c r="AF56" s="153">
        <f t="shared" ref="AF56" si="793">AF57-SUM(AF52:AF55)</f>
        <v>22</v>
      </c>
      <c r="AG56" s="153"/>
      <c r="AH56" s="153">
        <f t="shared" ref="AH56" si="794">AH57-SUM(AH52:AH55)</f>
        <v>9</v>
      </c>
      <c r="AI56" s="153">
        <f t="shared" ref="AI56" si="795">AI57-SUM(AI52:AI55)</f>
        <v>13</v>
      </c>
      <c r="AJ56" s="203">
        <f t="shared" ref="AJ56" si="796">AJ57-SUM(AJ52:AJ55)</f>
        <v>32</v>
      </c>
      <c r="AK56" s="203">
        <f t="shared" ref="AK56" si="797">AK57-SUM(AK52:AK55)</f>
        <v>43</v>
      </c>
      <c r="AL56" s="153">
        <f t="shared" ref="AL56" si="798">AL57-SUM(AL52:AL55)</f>
        <v>97</v>
      </c>
      <c r="AM56" s="153"/>
      <c r="AN56" s="153">
        <f t="shared" ref="AN56:AR56" si="799">AN57-SUM(AN52:AN55)</f>
        <v>-19</v>
      </c>
      <c r="AO56" s="153">
        <f t="shared" si="799"/>
        <v>-6</v>
      </c>
      <c r="AP56" s="203">
        <f t="shared" si="799"/>
        <v>-7</v>
      </c>
      <c r="AQ56" s="203">
        <f t="shared" si="799"/>
        <v>8</v>
      </c>
      <c r="AR56" s="153">
        <f t="shared" si="799"/>
        <v>-24</v>
      </c>
      <c r="AS56" s="153"/>
      <c r="AT56" s="153">
        <f t="shared" ref="AT56:AV56" si="800">AT57-SUM(AT52:AT55)</f>
        <v>-40</v>
      </c>
      <c r="AU56" s="153">
        <f t="shared" si="800"/>
        <v>-18</v>
      </c>
      <c r="AV56" s="308">
        <f t="shared" si="800"/>
        <v>-20</v>
      </c>
      <c r="AW56" s="540">
        <v>0</v>
      </c>
      <c r="AX56" s="153">
        <f t="shared" si="761"/>
        <v>-78</v>
      </c>
      <c r="AY56" s="153"/>
      <c r="AZ56" s="528">
        <v>0</v>
      </c>
      <c r="BA56" s="528">
        <v>0</v>
      </c>
      <c r="BB56" s="528">
        <v>0</v>
      </c>
      <c r="BC56" s="528">
        <v>0</v>
      </c>
      <c r="BD56" s="153">
        <f t="shared" si="762"/>
        <v>0</v>
      </c>
      <c r="BE56" s="153"/>
      <c r="BF56" s="528">
        <v>0</v>
      </c>
      <c r="BG56" s="528">
        <v>0</v>
      </c>
      <c r="BH56" s="528">
        <v>0</v>
      </c>
      <c r="BI56" s="528">
        <v>0</v>
      </c>
      <c r="BJ56" s="153">
        <f t="shared" si="763"/>
        <v>0</v>
      </c>
      <c r="BK56" s="104"/>
      <c r="BL56" s="528">
        <v>0</v>
      </c>
      <c r="BM56" s="528">
        <v>0</v>
      </c>
      <c r="BN56" s="528">
        <v>0</v>
      </c>
      <c r="BO56" s="528">
        <v>0</v>
      </c>
      <c r="BP56" s="153">
        <f t="shared" si="764"/>
        <v>0</v>
      </c>
      <c r="BQ56" s="104"/>
      <c r="BR56" s="528">
        <v>0</v>
      </c>
      <c r="BS56" s="528">
        <v>0</v>
      </c>
      <c r="BT56" s="528">
        <v>0</v>
      </c>
      <c r="BU56" s="528">
        <v>0</v>
      </c>
      <c r="BV56" s="153">
        <f t="shared" si="765"/>
        <v>0</v>
      </c>
      <c r="BW56" s="104"/>
      <c r="BX56" s="528">
        <v>0</v>
      </c>
      <c r="BY56" s="528">
        <v>0</v>
      </c>
      <c r="BZ56" s="528">
        <v>0</v>
      </c>
      <c r="CA56" s="528">
        <v>0</v>
      </c>
      <c r="CB56" s="153">
        <f t="shared" si="766"/>
        <v>0</v>
      </c>
      <c r="CC56" s="104"/>
      <c r="CD56" s="528">
        <v>0</v>
      </c>
      <c r="CE56" s="528">
        <v>0</v>
      </c>
      <c r="CF56" s="528">
        <v>0</v>
      </c>
      <c r="CG56" s="528">
        <v>0</v>
      </c>
      <c r="CH56" s="153">
        <f t="shared" si="767"/>
        <v>0</v>
      </c>
      <c r="CI56" s="104"/>
      <c r="CJ56" s="528">
        <v>0</v>
      </c>
      <c r="CK56" s="528">
        <v>0</v>
      </c>
      <c r="CL56" s="528">
        <v>0</v>
      </c>
      <c r="CM56" s="528">
        <v>0</v>
      </c>
      <c r="CN56" s="153">
        <f t="shared" si="768"/>
        <v>0</v>
      </c>
      <c r="CO56" s="379"/>
    </row>
    <row r="57" spans="1:93" ht="18" customHeight="1" x14ac:dyDescent="0.25">
      <c r="B57" s="155" t="s">
        <v>141</v>
      </c>
      <c r="C57" s="13"/>
      <c r="D57" s="200">
        <f>D7</f>
        <v>9130</v>
      </c>
      <c r="E57" s="200">
        <f>E7</f>
        <v>10639</v>
      </c>
      <c r="F57" s="200">
        <f>F7</f>
        <v>10713</v>
      </c>
      <c r="G57" s="200">
        <f>G7</f>
        <v>12194</v>
      </c>
      <c r="H57" s="200">
        <f>H7</f>
        <v>42676</v>
      </c>
      <c r="I57" s="46"/>
      <c r="J57" s="200">
        <f>J7</f>
        <v>12150</v>
      </c>
      <c r="K57" s="200">
        <f>K7</f>
        <v>13279</v>
      </c>
      <c r="L57" s="200">
        <f>L7</f>
        <v>12763</v>
      </c>
      <c r="M57" s="200">
        <f>M7</f>
        <v>13630</v>
      </c>
      <c r="N57" s="200">
        <f>N7</f>
        <v>51822</v>
      </c>
      <c r="O57" s="73"/>
      <c r="P57" s="200">
        <f>P7</f>
        <v>12724</v>
      </c>
      <c r="Q57" s="200">
        <f>Q7</f>
        <v>13671</v>
      </c>
      <c r="R57" s="200">
        <f>R7</f>
        <v>11974</v>
      </c>
      <c r="S57" s="200">
        <f>S7</f>
        <v>12386</v>
      </c>
      <c r="T57" s="200">
        <f>T7</f>
        <v>50755</v>
      </c>
      <c r="U57" s="73"/>
      <c r="V57" s="200">
        <f>V7</f>
        <v>9914</v>
      </c>
      <c r="W57" s="200">
        <f>W7</f>
        <v>9310</v>
      </c>
      <c r="X57" s="200">
        <f>X7</f>
        <v>9228</v>
      </c>
      <c r="Y57" s="200">
        <f>Y7</f>
        <v>10570</v>
      </c>
      <c r="Z57" s="200">
        <f>Z7</f>
        <v>39022</v>
      </c>
      <c r="AA57" s="73"/>
      <c r="AB57" s="200">
        <f>AB7</f>
        <v>11191</v>
      </c>
      <c r="AC57" s="200">
        <f>AC7</f>
        <v>12193</v>
      </c>
      <c r="AD57" s="200">
        <f>AD7</f>
        <v>11707</v>
      </c>
      <c r="AE57" s="200">
        <f>AE7</f>
        <v>13097</v>
      </c>
      <c r="AF57" s="200">
        <f>AF7</f>
        <v>48188</v>
      </c>
      <c r="AG57" s="46"/>
      <c r="AH57" s="200">
        <f>AH7</f>
        <v>12886</v>
      </c>
      <c r="AI57" s="200">
        <f>AI7</f>
        <v>13539</v>
      </c>
      <c r="AJ57" s="200">
        <f>AJ7</f>
        <v>14278</v>
      </c>
      <c r="AK57" s="200">
        <f>AK7</f>
        <v>15871</v>
      </c>
      <c r="AL57" s="200">
        <f>AL7</f>
        <v>56574</v>
      </c>
      <c r="AM57" s="46"/>
      <c r="AN57" s="200">
        <f>AN7</f>
        <v>15099</v>
      </c>
      <c r="AO57" s="200">
        <f>AO7</f>
        <v>16545</v>
      </c>
      <c r="AP57" s="200">
        <f>AP7</f>
        <v>15988</v>
      </c>
      <c r="AQ57" s="200">
        <f>AQ7</f>
        <v>16237</v>
      </c>
      <c r="AR57" s="200">
        <f>AR7</f>
        <v>63869</v>
      </c>
      <c r="AS57" s="202"/>
      <c r="AT57" s="200">
        <f>AT7</f>
        <v>14960</v>
      </c>
      <c r="AU57" s="200">
        <f>AU7</f>
        <v>15840</v>
      </c>
      <c r="AV57" s="311">
        <f>AV7</f>
        <v>15231</v>
      </c>
      <c r="AW57" s="73">
        <f>SUM(AW52:AW56)</f>
        <v>15812.6</v>
      </c>
      <c r="AX57" s="73">
        <f>SUM(AX52:AX56)</f>
        <v>61843.6</v>
      </c>
      <c r="AY57" s="46"/>
      <c r="AZ57" s="73">
        <f t="shared" ref="AZ57" si="801">SUM(AZ52:AZ56)</f>
        <v>14513.100000000002</v>
      </c>
      <c r="BA57" s="73">
        <f t="shared" ref="BA57" si="802">SUM(BA52:BA56)</f>
        <v>15556.750000000002</v>
      </c>
      <c r="BB57" s="73">
        <f t="shared" ref="BB57" si="803">SUM(BB52:BB56)</f>
        <v>15263.14</v>
      </c>
      <c r="BC57" s="73">
        <f t="shared" ref="BC57" si="804">SUM(BC52:BC56)</f>
        <v>16035.201999999999</v>
      </c>
      <c r="BD57" s="73">
        <f>SUM(BD52:BD56)</f>
        <v>61368.191999999995</v>
      </c>
      <c r="BE57" s="46"/>
      <c r="BF57" s="73">
        <f t="shared" ref="BF57" si="805">SUM(BF52:BF56)</f>
        <v>15199.025000000001</v>
      </c>
      <c r="BG57" s="73">
        <f t="shared" ref="BG57" si="806">SUM(BG52:BG56)</f>
        <v>16291.806</v>
      </c>
      <c r="BH57" s="73">
        <f t="shared" ref="BH57" si="807">SUM(BH52:BH56)</f>
        <v>15982.658600000001</v>
      </c>
      <c r="BI57" s="73">
        <f t="shared" ref="BI57" si="808">SUM(BI52:BI56)</f>
        <v>16787.549480000001</v>
      </c>
      <c r="BJ57" s="73">
        <f>SUM(BJ52:BJ56)</f>
        <v>64261.03908000001</v>
      </c>
      <c r="BK57" s="46"/>
      <c r="BL57" s="73">
        <f t="shared" ref="BL57" si="809">SUM(BL52:BL56)</f>
        <v>15820.402360000002</v>
      </c>
      <c r="BM57" s="73">
        <f t="shared" ref="BM57" si="810">SUM(BM52:BM56)</f>
        <v>16961.505495000001</v>
      </c>
      <c r="BN57" s="73">
        <f t="shared" ref="BN57" si="811">SUM(BN52:BN56)</f>
        <v>16637.860969000001</v>
      </c>
      <c r="BO57" s="73">
        <f t="shared" ref="BO57" si="812">SUM(BO52:BO56)</f>
        <v>17479.690799199998</v>
      </c>
      <c r="BP57" s="73">
        <f>SUM(BP52:BP56)</f>
        <v>66899.459623200004</v>
      </c>
      <c r="BQ57" s="46"/>
      <c r="BR57" s="73">
        <f t="shared" ref="BR57" si="813">SUM(BR52:BR56)</f>
        <v>16468.267280600001</v>
      </c>
      <c r="BS57" s="73">
        <f t="shared" ref="BS57" si="814">SUM(BS52:BS56)</f>
        <v>17659.897440150002</v>
      </c>
      <c r="BT57" s="73">
        <f t="shared" ref="BT57" si="815">SUM(BT52:BT56)</f>
        <v>17321.065007510006</v>
      </c>
      <c r="BU57" s="73">
        <f t="shared" ref="BU57" si="816">SUM(BU52:BU56)</f>
        <v>18201.644636768004</v>
      </c>
      <c r="BV57" s="73">
        <f>SUM(BV52:BV56)</f>
        <v>69650.874365028008</v>
      </c>
      <c r="BW57" s="46"/>
      <c r="BX57" s="73">
        <f t="shared" ref="BX57" si="817">SUM(BX52:BX56)</f>
        <v>17143.787364868003</v>
      </c>
      <c r="BY57" s="73">
        <f t="shared" ref="BY57" si="818">SUM(BY52:BY56)</f>
        <v>18388.252297855506</v>
      </c>
      <c r="BZ57" s="73">
        <f t="shared" ref="BZ57" si="819">SUM(BZ52:BZ56)</f>
        <v>18033.507676372901</v>
      </c>
      <c r="CA57" s="73">
        <f t="shared" ref="CA57" si="820">SUM(CA52:CA56)</f>
        <v>18954.738706900724</v>
      </c>
      <c r="CB57" s="73">
        <f>SUM(CB52:CB56)</f>
        <v>72520.286045997142</v>
      </c>
      <c r="CC57" s="46"/>
      <c r="CD57" s="73">
        <f t="shared" ref="CD57" si="821">SUM(CD52:CD56)</f>
        <v>17848.183071904703</v>
      </c>
      <c r="CE57" s="73">
        <f t="shared" ref="CE57" si="822">SUM(CE52:CE56)</f>
        <v>19147.898262417741</v>
      </c>
      <c r="CF57" s="73">
        <f t="shared" ref="CF57" si="823">SUM(CF52:CF56)</f>
        <v>18776.482021070595</v>
      </c>
      <c r="CG57" s="73">
        <f t="shared" ref="CG57" si="824">SUM(CG52:CG56)</f>
        <v>19740.361379605791</v>
      </c>
      <c r="CH57" s="73">
        <f>SUM(CH52:CH56)</f>
        <v>75512.924734998829</v>
      </c>
      <c r="CI57" s="46"/>
      <c r="CJ57" s="73">
        <f t="shared" ref="CJ57" si="825">SUM(CJ52:CJ56)</f>
        <v>18582.730160137799</v>
      </c>
      <c r="CK57" s="73">
        <f t="shared" ref="CK57" si="826">SUM(CK52:CK56)</f>
        <v>19940.22393721393</v>
      </c>
      <c r="CL57" s="73">
        <f t="shared" ref="CL57" si="827">SUM(CL52:CL56)</f>
        <v>19551.339767165697</v>
      </c>
      <c r="CM57" s="73">
        <f t="shared" ref="CM57" si="828">SUM(CM52:CM56)</f>
        <v>20559.964506302727</v>
      </c>
      <c r="CN57" s="73">
        <f>SUM(CN52:CN56)</f>
        <v>78634.258370820142</v>
      </c>
    </row>
    <row r="58" spans="1:93" ht="18" customHeight="1" x14ac:dyDescent="0.25">
      <c r="B58" s="14" t="s">
        <v>139</v>
      </c>
      <c r="D58" s="67"/>
      <c r="E58" s="239"/>
      <c r="F58" s="67"/>
      <c r="G58" s="239"/>
      <c r="H58" s="239"/>
      <c r="J58" s="67">
        <f>J57/D57-1</f>
        <v>0.33077765607886089</v>
      </c>
      <c r="K58" s="239">
        <f>K57/E57-1</f>
        <v>0.24814362252091371</v>
      </c>
      <c r="L58" s="67">
        <f>L57/F57-1</f>
        <v>0.19135629608886395</v>
      </c>
      <c r="M58" s="239">
        <f>M57/G57-1</f>
        <v>0.11776283418074462</v>
      </c>
      <c r="N58" s="239">
        <f>N57/H57-1</f>
        <v>0.21431249414190656</v>
      </c>
      <c r="O58" s="120"/>
      <c r="P58" s="67">
        <f>P57/J57-1</f>
        <v>4.7242798353909432E-2</v>
      </c>
      <c r="Q58" s="239">
        <f>Q57/K57-1</f>
        <v>2.9520295202952074E-2</v>
      </c>
      <c r="R58" s="67">
        <f>R57/L57-1</f>
        <v>-6.1819321476141997E-2</v>
      </c>
      <c r="S58" s="239">
        <f>S57/M57-1</f>
        <v>-9.1269258987527468E-2</v>
      </c>
      <c r="T58" s="239">
        <f>T57/N57-1</f>
        <v>-2.0589710933580307E-2</v>
      </c>
      <c r="U58" s="120"/>
      <c r="V58" s="67">
        <f>V57/P57-1</f>
        <v>-0.22084250235774916</v>
      </c>
      <c r="W58" s="239">
        <f>W57/Q57-1</f>
        <v>-0.31899641577060933</v>
      </c>
      <c r="X58" s="67">
        <f>X57/R57-1</f>
        <v>-0.22933021546684484</v>
      </c>
      <c r="Y58" s="239">
        <f>Y57/S57-1</f>
        <v>-0.14661714839334727</v>
      </c>
      <c r="Z58" s="239">
        <f>Z57/T57-1</f>
        <v>-0.23116934292187963</v>
      </c>
      <c r="AA58" s="120"/>
      <c r="AB58" s="67">
        <f>AB57/V57-1</f>
        <v>0.12880774662094008</v>
      </c>
      <c r="AC58" s="239">
        <f>AC57/W57-1</f>
        <v>0.30966702470461871</v>
      </c>
      <c r="AD58" s="67">
        <f>AD57/X57-1</f>
        <v>0.26863892501083653</v>
      </c>
      <c r="AE58" s="239">
        <f>AE57/Y57-1</f>
        <v>0.23907284768211912</v>
      </c>
      <c r="AF58" s="239">
        <f>AF57/Z57-1</f>
        <v>0.23489313720465388</v>
      </c>
      <c r="AH58" s="67">
        <f>AH57/AB57-1</f>
        <v>0.15146099544276659</v>
      </c>
      <c r="AI58" s="239">
        <f>AI57/AC57-1</f>
        <v>0.11039120807020431</v>
      </c>
      <c r="AJ58" s="67">
        <f>AJ57/AD57-1</f>
        <v>0.21961219783035801</v>
      </c>
      <c r="AK58" s="239">
        <f>AK57/AE57-1</f>
        <v>0.21180422997633053</v>
      </c>
      <c r="AL58" s="239">
        <f>AL57/AF57-1</f>
        <v>0.17402672864613589</v>
      </c>
      <c r="AN58" s="67">
        <f>AN57/AH57-1</f>
        <v>0.17173676858606246</v>
      </c>
      <c r="AO58" s="239">
        <f>AO57/AI57-1</f>
        <v>0.22202526035896297</v>
      </c>
      <c r="AP58" s="67">
        <f>AP57/AJ57-1</f>
        <v>0.11976467292337856</v>
      </c>
      <c r="AQ58" s="239">
        <f>AQ57/AK57-1</f>
        <v>2.3060928737949737E-2</v>
      </c>
      <c r="AR58" s="239">
        <f>AR57/AL57-1</f>
        <v>0.12894615901297413</v>
      </c>
      <c r="AS58" s="120"/>
      <c r="AT58" s="67">
        <f>AT57/AN57-1</f>
        <v>-9.2059076760050429E-3</v>
      </c>
      <c r="AU58" s="239">
        <f>AU57/AO57-1</f>
        <v>-4.2611060743427021E-2</v>
      </c>
      <c r="AV58" s="264">
        <f>AV57/AP57-1</f>
        <v>-4.7348011008256141E-2</v>
      </c>
      <c r="AW58" s="67">
        <f>AW57/AQ57-1</f>
        <v>-2.6137833343597983E-2</v>
      </c>
      <c r="AX58" s="67">
        <f>AX57/AR57-1</f>
        <v>-3.1711785060044795E-2</v>
      </c>
      <c r="AZ58" s="67">
        <f>AZ57/AT57-1</f>
        <v>-2.9872994652406226E-2</v>
      </c>
      <c r="BA58" s="67">
        <f>BA57/AU57-1</f>
        <v>-1.7881944444444353E-2</v>
      </c>
      <c r="BB58" s="67">
        <f>BB57/AV57-1</f>
        <v>2.1101700479284613E-3</v>
      </c>
      <c r="BC58" s="67">
        <f>BC57/AW57-1</f>
        <v>1.4077507810227319E-2</v>
      </c>
      <c r="BD58" s="67">
        <f>BD57/AX57-1</f>
        <v>-7.6872627078631295E-3</v>
      </c>
      <c r="BF58" s="67">
        <f>BF57/AZ57-1</f>
        <v>4.7262473213854905E-2</v>
      </c>
      <c r="BG58" s="67">
        <f>BG57/BA57-1</f>
        <v>4.7249971877159291E-2</v>
      </c>
      <c r="BH58" s="67">
        <f>BH57/BB57-1</f>
        <v>4.7140929061779024E-2</v>
      </c>
      <c r="BI58" s="67">
        <f>BI57/BC57-1</f>
        <v>4.6918490955087488E-2</v>
      </c>
      <c r="BJ58" s="67">
        <f>BJ57/BD57-1</f>
        <v>4.7139193541827273E-2</v>
      </c>
      <c r="BL58" s="67">
        <f>BL57/BF57-1</f>
        <v>4.088271188447945E-2</v>
      </c>
      <c r="BM58" s="67">
        <f>BM57/BG57-1</f>
        <v>4.1106522812756285E-2</v>
      </c>
      <c r="BN58" s="67">
        <f>BN57/BH57-1</f>
        <v>4.0994579525086117E-2</v>
      </c>
      <c r="BO58" s="67">
        <f>BO57/BI57-1</f>
        <v>4.1229443286203482E-2</v>
      </c>
      <c r="BP58" s="67">
        <f>BP57/BJ57-1</f>
        <v>4.1057856844103791E-2</v>
      </c>
      <c r="BR58" s="67">
        <f>BR57/BL57-1</f>
        <v>4.0951229043203696E-2</v>
      </c>
      <c r="BS58" s="67">
        <f>BS57/BM57-1</f>
        <v>4.1175115343144331E-2</v>
      </c>
      <c r="BT58" s="67">
        <f>BT57/BN57-1</f>
        <v>4.1063213581539415E-2</v>
      </c>
      <c r="BU58" s="67">
        <f>BU57/BO57-1</f>
        <v>4.1302437546609783E-2</v>
      </c>
      <c r="BV58" s="67">
        <f>BV57/BP57-1</f>
        <v>4.1127607865966143E-2</v>
      </c>
      <c r="BX58" s="67">
        <f>BX57/BR57-1</f>
        <v>4.1019499669147308E-2</v>
      </c>
      <c r="BY58" s="67">
        <f>BY57/BS57-1</f>
        <v>4.1243436445422388E-2</v>
      </c>
      <c r="BZ58" s="67">
        <f>BZ57/BT57-1</f>
        <v>4.1131574100899515E-2</v>
      </c>
      <c r="CA58" s="67">
        <f>CA57/BU57-1</f>
        <v>4.1375056219449702E-2</v>
      </c>
      <c r="CB58" s="67">
        <f>CB57/BV57-1</f>
        <v>4.1197066183707109E-2</v>
      </c>
      <c r="CD58" s="67">
        <f>CD57/BX57-1</f>
        <v>4.1087520047068837E-2</v>
      </c>
      <c r="CE58" s="67">
        <f>CE57/BY57-1</f>
        <v>4.1311482584499126E-2</v>
      </c>
      <c r="CF58" s="67">
        <f>CF57/BZ57-1</f>
        <v>4.1199657772132747E-2</v>
      </c>
      <c r="CG58" s="67">
        <f>CG57/CA57-1</f>
        <v>4.144729636494815E-2</v>
      </c>
      <c r="CH58" s="67">
        <f>CH57/CB57-1</f>
        <v>4.1266228419225559E-2</v>
      </c>
      <c r="CJ58" s="67">
        <f>CJ57/CD57-1</f>
        <v>4.1155286522658097E-2</v>
      </c>
      <c r="CK58" s="67">
        <f>CK57/CE57-1</f>
        <v>4.1379250293559044E-2</v>
      </c>
      <c r="CL58" s="67">
        <f>CL57/CF57-1</f>
        <v>4.1267461350085188E-2</v>
      </c>
      <c r="CM58" s="67">
        <f>CM57/CG57-1</f>
        <v>4.1519155142908826E-2</v>
      </c>
      <c r="CN58" s="67">
        <f>CN57/CH57-1</f>
        <v>4.1335091267821422E-2</v>
      </c>
    </row>
    <row r="59" spans="1:93" ht="18" customHeight="1" x14ac:dyDescent="0.25">
      <c r="B59" s="14" t="s">
        <v>140</v>
      </c>
      <c r="D59" s="123"/>
      <c r="E59" s="240"/>
      <c r="F59" s="123"/>
      <c r="G59" s="240"/>
      <c r="H59" s="240"/>
      <c r="J59" s="123">
        <f>J57-D57</f>
        <v>3020</v>
      </c>
      <c r="K59" s="240">
        <f>K57-E57</f>
        <v>2640</v>
      </c>
      <c r="L59" s="123">
        <f>L57-F57</f>
        <v>2050</v>
      </c>
      <c r="M59" s="240">
        <f>M57-G57</f>
        <v>1436</v>
      </c>
      <c r="N59" s="240">
        <f>N57-H57</f>
        <v>9146</v>
      </c>
      <c r="O59" s="120"/>
      <c r="P59" s="123">
        <f>P57-J57</f>
        <v>574</v>
      </c>
      <c r="Q59" s="240">
        <f>Q57-K57</f>
        <v>392</v>
      </c>
      <c r="R59" s="123">
        <f>R57-L57</f>
        <v>-789</v>
      </c>
      <c r="S59" s="240">
        <f>S57-M57</f>
        <v>-1244</v>
      </c>
      <c r="T59" s="240">
        <f>T57-N57</f>
        <v>-1067</v>
      </c>
      <c r="U59" s="120"/>
      <c r="V59" s="123">
        <f>V57-P57</f>
        <v>-2810</v>
      </c>
      <c r="W59" s="240">
        <f>W57-Q57</f>
        <v>-4361</v>
      </c>
      <c r="X59" s="123">
        <f>X57-R57</f>
        <v>-2746</v>
      </c>
      <c r="Y59" s="240">
        <f>Y57-S57</f>
        <v>-1816</v>
      </c>
      <c r="Z59" s="240">
        <f>Z57-T57</f>
        <v>-11733</v>
      </c>
      <c r="AA59" s="120"/>
      <c r="AB59" s="123">
        <f>AB57-V57</f>
        <v>1277</v>
      </c>
      <c r="AC59" s="240">
        <f>AC57-W57</f>
        <v>2883</v>
      </c>
      <c r="AD59" s="123">
        <f>AD57-X57</f>
        <v>2479</v>
      </c>
      <c r="AE59" s="240">
        <f>AE57-Y57</f>
        <v>2527</v>
      </c>
      <c r="AF59" s="240">
        <f>AF57-Z57</f>
        <v>9166</v>
      </c>
      <c r="AH59" s="123">
        <f>AH57-AB57</f>
        <v>1695</v>
      </c>
      <c r="AI59" s="240">
        <f>AI57-AC57</f>
        <v>1346</v>
      </c>
      <c r="AJ59" s="123">
        <f>AJ57-AD57</f>
        <v>2571</v>
      </c>
      <c r="AK59" s="240">
        <f>AK57-AE57</f>
        <v>2774</v>
      </c>
      <c r="AL59" s="240">
        <f>AL57-AF57</f>
        <v>8386</v>
      </c>
      <c r="AN59" s="123">
        <f>AN57-AH57</f>
        <v>2213</v>
      </c>
      <c r="AO59" s="240">
        <f>AO57-AI57</f>
        <v>3006</v>
      </c>
      <c r="AP59" s="123">
        <f>AP57-AJ57</f>
        <v>1710</v>
      </c>
      <c r="AQ59" s="240">
        <f>AQ57-AK57</f>
        <v>366</v>
      </c>
      <c r="AR59" s="240">
        <f>AR57-AL57</f>
        <v>7295</v>
      </c>
      <c r="AS59" s="120"/>
      <c r="AT59" s="123">
        <f>AT57-AN57</f>
        <v>-139</v>
      </c>
      <c r="AU59" s="240">
        <f>AU57-AO57</f>
        <v>-705</v>
      </c>
      <c r="AV59" s="303">
        <f>AV57-AP57</f>
        <v>-757</v>
      </c>
      <c r="AW59" s="123">
        <f>AW57-AQ57</f>
        <v>-424.39999999999964</v>
      </c>
      <c r="AX59" s="123">
        <f>AX57-AR57</f>
        <v>-2025.4000000000015</v>
      </c>
      <c r="AZ59" s="123">
        <f>AZ57-AT57</f>
        <v>-446.89999999999782</v>
      </c>
      <c r="BA59" s="123">
        <f>BA57-AU57</f>
        <v>-283.24999999999818</v>
      </c>
      <c r="BB59" s="123">
        <f>BB57-AV57</f>
        <v>32.139999999999418</v>
      </c>
      <c r="BC59" s="123">
        <f>BC57-AW57</f>
        <v>222.60199999999895</v>
      </c>
      <c r="BD59" s="123">
        <f>BD57-AX57</f>
        <v>-475.40800000000309</v>
      </c>
      <c r="BF59" s="123">
        <f>BF57-AZ57</f>
        <v>685.92499999999927</v>
      </c>
      <c r="BG59" s="123">
        <f>BG57-BA57</f>
        <v>735.05599999999868</v>
      </c>
      <c r="BH59" s="123">
        <f>BH57-BB57</f>
        <v>719.51860000000124</v>
      </c>
      <c r="BI59" s="123">
        <f>BI57-BC57</f>
        <v>752.34748000000218</v>
      </c>
      <c r="BJ59" s="123">
        <f>BJ57-BD57</f>
        <v>2892.8470800000141</v>
      </c>
      <c r="BL59" s="123">
        <f>BL57-BF57</f>
        <v>621.37736000000041</v>
      </c>
      <c r="BM59" s="123">
        <f>BM57-BG57</f>
        <v>669.69949500000075</v>
      </c>
      <c r="BN59" s="123">
        <f>BN57-BH57</f>
        <v>655.20236900000054</v>
      </c>
      <c r="BO59" s="123">
        <f>BO57-BI57</f>
        <v>692.14131919999636</v>
      </c>
      <c r="BP59" s="123">
        <f>BP57-BJ57</f>
        <v>2638.4205431999944</v>
      </c>
      <c r="BR59" s="123">
        <f>BR57-BL57</f>
        <v>647.8649205999991</v>
      </c>
      <c r="BS59" s="123">
        <f>BS57-BM57</f>
        <v>698.39194515000054</v>
      </c>
      <c r="BT59" s="123">
        <f>BT57-BN57</f>
        <v>683.20403851000447</v>
      </c>
      <c r="BU59" s="123">
        <f>BU57-BO57</f>
        <v>721.95383756800584</v>
      </c>
      <c r="BV59" s="123">
        <f>BV57-BP57</f>
        <v>2751.4147418280045</v>
      </c>
      <c r="BX59" s="123">
        <f>BX57-BR57</f>
        <v>675.52008426800239</v>
      </c>
      <c r="BY59" s="123">
        <f>BY57-BS57</f>
        <v>728.3548577055044</v>
      </c>
      <c r="BZ59" s="123">
        <f>BZ57-BT57</f>
        <v>712.44266886289552</v>
      </c>
      <c r="CA59" s="123">
        <f>CA57-BU57</f>
        <v>753.09407013271993</v>
      </c>
      <c r="CB59" s="123">
        <f>CB57-BV57</f>
        <v>2869.4116809691332</v>
      </c>
      <c r="CD59" s="123">
        <f>CD57-BX57</f>
        <v>704.3957070366996</v>
      </c>
      <c r="CE59" s="123">
        <f>CE57-BY57</f>
        <v>759.64596456223444</v>
      </c>
      <c r="CF59" s="123">
        <f>CF57-BZ57</f>
        <v>742.9743446976936</v>
      </c>
      <c r="CG59" s="123">
        <f>CG57-CA57</f>
        <v>785.62267270506709</v>
      </c>
      <c r="CH59" s="123">
        <f>CH57-CB57</f>
        <v>2992.6386890016875</v>
      </c>
      <c r="CJ59" s="123">
        <f>CJ57-CD57</f>
        <v>734.54708823309556</v>
      </c>
      <c r="CK59" s="123">
        <f>CK57-CE57</f>
        <v>792.32567479618956</v>
      </c>
      <c r="CL59" s="123">
        <f>CL57-CF57</f>
        <v>774.8577460951019</v>
      </c>
      <c r="CM59" s="123">
        <f>CM57-CG57</f>
        <v>819.60312669693667</v>
      </c>
      <c r="CN59" s="123">
        <f>CN57-CH57</f>
        <v>3121.3336358213128</v>
      </c>
    </row>
    <row r="60" spans="1:93" ht="18" customHeight="1" x14ac:dyDescent="0.25">
      <c r="B60" s="14" t="s">
        <v>149</v>
      </c>
      <c r="D60" s="9"/>
      <c r="E60" s="241"/>
      <c r="F60" s="9"/>
      <c r="G60" s="241"/>
      <c r="H60" s="241"/>
      <c r="J60" s="9">
        <f>J57/G57-1</f>
        <v>-3.6083319665408675E-3</v>
      </c>
      <c r="K60" s="241">
        <f>K57/J57-1</f>
        <v>9.2921810699588381E-2</v>
      </c>
      <c r="L60" s="9">
        <f>L57/K57-1</f>
        <v>-3.8858347767151136E-2</v>
      </c>
      <c r="M60" s="241">
        <f>M57/L57-1</f>
        <v>6.7930737287471565E-2</v>
      </c>
      <c r="N60" s="241">
        <f>AVERAGE(J60:M60)</f>
        <v>2.9596467063341986E-2</v>
      </c>
      <c r="O60" s="120"/>
      <c r="P60" s="9">
        <f>P57/M57-1</f>
        <v>-6.6471019809244303E-2</v>
      </c>
      <c r="Q60" s="241">
        <f>Q57/P57-1</f>
        <v>7.4426281043696862E-2</v>
      </c>
      <c r="R60" s="9">
        <f>R57/Q57-1</f>
        <v>-0.12413137297929921</v>
      </c>
      <c r="S60" s="241">
        <f>S57/R57-1</f>
        <v>3.4407883748120982E-2</v>
      </c>
      <c r="T60" s="241">
        <f>AVERAGE(P60:S60)</f>
        <v>-2.0442056999181418E-2</v>
      </c>
      <c r="U60" s="120"/>
      <c r="V60" s="9">
        <f>V57/S57-1</f>
        <v>-0.19958017116098825</v>
      </c>
      <c r="W60" s="241">
        <f>W57/V57-1</f>
        <v>-6.0923945935041357E-2</v>
      </c>
      <c r="X60" s="9">
        <f>X57/W57-1</f>
        <v>-8.8077336197637246E-3</v>
      </c>
      <c r="Y60" s="241">
        <f>Y57/X57-1</f>
        <v>0.14542696142175981</v>
      </c>
      <c r="Z60" s="241">
        <f>AVERAGE(V60:Y60)</f>
        <v>-3.0971222323508379E-2</v>
      </c>
      <c r="AA60" s="120"/>
      <c r="AB60" s="9">
        <f>AB57/Y57-1</f>
        <v>5.8751182592242213E-2</v>
      </c>
      <c r="AC60" s="241">
        <f>AC57/AB57-1</f>
        <v>8.953623447413106E-2</v>
      </c>
      <c r="AD60" s="9">
        <f>AD57/AC57-1</f>
        <v>-3.9858935454769151E-2</v>
      </c>
      <c r="AE60" s="241">
        <f>AE57/AD57-1</f>
        <v>0.11873238233535499</v>
      </c>
      <c r="AF60" s="241">
        <f>AVERAGE(AB60:AE60)</f>
        <v>5.6790215986739778E-2</v>
      </c>
      <c r="AH60" s="9">
        <f>AH57/AE57-1</f>
        <v>-1.6110559670153513E-2</v>
      </c>
      <c r="AI60" s="241">
        <f>AI57/AH57-1</f>
        <v>5.0675151327021606E-2</v>
      </c>
      <c r="AJ60" s="9">
        <f>AJ57/AI57-1</f>
        <v>5.4583056355713033E-2</v>
      </c>
      <c r="AK60" s="241">
        <f>AK57/AJ57-1</f>
        <v>0.11157024793388426</v>
      </c>
      <c r="AL60" s="241">
        <f>AVERAGE(AH60:AK60)</f>
        <v>5.0179473986616346E-2</v>
      </c>
      <c r="AN60" s="9">
        <f>AN57/AK57-1</f>
        <v>-4.8642177556549648E-2</v>
      </c>
      <c r="AO60" s="241">
        <f>AO57/AN57-1</f>
        <v>9.5767931651102645E-2</v>
      </c>
      <c r="AP60" s="9">
        <f>AP57/AO57-1</f>
        <v>-3.3665760048352977E-2</v>
      </c>
      <c r="AQ60" s="241">
        <f>AQ57/AP57-1</f>
        <v>1.5574180635476553E-2</v>
      </c>
      <c r="AR60" s="241">
        <f>AVERAGE(AN60:AQ60)</f>
        <v>7.2585436704191431E-3</v>
      </c>
      <c r="AS60" s="120"/>
      <c r="AT60" s="9">
        <f>AT57/AQ57-1</f>
        <v>-7.864753341134445E-2</v>
      </c>
      <c r="AU60" s="241">
        <f>AU57/AT57-1</f>
        <v>5.8823529411764719E-2</v>
      </c>
      <c r="AV60" s="109">
        <f>AV57/AU57-1</f>
        <v>-3.8446969696969702E-2</v>
      </c>
      <c r="AW60" s="9">
        <f>AW57/AV57-1</f>
        <v>3.8185280021009849E-2</v>
      </c>
      <c r="AX60" s="9">
        <f>AVERAGE(AT60:AW60)</f>
        <v>-5.0214234188848961E-3</v>
      </c>
      <c r="AZ60" s="9">
        <f>AZ57/AW57-1</f>
        <v>-8.2181298458191443E-2</v>
      </c>
      <c r="BA60" s="9">
        <f>BA57/AZ57-1</f>
        <v>7.1910894295498462E-2</v>
      </c>
      <c r="BB60" s="9">
        <f>BB57/BA57-1</f>
        <v>-1.8873479357835121E-2</v>
      </c>
      <c r="BC60" s="9">
        <f>BC57/BB57-1</f>
        <v>5.05834317185061E-2</v>
      </c>
      <c r="BD60" s="9">
        <f>AVERAGE(AZ60:BC60)</f>
        <v>5.3598870494944995E-3</v>
      </c>
      <c r="BF60" s="9">
        <f>BF57/BC57-1</f>
        <v>-5.2146334046805132E-2</v>
      </c>
      <c r="BG60" s="9">
        <f>BG57/BF57-1</f>
        <v>7.1898098726727477E-2</v>
      </c>
      <c r="BH60" s="9">
        <f>BH57/BG57-1</f>
        <v>-1.8975637200688511E-2</v>
      </c>
      <c r="BI60" s="9">
        <f>BI57/BH57-1</f>
        <v>5.0360262340834794E-2</v>
      </c>
      <c r="BJ60" s="9">
        <f>AVERAGE(BF60:BI60)</f>
        <v>1.2784097455017157E-2</v>
      </c>
      <c r="BL60" s="9">
        <f>BL57/BI57-1</f>
        <v>-5.7610976584296592E-2</v>
      </c>
      <c r="BM60" s="9">
        <f>BM57/BL57-1</f>
        <v>7.2128578593243731E-2</v>
      </c>
      <c r="BN60" s="9">
        <f>BN57/BM57-1</f>
        <v>-1.9081120251702055E-2</v>
      </c>
      <c r="BO60" s="9">
        <f>BO57/BN57-1</f>
        <v>5.0597239138403083E-2</v>
      </c>
      <c r="BP60" s="9">
        <f>AVERAGE(BL60:BO60)</f>
        <v>1.1508430223912042E-2</v>
      </c>
      <c r="BR60" s="9">
        <f>BR57/BO57-1</f>
        <v>-5.786278088204444E-2</v>
      </c>
      <c r="BS60" s="9">
        <f>BS57/BR57-1</f>
        <v>7.235917047288698E-2</v>
      </c>
      <c r="BT60" s="9">
        <f>BT57/BS57-1</f>
        <v>-1.9186545889539275E-2</v>
      </c>
      <c r="BU60" s="9">
        <f>BU57/BT57-1</f>
        <v>5.0838653909341058E-2</v>
      </c>
      <c r="BV60" s="9">
        <f>AVERAGE(BR60:BU60)</f>
        <v>1.1537124402661081E-2</v>
      </c>
      <c r="BX60" s="9">
        <f>BX57/BU57-1</f>
        <v>-5.8118774045455734E-2</v>
      </c>
      <c r="BY60" s="9">
        <f>BY57/BX57-1</f>
        <v>7.2589848818221503E-2</v>
      </c>
      <c r="BZ60" s="9">
        <f>BZ57/BY57-1</f>
        <v>-1.9291916150398714E-2</v>
      </c>
      <c r="CA60" s="9">
        <f>CA57/BZ57-1</f>
        <v>5.1084406154372264E-2</v>
      </c>
      <c r="CB60" s="9">
        <f>AVERAGE(BX60:CA60)</f>
        <v>1.156589119418483E-2</v>
      </c>
      <c r="CD60" s="9">
        <f>CD57/CA57-1</f>
        <v>-5.8378838775190567E-2</v>
      </c>
      <c r="CE60" s="9">
        <f>CE57/CD57-1</f>
        <v>7.2820588251302443E-2</v>
      </c>
      <c r="CF60" s="9">
        <f>CF57/CE57-1</f>
        <v>-1.9397232858508473E-2</v>
      </c>
      <c r="CG60" s="9">
        <f>CG57/CF57-1</f>
        <v>5.1334395732573812E-2</v>
      </c>
      <c r="CH60" s="9">
        <f>AVERAGE(CD60:CG60)</f>
        <v>1.1594728087544304E-2</v>
      </c>
      <c r="CJ60" s="9">
        <f>CJ57/CG57-1</f>
        <v>-5.8642858517472085E-2</v>
      </c>
      <c r="CK60" s="9">
        <f>CK57/CJ57-1</f>
        <v>7.3051363571329242E-2</v>
      </c>
      <c r="CL60" s="9">
        <f>CL57/CK57-1</f>
        <v>-1.9502497628548165E-2</v>
      </c>
      <c r="CM60" s="9">
        <f>CM57/CL57-1</f>
        <v>5.1588522891454325E-2</v>
      </c>
      <c r="CN60" s="9">
        <f>AVERAGE(CJ60:CM60)</f>
        <v>1.1623632579190829E-2</v>
      </c>
    </row>
    <row r="61" spans="1:93" ht="18" customHeight="1" x14ac:dyDescent="0.25">
      <c r="B61" s="14" t="s">
        <v>146</v>
      </c>
      <c r="D61" s="125"/>
      <c r="E61" s="242"/>
      <c r="F61" s="125"/>
      <c r="G61" s="242"/>
      <c r="H61" s="242"/>
      <c r="J61" s="125">
        <f>J57-G57</f>
        <v>-44</v>
      </c>
      <c r="K61" s="242">
        <f>K57-J57</f>
        <v>1129</v>
      </c>
      <c r="L61" s="125">
        <f>L57-K57</f>
        <v>-516</v>
      </c>
      <c r="M61" s="242">
        <f>M57-L57</f>
        <v>867</v>
      </c>
      <c r="N61" s="242">
        <f>AVERAGE(J61:M61)</f>
        <v>359</v>
      </c>
      <c r="O61" s="120"/>
      <c r="P61" s="125">
        <f>P57-M57</f>
        <v>-906</v>
      </c>
      <c r="Q61" s="242">
        <f>Q57-P57</f>
        <v>947</v>
      </c>
      <c r="R61" s="125">
        <f>R57-Q57</f>
        <v>-1697</v>
      </c>
      <c r="S61" s="242">
        <f>S57-R57</f>
        <v>412</v>
      </c>
      <c r="T61" s="242">
        <f>AVERAGE(P61:S61)</f>
        <v>-311</v>
      </c>
      <c r="U61" s="120"/>
      <c r="V61" s="125">
        <f>V57-S57</f>
        <v>-2472</v>
      </c>
      <c r="W61" s="242">
        <f>W57-V57</f>
        <v>-604</v>
      </c>
      <c r="X61" s="125">
        <f>X57-W57</f>
        <v>-82</v>
      </c>
      <c r="Y61" s="242">
        <f>Y57-X57</f>
        <v>1342</v>
      </c>
      <c r="Z61" s="242">
        <f>AVERAGE(V61:Y61)</f>
        <v>-454</v>
      </c>
      <c r="AA61" s="120"/>
      <c r="AB61" s="125">
        <f>AB57-Y57</f>
        <v>621</v>
      </c>
      <c r="AC61" s="242">
        <f>AC57-AB57</f>
        <v>1002</v>
      </c>
      <c r="AD61" s="125">
        <f>AD57-AC57</f>
        <v>-486</v>
      </c>
      <c r="AE61" s="242">
        <f>AE57-AD57</f>
        <v>1390</v>
      </c>
      <c r="AF61" s="242">
        <f>AVERAGE(AB61:AE61)</f>
        <v>631.75</v>
      </c>
      <c r="AH61" s="125">
        <f>AH57-AE57</f>
        <v>-211</v>
      </c>
      <c r="AI61" s="242">
        <f>AI57-AH57</f>
        <v>653</v>
      </c>
      <c r="AJ61" s="125">
        <f>AJ57-AI57</f>
        <v>739</v>
      </c>
      <c r="AK61" s="242">
        <f>AK57-AJ57</f>
        <v>1593</v>
      </c>
      <c r="AL61" s="242">
        <f>AVERAGE(AH61:AK61)</f>
        <v>693.5</v>
      </c>
      <c r="AN61" s="125">
        <f>AN57-AK57</f>
        <v>-772</v>
      </c>
      <c r="AO61" s="242">
        <f>AO57-AN57</f>
        <v>1446</v>
      </c>
      <c r="AP61" s="125">
        <f>AP57-AO57</f>
        <v>-557</v>
      </c>
      <c r="AQ61" s="242">
        <f>AQ57-AP57</f>
        <v>249</v>
      </c>
      <c r="AR61" s="242">
        <f>AVERAGE(AN61:AQ61)</f>
        <v>91.5</v>
      </c>
      <c r="AS61" s="120"/>
      <c r="AT61" s="125">
        <f>AT57-AQ57</f>
        <v>-1277</v>
      </c>
      <c r="AU61" s="242">
        <f>AU57-AT57</f>
        <v>880</v>
      </c>
      <c r="AV61" s="174">
        <f>AV57-AU57</f>
        <v>-609</v>
      </c>
      <c r="AW61" s="125">
        <f>AW57-AV57</f>
        <v>581.60000000000036</v>
      </c>
      <c r="AX61" s="125">
        <f>AVERAGE(AT61:AW61)</f>
        <v>-106.09999999999991</v>
      </c>
      <c r="AZ61" s="125">
        <f>AZ57-AW57</f>
        <v>-1299.4999999999982</v>
      </c>
      <c r="BA61" s="125">
        <f>BA57-AZ57</f>
        <v>1043.6499999999996</v>
      </c>
      <c r="BB61" s="125">
        <f>BB57-BA57</f>
        <v>-293.6100000000024</v>
      </c>
      <c r="BC61" s="125">
        <f>BC57-BB57</f>
        <v>772.0619999999999</v>
      </c>
      <c r="BD61" s="125">
        <f>AVERAGE(AZ61:BC61)</f>
        <v>55.650499999999738</v>
      </c>
      <c r="BF61" s="125">
        <f>BF57-BC57</f>
        <v>-836.17699999999786</v>
      </c>
      <c r="BG61" s="125">
        <f>BG57-BF57</f>
        <v>1092.780999999999</v>
      </c>
      <c r="BH61" s="125">
        <f>BH57-BG57</f>
        <v>-309.14739999999983</v>
      </c>
      <c r="BI61" s="125">
        <f>BI57-BH57</f>
        <v>804.89088000000083</v>
      </c>
      <c r="BJ61" s="125">
        <f>AVERAGE(BF61:BI61)</f>
        <v>188.08687000000054</v>
      </c>
      <c r="BL61" s="125">
        <f>BL57-BI57</f>
        <v>-967.14711999999963</v>
      </c>
      <c r="BM61" s="125">
        <f>BM57-BL57</f>
        <v>1141.1031349999994</v>
      </c>
      <c r="BN61" s="125">
        <f>BN57-BM57</f>
        <v>-323.64452600000004</v>
      </c>
      <c r="BO61" s="125">
        <f>BO57-BN57</f>
        <v>841.82983019999665</v>
      </c>
      <c r="BP61" s="125">
        <f>AVERAGE(BL61:BO61)</f>
        <v>173.03532979999909</v>
      </c>
      <c r="BR61" s="125">
        <f>BR57-BO57</f>
        <v>-1011.4235185999969</v>
      </c>
      <c r="BS61" s="125">
        <f>BS57-BR57</f>
        <v>1191.6301595500008</v>
      </c>
      <c r="BT61" s="125">
        <f>BT57-BS57</f>
        <v>-338.83243263999611</v>
      </c>
      <c r="BU61" s="125">
        <f>BU57-BT57</f>
        <v>880.57962925799802</v>
      </c>
      <c r="BV61" s="125">
        <f>AVERAGE(BR61:BU61)</f>
        <v>180.48845939200146</v>
      </c>
      <c r="BX61" s="125">
        <f>BX57-BU57</f>
        <v>-1057.8572719000003</v>
      </c>
      <c r="BY61" s="125">
        <f>BY57-BX57</f>
        <v>1244.4649329875028</v>
      </c>
      <c r="BZ61" s="125">
        <f>BZ57-BY57</f>
        <v>-354.744621482605</v>
      </c>
      <c r="CA61" s="125">
        <f>CA57-BZ57</f>
        <v>921.23103052782244</v>
      </c>
      <c r="CB61" s="125">
        <f>AVERAGE(BX61:CA61)</f>
        <v>188.27351753317998</v>
      </c>
      <c r="CD61" s="125">
        <f>CD57-CA57</f>
        <v>-1106.5556349960207</v>
      </c>
      <c r="CE61" s="125">
        <f>CE57-CD57</f>
        <v>1299.7151905130377</v>
      </c>
      <c r="CF61" s="125">
        <f>CF57-CE57</f>
        <v>-371.41624134714584</v>
      </c>
      <c r="CG61" s="125">
        <f>CG57-CF57</f>
        <v>963.87935853519593</v>
      </c>
      <c r="CH61" s="125">
        <f>AVERAGE(CD61:CG61)</f>
        <v>196.40566817626677</v>
      </c>
      <c r="CJ61" s="125">
        <f>CJ57-CG57</f>
        <v>-1157.6312194679922</v>
      </c>
      <c r="CK61" s="125">
        <f>CK57-CJ57</f>
        <v>1357.4937770761317</v>
      </c>
      <c r="CL61" s="125">
        <f>CL57-CK57</f>
        <v>-388.8841700482335</v>
      </c>
      <c r="CM61" s="125">
        <f>CM57-CL57</f>
        <v>1008.6247391370307</v>
      </c>
      <c r="CN61" s="125">
        <f>AVERAGE(CJ61:CM61)</f>
        <v>204.90078167423417</v>
      </c>
    </row>
    <row r="62" spans="1:93" s="137" customFormat="1" ht="18" customHeight="1" x14ac:dyDescent="0.25">
      <c r="B62" s="377"/>
      <c r="D62" s="378"/>
      <c r="E62" s="378"/>
      <c r="F62" s="378"/>
      <c r="G62" s="378"/>
      <c r="H62" s="378"/>
      <c r="J62" s="378"/>
      <c r="K62" s="378"/>
      <c r="L62" s="378"/>
      <c r="M62" s="378"/>
      <c r="N62" s="378"/>
      <c r="O62" s="205"/>
      <c r="P62" s="378"/>
      <c r="Q62" s="378"/>
      <c r="R62" s="378"/>
      <c r="S62" s="378"/>
      <c r="T62" s="378"/>
      <c r="U62" s="205"/>
      <c r="V62" s="378"/>
      <c r="W62" s="378"/>
      <c r="X62" s="378"/>
      <c r="Y62" s="378"/>
      <c r="Z62" s="378"/>
      <c r="AA62" s="205"/>
      <c r="AB62" s="378"/>
      <c r="AC62" s="378"/>
      <c r="AD62" s="378"/>
      <c r="AE62" s="378"/>
      <c r="AF62" s="378"/>
      <c r="AH62" s="378"/>
      <c r="AI62" s="378"/>
      <c r="AJ62" s="378"/>
      <c r="AK62" s="378"/>
      <c r="AL62" s="378"/>
      <c r="AN62" s="378"/>
      <c r="AO62" s="378"/>
      <c r="AP62" s="378"/>
      <c r="AQ62" s="378"/>
      <c r="AR62" s="378"/>
      <c r="AS62" s="205"/>
      <c r="AT62" s="378"/>
      <c r="AU62" s="378"/>
      <c r="AV62" s="415"/>
      <c r="AW62" s="378"/>
      <c r="AX62" s="378"/>
      <c r="AZ62" s="378"/>
      <c r="BA62" s="378"/>
      <c r="BB62" s="378"/>
      <c r="BC62" s="378"/>
      <c r="BD62" s="378"/>
      <c r="BF62" s="378"/>
      <c r="BG62" s="378"/>
      <c r="BH62" s="378"/>
      <c r="BI62" s="378"/>
      <c r="BJ62" s="378"/>
      <c r="BL62" s="378"/>
      <c r="BM62" s="378"/>
      <c r="BN62" s="378"/>
      <c r="BO62" s="378"/>
      <c r="BP62" s="378"/>
      <c r="BR62" s="378"/>
      <c r="BS62" s="378"/>
      <c r="BT62" s="378"/>
      <c r="BU62" s="378"/>
      <c r="BV62" s="378"/>
      <c r="BX62" s="378"/>
      <c r="BY62" s="378"/>
      <c r="BZ62" s="378"/>
      <c r="CA62" s="378"/>
      <c r="CB62" s="378"/>
      <c r="CD62" s="378"/>
      <c r="CE62" s="378"/>
      <c r="CF62" s="378"/>
      <c r="CG62" s="378"/>
      <c r="CH62" s="378"/>
      <c r="CJ62" s="378"/>
      <c r="CK62" s="378"/>
      <c r="CL62" s="378"/>
      <c r="CM62" s="378"/>
      <c r="CN62" s="378"/>
      <c r="CO62" s="379"/>
    </row>
    <row r="63" spans="1:93" s="137" customFormat="1" ht="18" customHeight="1" x14ac:dyDescent="0.25">
      <c r="B63" s="386" t="s">
        <v>381</v>
      </c>
      <c r="D63" s="379"/>
      <c r="E63" s="379"/>
      <c r="F63" s="379"/>
      <c r="G63" s="379"/>
      <c r="H63" s="379"/>
      <c r="J63" s="246"/>
      <c r="K63" s="246"/>
      <c r="L63" s="246"/>
      <c r="M63" s="246"/>
      <c r="N63" s="246"/>
      <c r="O63" s="380"/>
      <c r="P63" s="246"/>
      <c r="Q63" s="246"/>
      <c r="R63" s="246"/>
      <c r="S63" s="246"/>
      <c r="T63" s="246"/>
      <c r="U63" s="380"/>
      <c r="V63" s="246"/>
      <c r="W63" s="246"/>
      <c r="X63" s="246"/>
      <c r="Y63" s="246"/>
      <c r="Z63" s="246"/>
      <c r="AA63" s="380"/>
      <c r="AB63" s="246"/>
      <c r="AC63" s="246"/>
      <c r="AD63" s="246"/>
      <c r="AE63" s="246"/>
      <c r="AF63" s="246"/>
      <c r="AG63" s="379"/>
      <c r="AH63" s="246"/>
      <c r="AI63" s="246"/>
      <c r="AJ63" s="246"/>
      <c r="AK63" s="246"/>
      <c r="AL63" s="246"/>
      <c r="AM63" s="379"/>
      <c r="AN63" s="246"/>
      <c r="AO63" s="246"/>
      <c r="AP63" s="246"/>
      <c r="AQ63" s="246"/>
      <c r="AR63" s="246"/>
      <c r="AS63" s="380"/>
      <c r="AT63" s="246"/>
      <c r="AU63" s="246"/>
      <c r="AV63" s="265"/>
      <c r="AW63" s="246"/>
      <c r="AX63" s="246"/>
      <c r="AY63" s="379"/>
      <c r="AZ63" s="246"/>
      <c r="BA63" s="246"/>
      <c r="BB63" s="246"/>
      <c r="BC63" s="246"/>
      <c r="BD63" s="246"/>
      <c r="BE63" s="379"/>
      <c r="BF63" s="246"/>
      <c r="BG63" s="246"/>
      <c r="BH63" s="246"/>
      <c r="BI63" s="246"/>
      <c r="BJ63" s="246"/>
      <c r="BK63" s="379"/>
      <c r="BL63" s="246"/>
      <c r="BM63" s="246"/>
      <c r="BN63" s="246"/>
      <c r="BO63" s="246"/>
      <c r="BP63" s="246"/>
      <c r="BQ63" s="379"/>
      <c r="BR63" s="246"/>
      <c r="BS63" s="246"/>
      <c r="BT63" s="246"/>
      <c r="BU63" s="246"/>
      <c r="BV63" s="246"/>
      <c r="BW63" s="379"/>
      <c r="BX63" s="246"/>
      <c r="BY63" s="246"/>
      <c r="BZ63" s="246"/>
      <c r="CA63" s="246"/>
      <c r="CB63" s="246"/>
      <c r="CC63" s="379"/>
      <c r="CD63" s="246"/>
      <c r="CE63" s="246"/>
      <c r="CF63" s="246"/>
      <c r="CG63" s="246"/>
      <c r="CH63" s="246"/>
      <c r="CI63" s="379"/>
      <c r="CJ63" s="246"/>
      <c r="CK63" s="246"/>
      <c r="CL63" s="246"/>
      <c r="CM63" s="246"/>
      <c r="CN63" s="246"/>
      <c r="CO63" s="379"/>
    </row>
    <row r="64" spans="1:93" s="137" customFormat="1" ht="18" customHeight="1" x14ac:dyDescent="0.25">
      <c r="B64" s="31" t="s">
        <v>374</v>
      </c>
      <c r="D64" s="379"/>
      <c r="E64" s="379"/>
      <c r="F64" s="379"/>
      <c r="G64" s="379"/>
      <c r="H64" s="379"/>
      <c r="J64" s="67">
        <f>J52/D52-1</f>
        <v>0.33309709425939049</v>
      </c>
      <c r="K64" s="67">
        <f t="shared" ref="K64:N67" si="829">K52/E52-1</f>
        <v>0.24694625407166115</v>
      </c>
      <c r="L64" s="67">
        <f t="shared" si="829"/>
        <v>0.2417629439452289</v>
      </c>
      <c r="M64" s="67">
        <f t="shared" si="829"/>
        <v>0.13909224011713039</v>
      </c>
      <c r="N64" s="67">
        <f t="shared" si="829"/>
        <v>0.23404034641912563</v>
      </c>
      <c r="O64" s="67"/>
      <c r="P64" s="67">
        <f t="shared" ref="P64:T67" si="830">P52/J52-1</f>
        <v>7.5137338295232947E-2</v>
      </c>
      <c r="Q64" s="67">
        <f t="shared" si="830"/>
        <v>0.12130612244897954</v>
      </c>
      <c r="R64" s="67">
        <f t="shared" si="830"/>
        <v>-2.722260509993113E-2</v>
      </c>
      <c r="S64" s="67">
        <f t="shared" si="830"/>
        <v>-0.13721079691516713</v>
      </c>
      <c r="T64" s="67">
        <f t="shared" si="830"/>
        <v>6.5136997814758679E-3</v>
      </c>
      <c r="U64" s="67"/>
      <c r="V64" s="67">
        <f t="shared" ref="V64:Z67" si="831">V52/P52-1</f>
        <v>-0.25515081588923683</v>
      </c>
      <c r="W64" s="67">
        <f t="shared" si="831"/>
        <v>-0.42821782178217827</v>
      </c>
      <c r="X64" s="67">
        <f t="shared" si="831"/>
        <v>-0.31774707757704568</v>
      </c>
      <c r="Y64" s="67">
        <f t="shared" si="831"/>
        <v>-0.21862197392923655</v>
      </c>
      <c r="Z64" s="67">
        <f t="shared" si="831"/>
        <v>-0.31134399398772494</v>
      </c>
      <c r="AA64" s="67"/>
      <c r="AB64" s="67">
        <f t="shared" ref="AB64:AF67" si="832">AB52/V52-1</f>
        <v>1.0179243195397314E-2</v>
      </c>
      <c r="AC64" s="67">
        <f t="shared" si="832"/>
        <v>0.34682964094728796</v>
      </c>
      <c r="AD64" s="67">
        <f t="shared" si="832"/>
        <v>0.30192107995846307</v>
      </c>
      <c r="AE64" s="67">
        <f t="shared" si="832"/>
        <v>0.28813155386081979</v>
      </c>
      <c r="AF64" s="67">
        <f t="shared" si="832"/>
        <v>0.22917424518006557</v>
      </c>
      <c r="AG64" s="67"/>
      <c r="AH64" s="67">
        <f t="shared" ref="AH64:AL67" si="833">AH52/AB52-1</f>
        <v>0.24337349397590358</v>
      </c>
      <c r="AI64" s="67">
        <f t="shared" si="833"/>
        <v>0.19304216297976939</v>
      </c>
      <c r="AJ64" s="67">
        <f t="shared" si="833"/>
        <v>0.32602193419740777</v>
      </c>
      <c r="AK64" s="67">
        <f t="shared" si="833"/>
        <v>0.37594819611470864</v>
      </c>
      <c r="AL64" s="67">
        <f t="shared" si="833"/>
        <v>0.28603137022787806</v>
      </c>
      <c r="AM64" s="67"/>
      <c r="AN64" s="67">
        <f t="shared" ref="AN64:AR67" si="834">AN52/AH52-1</f>
        <v>0.31923890063424953</v>
      </c>
      <c r="AO64" s="67">
        <f t="shared" si="834"/>
        <v>0.33597464342313788</v>
      </c>
      <c r="AP64" s="67">
        <f t="shared" si="834"/>
        <v>0.26466165413533838</v>
      </c>
      <c r="AQ64" s="67">
        <f t="shared" si="834"/>
        <v>0.10972166196046795</v>
      </c>
      <c r="AR64" s="67">
        <f t="shared" si="834"/>
        <v>0.24960687301039397</v>
      </c>
      <c r="AS64" s="67"/>
      <c r="AT64" s="67">
        <f t="shared" ref="AT64:AT67" si="835">AT52/AN52-1</f>
        <v>7.4786324786324743E-2</v>
      </c>
      <c r="AU64" s="67">
        <f t="shared" ref="AU64:AU67" si="836">AU52/AO52-1</f>
        <v>4.8635824436535913E-3</v>
      </c>
      <c r="AV64" s="264">
        <f t="shared" ref="AV64:AV67" si="837">AV52/AP52-1</f>
        <v>-5.1843043995243754E-2</v>
      </c>
      <c r="AW64" s="67">
        <f t="shared" ref="AW64:AX67" si="838">AW52/AQ52-1</f>
        <v>-1.94474736459469E-2</v>
      </c>
      <c r="AX64" s="67">
        <f t="shared" si="838"/>
        <v>1.3811730763335639E-4</v>
      </c>
      <c r="AY64" s="379"/>
      <c r="AZ64" s="67">
        <f t="shared" ref="AZ64:AZ67" si="839">AZ52/AT52-1</f>
        <v>-2.6665009940357809E-2</v>
      </c>
      <c r="BA64" s="67">
        <f t="shared" ref="BA64:BA67" si="840">BA52/AU52-1</f>
        <v>-7.6614331247786271E-3</v>
      </c>
      <c r="BB64" s="67">
        <f t="shared" ref="BB64:BB67" si="841">BB52/AV52-1</f>
        <v>3.0712315023826431E-3</v>
      </c>
      <c r="BC64" s="67">
        <f t="shared" ref="BC64:BD67" si="842">BC52/AW52-1</f>
        <v>2.8107506950880268E-2</v>
      </c>
      <c r="BD64" s="67">
        <f t="shared" si="842"/>
        <v>-8.4546807629171106E-4</v>
      </c>
      <c r="BE64" s="379"/>
      <c r="BF64" s="67">
        <f t="shared" ref="BF64:BF67" si="843">BF52/AZ52-1</f>
        <v>4.8547757040365624E-2</v>
      </c>
      <c r="BG64" s="67">
        <f t="shared" ref="BG64:BG67" si="844">BG52/BA52-1</f>
        <v>4.8565327559748406E-2</v>
      </c>
      <c r="BH64" s="67">
        <f t="shared" ref="BH64:BH67" si="845">BH52/BB52-1</f>
        <v>4.8529422428483349E-2</v>
      </c>
      <c r="BI64" s="67">
        <f t="shared" ref="BI64:BI67" si="846">BI52/BC52-1</f>
        <v>4.8604993293237309E-2</v>
      </c>
      <c r="BJ64" s="67">
        <f t="shared" ref="BJ64:BJ67" si="847">BJ52/BD52-1</f>
        <v>4.8562415631205447E-2</v>
      </c>
      <c r="BK64" s="379"/>
      <c r="BL64" s="67">
        <f t="shared" ref="BL64:BL67" si="848">BL52/BF52-1</f>
        <v>3.9739727338271802E-2</v>
      </c>
      <c r="BM64" s="67">
        <f t="shared" ref="BM64:BM67" si="849">BM52/BG52-1</f>
        <v>4.009232109702987E-2</v>
      </c>
      <c r="BN64" s="67">
        <f t="shared" ref="BN64:BN67" si="850">BN52/BH52-1</f>
        <v>3.9908792568133622E-2</v>
      </c>
      <c r="BO64" s="67">
        <f t="shared" ref="BO64:BO67" si="851">BO52/BI52-1</f>
        <v>4.0624775370125876E-2</v>
      </c>
      <c r="BP64" s="67">
        <f t="shared" ref="BP64:BP67" si="852">BP52/BJ52-1</f>
        <v>4.0098473323623596E-2</v>
      </c>
      <c r="BQ64" s="379"/>
      <c r="BR64" s="67">
        <f t="shared" ref="BR64:BR67" si="853">BR52/BL52-1</f>
        <v>3.9821986593240544E-2</v>
      </c>
      <c r="BS64" s="67">
        <f t="shared" ref="BS64:BS67" si="854">BS52/BM52-1</f>
        <v>4.0174777186317678E-2</v>
      </c>
      <c r="BT64" s="67">
        <f t="shared" ref="BT64:BT67" si="855">BT52/BN52-1</f>
        <v>3.9990920474420877E-2</v>
      </c>
      <c r="BU64" s="67">
        <f t="shared" ref="BU64:BU67" si="856">BU52/BO52-1</f>
        <v>4.0707200915646391E-2</v>
      </c>
      <c r="BV64" s="67">
        <f t="shared" ref="BV64:BV67" si="857">BV52/BP52-1</f>
        <v>4.0180899990585051E-2</v>
      </c>
      <c r="BW64" s="379"/>
      <c r="BX64" s="67">
        <f t="shared" ref="BX64:BX67" si="858">BX52/BR52-1</f>
        <v>3.9904270545523923E-2</v>
      </c>
      <c r="BY64" s="67">
        <f t="shared" ref="BY64:BY67" si="859">BY52/BS52-1</f>
        <v>4.0257206780212496E-2</v>
      </c>
      <c r="BZ64" s="67">
        <f t="shared" ref="BZ64:BZ67" si="860">BZ52/BT52-1</f>
        <v>4.007304858460925E-2</v>
      </c>
      <c r="CA64" s="67">
        <f t="shared" ref="CA64:CA67" si="861">CA52/BU52-1</f>
        <v>4.0789522420218827E-2</v>
      </c>
      <c r="CB64" s="67">
        <f t="shared" ref="CB64:CB67" si="862">CB52/BV52-1</f>
        <v>4.0263299285364651E-2</v>
      </c>
      <c r="CC64" s="379"/>
      <c r="CD64" s="67">
        <f t="shared" ref="CD64:CD67" si="863">CD52/BX52-1</f>
        <v>3.9986567275390739E-2</v>
      </c>
      <c r="CE64" s="67">
        <f t="shared" ref="CE64:CE67" si="864">CE52/BY52-1</f>
        <v>4.0339597910378444E-2</v>
      </c>
      <c r="CF64" s="67">
        <f t="shared" ref="CF64:CF67" si="865">CF52/BZ52-1</f>
        <v>4.0155165035964835E-2</v>
      </c>
      <c r="CG64" s="67">
        <f t="shared" ref="CG64:CG67" si="866">CG52/CA52-1</f>
        <v>4.0871728057781054E-2</v>
      </c>
      <c r="CH64" s="67">
        <f t="shared" ref="CH64:CH67" si="867">CH52/CB52-1</f>
        <v>4.034565925176592E-2</v>
      </c>
      <c r="CI64" s="379"/>
      <c r="CJ64" s="67">
        <f t="shared" ref="CJ64:CJ67" si="868">CJ52/CD52-1</f>
        <v>4.0068864855653308E-2</v>
      </c>
      <c r="CK64" s="67">
        <f t="shared" ref="CK64:CK67" si="869">CK52/CE52-1</f>
        <v>4.042193863169774E-2</v>
      </c>
      <c r="CL64" s="67">
        <f t="shared" ref="CL64:CL67" si="870">CL52/CF52-1</f>
        <v>4.0237257972885576E-2</v>
      </c>
      <c r="CM64" s="67">
        <f t="shared" ref="CM64:CM67" si="871">CM52/CG52-1</f>
        <v>4.0953806071601706E-2</v>
      </c>
      <c r="CN64" s="67">
        <f t="shared" ref="CN64:CN67" si="872">CN52/CH52-1</f>
        <v>4.0427967957314737E-2</v>
      </c>
      <c r="CO64" s="379"/>
    </row>
    <row r="65" spans="2:93" s="137" customFormat="1" ht="18" customHeight="1" x14ac:dyDescent="0.25">
      <c r="B65" s="31" t="s">
        <v>375</v>
      </c>
      <c r="D65" s="379"/>
      <c r="E65" s="379"/>
      <c r="F65" s="379"/>
      <c r="G65" s="379"/>
      <c r="H65" s="379"/>
      <c r="J65" s="67">
        <f>J53/D53-1</f>
        <v>0.23929471032745586</v>
      </c>
      <c r="K65" s="67">
        <f t="shared" si="829"/>
        <v>0.10051282051282051</v>
      </c>
      <c r="L65" s="67">
        <f t="shared" si="829"/>
        <v>0.10500490677134455</v>
      </c>
      <c r="M65" s="67">
        <f t="shared" si="829"/>
        <v>0.10782608695652174</v>
      </c>
      <c r="N65" s="67">
        <f t="shared" si="829"/>
        <v>0.13179278821736928</v>
      </c>
      <c r="O65" s="67"/>
      <c r="P65" s="67">
        <f t="shared" si="830"/>
        <v>9.1463414634146423E-2</v>
      </c>
      <c r="Q65" s="67">
        <f t="shared" si="830"/>
        <v>8.5740913327120305E-2</v>
      </c>
      <c r="R65" s="67">
        <f t="shared" si="830"/>
        <v>1.243339253996445E-2</v>
      </c>
      <c r="S65" s="67">
        <f t="shared" si="830"/>
        <v>-0.15541601255886972</v>
      </c>
      <c r="T65" s="67">
        <f t="shared" si="830"/>
        <v>-4.4873233116449196E-4</v>
      </c>
      <c r="U65" s="67"/>
      <c r="V65" s="67">
        <f t="shared" si="831"/>
        <v>-0.22346368715083798</v>
      </c>
      <c r="W65" s="67">
        <f t="shared" si="831"/>
        <v>-0.41716738197424896</v>
      </c>
      <c r="X65" s="67">
        <f t="shared" si="831"/>
        <v>-0.36842105263157898</v>
      </c>
      <c r="Y65" s="67">
        <f t="shared" si="831"/>
        <v>-8.6431226765799285E-2</v>
      </c>
      <c r="Z65" s="67">
        <f t="shared" si="831"/>
        <v>-0.27811447811447809</v>
      </c>
      <c r="AA65" s="67"/>
      <c r="AB65" s="67">
        <f t="shared" si="832"/>
        <v>0.26258992805755388</v>
      </c>
      <c r="AC65" s="67">
        <f t="shared" si="832"/>
        <v>0.71870397643593509</v>
      </c>
      <c r="AD65" s="67">
        <f t="shared" si="832"/>
        <v>0.76944444444444438</v>
      </c>
      <c r="AE65" s="67">
        <f t="shared" si="832"/>
        <v>0.39979654120040697</v>
      </c>
      <c r="AF65" s="67">
        <f t="shared" si="832"/>
        <v>0.51430348258706471</v>
      </c>
      <c r="AG65" s="67"/>
      <c r="AH65" s="67">
        <f t="shared" si="833"/>
        <v>0.26875593542260212</v>
      </c>
      <c r="AI65" s="67">
        <f t="shared" si="833"/>
        <v>0.27077977720651236</v>
      </c>
      <c r="AJ65" s="67">
        <f t="shared" si="833"/>
        <v>0.36499215070643642</v>
      </c>
      <c r="AK65" s="67">
        <f t="shared" si="833"/>
        <v>0.38735465116279078</v>
      </c>
      <c r="AL65" s="67">
        <f t="shared" si="833"/>
        <v>0.3279260780287474</v>
      </c>
      <c r="AM65" s="67"/>
      <c r="AN65" s="67">
        <f t="shared" si="834"/>
        <v>8.7574850299401152E-2</v>
      </c>
      <c r="AO65" s="67">
        <f t="shared" si="834"/>
        <v>5.3944706675657539E-2</v>
      </c>
      <c r="AP65" s="67">
        <f t="shared" si="834"/>
        <v>-0.129384703852789</v>
      </c>
      <c r="AQ65" s="67">
        <f t="shared" si="834"/>
        <v>-5.7097957045573633E-2</v>
      </c>
      <c r="AR65" s="67">
        <f t="shared" si="834"/>
        <v>-2.1184475027060445E-2</v>
      </c>
      <c r="AS65" s="67"/>
      <c r="AT65" s="67">
        <f t="shared" si="835"/>
        <v>1.789401238816235E-2</v>
      </c>
      <c r="AU65" s="67">
        <f t="shared" si="836"/>
        <v>4.9264235444657745E-2</v>
      </c>
      <c r="AV65" s="264">
        <f t="shared" si="837"/>
        <v>6.0105680317040999E-2</v>
      </c>
      <c r="AW65" s="67">
        <f t="shared" si="838"/>
        <v>3.1527777777777599E-2</v>
      </c>
      <c r="AX65" s="67">
        <f t="shared" si="838"/>
        <v>3.9612954186413862E-2</v>
      </c>
      <c r="AY65" s="379"/>
      <c r="AZ65" s="67">
        <f t="shared" si="839"/>
        <v>-2.9885057471264354E-2</v>
      </c>
      <c r="BA65" s="67">
        <f t="shared" si="840"/>
        <v>-3.4024390243902358E-2</v>
      </c>
      <c r="BB65" s="67">
        <f t="shared" si="841"/>
        <v>-2.8585669781931444E-2</v>
      </c>
      <c r="BC65" s="67">
        <f t="shared" si="842"/>
        <v>-2.711081190251774E-2</v>
      </c>
      <c r="BD65" s="67">
        <f t="shared" si="842"/>
        <v>-2.9816966151274493E-2</v>
      </c>
      <c r="BE65" s="379"/>
      <c r="BF65" s="67">
        <f t="shared" si="843"/>
        <v>3.8744075829383773E-2</v>
      </c>
      <c r="BG65" s="67">
        <f t="shared" si="844"/>
        <v>3.879465976518115E-2</v>
      </c>
      <c r="BH65" s="67">
        <f t="shared" si="845"/>
        <v>3.803863717994771E-2</v>
      </c>
      <c r="BI65" s="67">
        <f t="shared" si="846"/>
        <v>3.631512633884193E-2</v>
      </c>
      <c r="BJ65" s="67">
        <f t="shared" si="847"/>
        <v>3.7897120728661138E-2</v>
      </c>
      <c r="BK65" s="379"/>
      <c r="BL65" s="67">
        <f t="shared" si="848"/>
        <v>3.4694650393521265E-2</v>
      </c>
      <c r="BM65" s="67">
        <f t="shared" si="849"/>
        <v>3.483014246272842E-2</v>
      </c>
      <c r="BN65" s="67">
        <f t="shared" si="850"/>
        <v>3.4340429854473387E-2</v>
      </c>
      <c r="BO65" s="67">
        <f t="shared" si="851"/>
        <v>3.2918891848176646E-2</v>
      </c>
      <c r="BP65" s="67">
        <f t="shared" si="852"/>
        <v>3.4140126167417462E-2</v>
      </c>
      <c r="BQ65" s="379"/>
      <c r="BR65" s="67">
        <f t="shared" si="853"/>
        <v>3.47699965428927E-2</v>
      </c>
      <c r="BS65" s="67">
        <f t="shared" si="854"/>
        <v>3.4904231649585116E-2</v>
      </c>
      <c r="BT65" s="67">
        <f t="shared" si="855"/>
        <v>3.4418895963247653E-2</v>
      </c>
      <c r="BU65" s="67">
        <f t="shared" si="856"/>
        <v>3.3007456469368757E-2</v>
      </c>
      <c r="BV65" s="67">
        <f t="shared" si="857"/>
        <v>3.422025008217644E-2</v>
      </c>
      <c r="BW65" s="379"/>
      <c r="BX65" s="67">
        <f t="shared" si="858"/>
        <v>3.4844648043457216E-2</v>
      </c>
      <c r="BY65" s="67">
        <f t="shared" si="859"/>
        <v>3.497761864483051E-2</v>
      </c>
      <c r="BZ65" s="67">
        <f t="shared" si="860"/>
        <v>3.4496691679064551E-2</v>
      </c>
      <c r="CA65" s="67">
        <f t="shared" si="861"/>
        <v>3.3095505403589964E-2</v>
      </c>
      <c r="CB65" s="67">
        <f t="shared" si="862"/>
        <v>3.4299720087948904E-2</v>
      </c>
      <c r="CC65" s="379"/>
      <c r="CD65" s="67">
        <f t="shared" si="863"/>
        <v>3.4918600578728531E-2</v>
      </c>
      <c r="CE65" s="67">
        <f t="shared" si="864"/>
        <v>3.505029974563012E-2</v>
      </c>
      <c r="CF65" s="67">
        <f t="shared" si="865"/>
        <v>3.4573811078850936E-2</v>
      </c>
      <c r="CG65" s="67">
        <f t="shared" si="866"/>
        <v>3.3183026688721196E-2</v>
      </c>
      <c r="CH65" s="67">
        <f t="shared" si="867"/>
        <v>3.4378529359170962E-2</v>
      </c>
      <c r="CI65" s="379"/>
      <c r="CJ65" s="67">
        <f t="shared" si="868"/>
        <v>3.4991850173725414E-2</v>
      </c>
      <c r="CK65" s="67">
        <f t="shared" si="869"/>
        <v>3.5122271583615028E-2</v>
      </c>
      <c r="CL65" s="67">
        <f t="shared" si="870"/>
        <v>3.4650248594829236E-2</v>
      </c>
      <c r="CM65" s="67">
        <f t="shared" si="871"/>
        <v>3.3270008703308873E-2</v>
      </c>
      <c r="CN65" s="67">
        <f t="shared" si="872"/>
        <v>3.445667143033404E-2</v>
      </c>
      <c r="CO65" s="379"/>
    </row>
    <row r="66" spans="2:93" s="137" customFormat="1" ht="18" customHeight="1" x14ac:dyDescent="0.25">
      <c r="B66" s="31" t="s">
        <v>376</v>
      </c>
      <c r="D66" s="379"/>
      <c r="E66" s="379"/>
      <c r="F66" s="379"/>
      <c r="G66" s="379"/>
      <c r="H66" s="379"/>
      <c r="J66" s="67">
        <f>J54/D54-1</f>
        <v>0.2589285714285714</v>
      </c>
      <c r="K66" s="67">
        <f t="shared" si="829"/>
        <v>0.18614186141861411</v>
      </c>
      <c r="L66" s="67">
        <f t="shared" si="829"/>
        <v>7.5507137490608667E-2</v>
      </c>
      <c r="M66" s="67">
        <f t="shared" si="829"/>
        <v>0.14212641578370477</v>
      </c>
      <c r="N66" s="67">
        <f t="shared" si="829"/>
        <v>0.16004415011037532</v>
      </c>
      <c r="O66" s="67"/>
      <c r="P66" s="67">
        <f t="shared" si="830"/>
        <v>-6.4576334453154138E-2</v>
      </c>
      <c r="Q66" s="67">
        <f t="shared" si="830"/>
        <v>-6.1873487729001031E-2</v>
      </c>
      <c r="R66" s="67">
        <f t="shared" si="830"/>
        <v>-6.8110373733845653E-2</v>
      </c>
      <c r="S66" s="67">
        <f t="shared" si="830"/>
        <v>-5.5022392834292999E-2</v>
      </c>
      <c r="T66" s="67">
        <f t="shared" si="830"/>
        <v>-6.2191851915924246E-2</v>
      </c>
      <c r="U66" s="67"/>
      <c r="V66" s="67">
        <f t="shared" si="831"/>
        <v>-6.743814844373508E-2</v>
      </c>
      <c r="W66" s="67">
        <f t="shared" si="831"/>
        <v>-0.17428150331613856</v>
      </c>
      <c r="X66" s="67">
        <f t="shared" si="831"/>
        <v>-0.14055472263868063</v>
      </c>
      <c r="Y66" s="67">
        <f t="shared" si="831"/>
        <v>-0.11543669600541639</v>
      </c>
      <c r="Z66" s="67">
        <f t="shared" si="831"/>
        <v>-0.1252536432392547</v>
      </c>
      <c r="AA66" s="67"/>
      <c r="AB66" s="67">
        <f t="shared" si="832"/>
        <v>0.13307659392383409</v>
      </c>
      <c r="AC66" s="67">
        <f t="shared" si="832"/>
        <v>0.34404283801874169</v>
      </c>
      <c r="AD66" s="67">
        <f t="shared" si="832"/>
        <v>0.23855211513301344</v>
      </c>
      <c r="AE66" s="67">
        <f t="shared" si="832"/>
        <v>0.24492920015308073</v>
      </c>
      <c r="AF66" s="67">
        <f t="shared" si="832"/>
        <v>0.23924504428511173</v>
      </c>
      <c r="AG66" s="67"/>
      <c r="AH66" s="67">
        <f t="shared" si="833"/>
        <v>0.1537009063444108</v>
      </c>
      <c r="AI66" s="67">
        <f t="shared" si="833"/>
        <v>-3.5192563081009265E-2</v>
      </c>
      <c r="AJ66" s="67">
        <f t="shared" si="833"/>
        <v>7.4999999999999956E-2</v>
      </c>
      <c r="AK66" s="67">
        <f t="shared" si="833"/>
        <v>8.2692898862588349E-2</v>
      </c>
      <c r="AL66" s="67">
        <f t="shared" si="833"/>
        <v>6.6621288181740734E-2</v>
      </c>
      <c r="AM66" s="67"/>
      <c r="AN66" s="67">
        <f t="shared" si="834"/>
        <v>8.6415711947626761E-2</v>
      </c>
      <c r="AO66" s="67">
        <f t="shared" si="834"/>
        <v>0.18169304886441839</v>
      </c>
      <c r="AP66" s="67">
        <f t="shared" si="834"/>
        <v>7.6645922043891312E-2</v>
      </c>
      <c r="AQ66" s="67">
        <f t="shared" si="834"/>
        <v>-8.8018171493469577E-2</v>
      </c>
      <c r="AR66" s="67">
        <f t="shared" si="834"/>
        <v>5.7115507338864058E-2</v>
      </c>
      <c r="AS66" s="67"/>
      <c r="AT66" s="67">
        <f t="shared" si="835"/>
        <v>-0.16993070201868032</v>
      </c>
      <c r="AU66" s="67">
        <f t="shared" si="836"/>
        <v>-0.15259172976121138</v>
      </c>
      <c r="AV66" s="264">
        <f t="shared" si="837"/>
        <v>-6.3583815028901758E-2</v>
      </c>
      <c r="AW66" s="67">
        <f t="shared" si="838"/>
        <v>-4.9003735990037378E-2</v>
      </c>
      <c r="AX66" s="67">
        <f t="shared" si="838"/>
        <v>-0.10974947177784478</v>
      </c>
      <c r="AY66" s="379"/>
      <c r="AZ66" s="67">
        <f t="shared" si="839"/>
        <v>-2.9546279491832861E-2</v>
      </c>
      <c r="BA66" s="67">
        <f t="shared" si="840"/>
        <v>-1.1563573883161427E-2</v>
      </c>
      <c r="BB66" s="67">
        <f t="shared" si="841"/>
        <v>1.1202079272254695E-2</v>
      </c>
      <c r="BC66" s="67">
        <f t="shared" si="842"/>
        <v>1.5424278137890379E-2</v>
      </c>
      <c r="BD66" s="67">
        <f t="shared" si="842"/>
        <v>-2.8357462534752687E-3</v>
      </c>
      <c r="BE66" s="379"/>
      <c r="BF66" s="67">
        <f t="shared" si="843"/>
        <v>4.8434694793536792E-2</v>
      </c>
      <c r="BG66" s="67">
        <f t="shared" si="844"/>
        <v>4.8463330262311421E-2</v>
      </c>
      <c r="BH66" s="67">
        <f t="shared" si="845"/>
        <v>4.8523106975787877E-2</v>
      </c>
      <c r="BI66" s="67">
        <f t="shared" si="846"/>
        <v>4.8657130007108806E-2</v>
      </c>
      <c r="BJ66" s="67">
        <f t="shared" si="847"/>
        <v>4.8523734619048131E-2</v>
      </c>
      <c r="BK66" s="379"/>
      <c r="BL66" s="67">
        <f t="shared" si="848"/>
        <v>4.5089499285611234E-2</v>
      </c>
      <c r="BM66" s="67">
        <f t="shared" si="849"/>
        <v>4.5194906072209218E-2</v>
      </c>
      <c r="BN66" s="67">
        <f t="shared" si="850"/>
        <v>4.5020105363947183E-2</v>
      </c>
      <c r="BO66" s="67">
        <f t="shared" si="851"/>
        <v>4.5552097590521701E-2</v>
      </c>
      <c r="BP66" s="67">
        <f t="shared" si="852"/>
        <v>4.5218893553196526E-2</v>
      </c>
      <c r="BQ66" s="379"/>
      <c r="BR66" s="67">
        <f t="shared" si="853"/>
        <v>4.5113413017300985E-2</v>
      </c>
      <c r="BS66" s="67">
        <f t="shared" si="854"/>
        <v>4.5218788710249536E-2</v>
      </c>
      <c r="BT66" s="67">
        <f t="shared" si="855"/>
        <v>4.5044027961843591E-2</v>
      </c>
      <c r="BU66" s="67">
        <f t="shared" si="856"/>
        <v>4.5575716871002925E-2</v>
      </c>
      <c r="BV66" s="67">
        <f t="shared" si="857"/>
        <v>4.5242766146551316E-2</v>
      </c>
      <c r="BW66" s="379"/>
      <c r="BX66" s="67">
        <f t="shared" si="858"/>
        <v>4.5137321558877952E-2</v>
      </c>
      <c r="BY66" s="67">
        <f t="shared" si="859"/>
        <v>4.524266134990107E-2</v>
      </c>
      <c r="BZ66" s="67">
        <f t="shared" si="860"/>
        <v>4.5067948544010195E-2</v>
      </c>
      <c r="CA66" s="67">
        <f t="shared" si="861"/>
        <v>4.5599310140898242E-2</v>
      </c>
      <c r="CB66" s="67">
        <f t="shared" si="862"/>
        <v>4.5266627650697222E-2</v>
      </c>
      <c r="CC66" s="379"/>
      <c r="CD66" s="67">
        <f t="shared" si="863"/>
        <v>4.5161223817723695E-2</v>
      </c>
      <c r="CE66" s="67">
        <f t="shared" si="864"/>
        <v>4.5266522905109241E-2</v>
      </c>
      <c r="CF66" s="67">
        <f t="shared" si="865"/>
        <v>4.5091866015625426E-2</v>
      </c>
      <c r="CG66" s="67">
        <f t="shared" si="866"/>
        <v>4.5622876364705078E-2</v>
      </c>
      <c r="CH66" s="67">
        <f t="shared" si="867"/>
        <v>4.529047698161115E-2</v>
      </c>
      <c r="CI66" s="379"/>
      <c r="CJ66" s="67">
        <f t="shared" si="868"/>
        <v>4.518511870237063E-2</v>
      </c>
      <c r="CK66" s="67">
        <f t="shared" si="869"/>
        <v>4.5290372291839409E-2</v>
      </c>
      <c r="CL66" s="67">
        <f t="shared" si="870"/>
        <v>4.5115779282437485E-2</v>
      </c>
      <c r="CM66" s="67">
        <f t="shared" si="871"/>
        <v>4.5646414511766098E-2</v>
      </c>
      <c r="CN66" s="67">
        <f t="shared" si="872"/>
        <v>4.5314313057488231E-2</v>
      </c>
      <c r="CO66" s="379"/>
    </row>
    <row r="67" spans="2:93" s="137" customFormat="1" ht="18" customHeight="1" x14ac:dyDescent="0.25">
      <c r="B67" s="31" t="s">
        <v>377</v>
      </c>
      <c r="D67" s="379"/>
      <c r="E67" s="379"/>
      <c r="F67" s="379"/>
      <c r="G67" s="379"/>
      <c r="H67" s="379"/>
      <c r="J67" s="390">
        <f>J55/D55-1</f>
        <v>0.44597349643221196</v>
      </c>
      <c r="K67" s="390">
        <f t="shared" si="829"/>
        <v>0.38498263888888884</v>
      </c>
      <c r="L67" s="390">
        <f t="shared" si="829"/>
        <v>0.27725321888412013</v>
      </c>
      <c r="M67" s="390">
        <f t="shared" si="829"/>
        <v>7.097232079489002E-2</v>
      </c>
      <c r="N67" s="390">
        <f t="shared" si="829"/>
        <v>0.27703420437646065</v>
      </c>
      <c r="O67" s="390"/>
      <c r="P67" s="390">
        <f t="shared" si="830"/>
        <v>8.741628480789565E-2</v>
      </c>
      <c r="Q67" s="390">
        <f t="shared" si="830"/>
        <v>-8.0539015982450612E-2</v>
      </c>
      <c r="R67" s="390">
        <f t="shared" si="830"/>
        <v>-0.13911290322580649</v>
      </c>
      <c r="S67" s="390">
        <f t="shared" si="830"/>
        <v>2.3194168323392717E-3</v>
      </c>
      <c r="T67" s="390">
        <f t="shared" si="830"/>
        <v>-3.4603227416403315E-2</v>
      </c>
      <c r="U67" s="390"/>
      <c r="V67" s="390">
        <f t="shared" si="831"/>
        <v>-0.28071312803889792</v>
      </c>
      <c r="W67" s="390">
        <f t="shared" si="831"/>
        <v>-0.1697341513292433</v>
      </c>
      <c r="X67" s="390">
        <f t="shared" si="831"/>
        <v>-7.8064012490241974E-2</v>
      </c>
      <c r="Y67" s="390">
        <f t="shared" si="831"/>
        <v>-8.2644628099173501E-2</v>
      </c>
      <c r="Z67" s="390">
        <f t="shared" si="831"/>
        <v>-0.15629846631052902</v>
      </c>
      <c r="AA67" s="390"/>
      <c r="AB67" s="390">
        <f t="shared" si="832"/>
        <v>0.32041460117169906</v>
      </c>
      <c r="AC67" s="390">
        <f t="shared" si="832"/>
        <v>0.11904761904761907</v>
      </c>
      <c r="AD67" s="390">
        <f t="shared" si="832"/>
        <v>8.5520745131244746E-2</v>
      </c>
      <c r="AE67" s="390">
        <f t="shared" si="832"/>
        <v>9.873873873873884E-2</v>
      </c>
      <c r="AF67" s="390">
        <f t="shared" si="832"/>
        <v>0.15083741830065356</v>
      </c>
      <c r="AG67" s="390"/>
      <c r="AH67" s="390">
        <f t="shared" si="833"/>
        <v>-4.095563139931746E-2</v>
      </c>
      <c r="AI67" s="390">
        <f t="shared" si="833"/>
        <v>3.7050623624357959E-2</v>
      </c>
      <c r="AJ67" s="390">
        <f t="shared" si="833"/>
        <v>9.3603744149765911E-2</v>
      </c>
      <c r="AK67" s="390">
        <f t="shared" si="833"/>
        <v>-2.918989832732044E-2</v>
      </c>
      <c r="AL67" s="390">
        <f t="shared" si="833"/>
        <v>1.1713550448132048E-2</v>
      </c>
      <c r="AM67" s="390"/>
      <c r="AN67" s="390">
        <f t="shared" si="834"/>
        <v>1.708185053380773E-2</v>
      </c>
      <c r="AO67" s="390">
        <f t="shared" si="834"/>
        <v>0.10505836575875493</v>
      </c>
      <c r="AP67" s="390">
        <f t="shared" si="834"/>
        <v>-7.132667617689048E-3</v>
      </c>
      <c r="AQ67" s="390">
        <f t="shared" si="834"/>
        <v>1.3513513513514486E-3</v>
      </c>
      <c r="AR67" s="390">
        <f t="shared" si="834"/>
        <v>2.8857117796684539E-2</v>
      </c>
      <c r="AS67" s="390"/>
      <c r="AT67" s="390">
        <f t="shared" si="835"/>
        <v>-4.8985304408677433E-2</v>
      </c>
      <c r="AU67" s="390">
        <f t="shared" si="836"/>
        <v>-9.1869398207426345E-2</v>
      </c>
      <c r="AV67" s="392">
        <f t="shared" si="837"/>
        <v>-6.8247126436781658E-2</v>
      </c>
      <c r="AW67" s="390">
        <f t="shared" si="838"/>
        <v>-5.2378542510121417E-2</v>
      </c>
      <c r="AX67" s="390">
        <f t="shared" si="838"/>
        <v>-6.5835464620630835E-2</v>
      </c>
      <c r="AY67" s="379"/>
      <c r="AZ67" s="390">
        <f t="shared" si="839"/>
        <v>-5.397350993377481E-2</v>
      </c>
      <c r="BA67" s="390">
        <f t="shared" si="840"/>
        <v>-5.1780049347902701E-2</v>
      </c>
      <c r="BB67" s="390">
        <f t="shared" si="841"/>
        <v>-3.6622976098676929E-4</v>
      </c>
      <c r="BC67" s="390">
        <f t="shared" si="842"/>
        <v>-5.8210947930581458E-4</v>
      </c>
      <c r="BD67" s="390">
        <f t="shared" si="842"/>
        <v>-2.7029727818211002E-2</v>
      </c>
      <c r="BE67" s="379"/>
      <c r="BF67" s="390">
        <f t="shared" si="843"/>
        <v>4.6881344067203568E-2</v>
      </c>
      <c r="BG67" s="390">
        <f t="shared" si="844"/>
        <v>4.6821679491468871E-2</v>
      </c>
      <c r="BH67" s="390">
        <f t="shared" si="845"/>
        <v>4.6671872890997168E-2</v>
      </c>
      <c r="BI67" s="390">
        <f t="shared" si="846"/>
        <v>4.6822182204861784E-2</v>
      </c>
      <c r="BJ67" s="390">
        <f t="shared" si="847"/>
        <v>4.6799766263208253E-2</v>
      </c>
      <c r="BK67" s="379"/>
      <c r="BL67" s="390">
        <f t="shared" si="848"/>
        <v>4.341581576360598E-2</v>
      </c>
      <c r="BM67" s="390">
        <f t="shared" si="849"/>
        <v>4.3570526854056491E-2</v>
      </c>
      <c r="BN67" s="390">
        <f t="shared" si="850"/>
        <v>4.3477209986100052E-2</v>
      </c>
      <c r="BO67" s="390">
        <f t="shared" si="851"/>
        <v>4.3534242778390464E-2</v>
      </c>
      <c r="BP67" s="390">
        <f t="shared" si="852"/>
        <v>4.3500964728469871E-2</v>
      </c>
      <c r="BQ67" s="379"/>
      <c r="BR67" s="390">
        <f t="shared" si="853"/>
        <v>4.3437370315459134E-2</v>
      </c>
      <c r="BS67" s="390">
        <f t="shared" si="854"/>
        <v>4.3592524990199832E-2</v>
      </c>
      <c r="BT67" s="390">
        <f t="shared" si="855"/>
        <v>4.3498946072290545E-2</v>
      </c>
      <c r="BU67" s="390">
        <f t="shared" si="856"/>
        <v>4.3556141011175331E-2</v>
      </c>
      <c r="BV67" s="390">
        <f t="shared" si="857"/>
        <v>4.3522769110088788E-2</v>
      </c>
      <c r="BW67" s="379"/>
      <c r="BX67" s="390">
        <f t="shared" si="858"/>
        <v>4.3458989426591987E-2</v>
      </c>
      <c r="BY67" s="390">
        <f t="shared" si="859"/>
        <v>4.3614582463347373E-2</v>
      </c>
      <c r="BZ67" s="390">
        <f t="shared" si="860"/>
        <v>4.3520744692395974E-2</v>
      </c>
      <c r="CA67" s="390">
        <f t="shared" si="861"/>
        <v>4.3578099840527962E-2</v>
      </c>
      <c r="CB67" s="390">
        <f t="shared" si="862"/>
        <v>4.3544635225111428E-2</v>
      </c>
      <c r="CC67" s="379"/>
      <c r="CD67" s="390">
        <f t="shared" si="863"/>
        <v>4.3480672393188646E-2</v>
      </c>
      <c r="CE67" s="390">
        <f t="shared" si="864"/>
        <v>4.363669849989682E-2</v>
      </c>
      <c r="CF67" s="390">
        <f t="shared" si="865"/>
        <v>4.3542605114290645E-2</v>
      </c>
      <c r="CG67" s="390">
        <f t="shared" si="866"/>
        <v>4.360011850874268E-2</v>
      </c>
      <c r="CH67" s="390">
        <f t="shared" si="867"/>
        <v>4.3566562330670022E-2</v>
      </c>
      <c r="CI67" s="379"/>
      <c r="CJ67" s="390">
        <f t="shared" si="868"/>
        <v>4.3502418501404572E-2</v>
      </c>
      <c r="CK67" s="390">
        <f t="shared" si="869"/>
        <v>4.365887231675547E-2</v>
      </c>
      <c r="CL67" s="390">
        <f t="shared" si="870"/>
        <v>4.3564526596015396E-2</v>
      </c>
      <c r="CM67" s="390">
        <f t="shared" si="871"/>
        <v>4.3622196248483958E-2</v>
      </c>
      <c r="CN67" s="390">
        <f t="shared" si="872"/>
        <v>4.358854967414838E-2</v>
      </c>
      <c r="CO67" s="379"/>
    </row>
    <row r="68" spans="2:93" s="137" customFormat="1" ht="18" customHeight="1" x14ac:dyDescent="0.25">
      <c r="B68" s="155" t="s">
        <v>382</v>
      </c>
      <c r="C68" s="155"/>
      <c r="D68" s="155"/>
      <c r="E68" s="155"/>
      <c r="F68" s="155"/>
      <c r="G68" s="155"/>
      <c r="H68" s="155"/>
      <c r="I68" s="155"/>
      <c r="J68" s="390">
        <f>J57/D57-1</f>
        <v>0.33077765607886089</v>
      </c>
      <c r="K68" s="390">
        <f>K57/E57-1</f>
        <v>0.24814362252091371</v>
      </c>
      <c r="L68" s="390">
        <f>L57/F57-1</f>
        <v>0.19135629608886395</v>
      </c>
      <c r="M68" s="390">
        <f>M57/G57-1</f>
        <v>0.11776283418074462</v>
      </c>
      <c r="N68" s="390">
        <f>N57/H57-1</f>
        <v>0.21431249414190656</v>
      </c>
      <c r="O68" s="390"/>
      <c r="P68" s="390">
        <f>P57/J57-1</f>
        <v>4.7242798353909432E-2</v>
      </c>
      <c r="Q68" s="390">
        <f>Q57/K57-1</f>
        <v>2.9520295202952074E-2</v>
      </c>
      <c r="R68" s="390">
        <f>R57/L57-1</f>
        <v>-6.1819321476141997E-2</v>
      </c>
      <c r="S68" s="390">
        <f>S57/M57-1</f>
        <v>-9.1269258987527468E-2</v>
      </c>
      <c r="T68" s="390">
        <f>T57/N57-1</f>
        <v>-2.0589710933580307E-2</v>
      </c>
      <c r="U68" s="390"/>
      <c r="V68" s="390">
        <f>V57/P57-1</f>
        <v>-0.22084250235774916</v>
      </c>
      <c r="W68" s="390">
        <f>W57/Q57-1</f>
        <v>-0.31899641577060933</v>
      </c>
      <c r="X68" s="390">
        <f>X57/R57-1</f>
        <v>-0.22933021546684484</v>
      </c>
      <c r="Y68" s="390">
        <f>Y57/S57-1</f>
        <v>-0.14661714839334727</v>
      </c>
      <c r="Z68" s="390">
        <f>Z57/T57-1</f>
        <v>-0.23116934292187963</v>
      </c>
      <c r="AA68" s="390"/>
      <c r="AB68" s="390">
        <f>AB57/V57-1</f>
        <v>0.12880774662094008</v>
      </c>
      <c r="AC68" s="390">
        <f>AC57/W57-1</f>
        <v>0.30966702470461871</v>
      </c>
      <c r="AD68" s="390">
        <f>AD57/X57-1</f>
        <v>0.26863892501083653</v>
      </c>
      <c r="AE68" s="390">
        <f>AE57/Y57-1</f>
        <v>0.23907284768211912</v>
      </c>
      <c r="AF68" s="390">
        <f>AF57/Z57-1</f>
        <v>0.23489313720465388</v>
      </c>
      <c r="AG68" s="390"/>
      <c r="AH68" s="390">
        <f>AH57/AB57-1</f>
        <v>0.15146099544276659</v>
      </c>
      <c r="AI68" s="390">
        <f>AI57/AC57-1</f>
        <v>0.11039120807020431</v>
      </c>
      <c r="AJ68" s="390">
        <f>AJ57/AD57-1</f>
        <v>0.21961219783035801</v>
      </c>
      <c r="AK68" s="390">
        <f>AK57/AE57-1</f>
        <v>0.21180422997633053</v>
      </c>
      <c r="AL68" s="390">
        <f>AL57/AF57-1</f>
        <v>0.17402672864613589</v>
      </c>
      <c r="AM68" s="390"/>
      <c r="AN68" s="390">
        <f>AN57/AH57-1</f>
        <v>0.17173676858606246</v>
      </c>
      <c r="AO68" s="390">
        <f>AO57/AI57-1</f>
        <v>0.22202526035896297</v>
      </c>
      <c r="AP68" s="390">
        <f>AP57/AJ57-1</f>
        <v>0.11976467292337856</v>
      </c>
      <c r="AQ68" s="390">
        <f>AQ57/AK57-1</f>
        <v>2.3060928737949737E-2</v>
      </c>
      <c r="AR68" s="390">
        <f>AR57/AL57-1</f>
        <v>0.12894615901297413</v>
      </c>
      <c r="AS68" s="390"/>
      <c r="AT68" s="390">
        <f>AT57/AN57-1</f>
        <v>-9.2059076760050429E-3</v>
      </c>
      <c r="AU68" s="390">
        <f>AU57/AO57-1</f>
        <v>-4.2611060743427021E-2</v>
      </c>
      <c r="AV68" s="392">
        <f>AV57/AP57-1</f>
        <v>-4.7348011008256141E-2</v>
      </c>
      <c r="AW68" s="390">
        <f>AW57/AQ57-1</f>
        <v>-2.6137833343597983E-2</v>
      </c>
      <c r="AX68" s="390">
        <f>AX57/AR57-1</f>
        <v>-3.1711785060044795E-2</v>
      </c>
      <c r="AY68" s="155"/>
      <c r="AZ68" s="390">
        <f>AZ57/AT57-1</f>
        <v>-2.9872994652406226E-2</v>
      </c>
      <c r="BA68" s="390">
        <f>BA57/AU57-1</f>
        <v>-1.7881944444444353E-2</v>
      </c>
      <c r="BB68" s="390">
        <f>BB57/AV57-1</f>
        <v>2.1101700479284613E-3</v>
      </c>
      <c r="BC68" s="390">
        <f>BC57/AW57-1</f>
        <v>1.4077507810227319E-2</v>
      </c>
      <c r="BD68" s="390">
        <f>BD57/AX57-1</f>
        <v>-7.6872627078631295E-3</v>
      </c>
      <c r="BE68" s="155"/>
      <c r="BF68" s="390">
        <f>BF57/AZ57-1</f>
        <v>4.7262473213854905E-2</v>
      </c>
      <c r="BG68" s="390">
        <f>BG57/BA57-1</f>
        <v>4.7249971877159291E-2</v>
      </c>
      <c r="BH68" s="390">
        <f>BH57/BB57-1</f>
        <v>4.7140929061779024E-2</v>
      </c>
      <c r="BI68" s="390">
        <f>BI57/BC57-1</f>
        <v>4.6918490955087488E-2</v>
      </c>
      <c r="BJ68" s="390">
        <f>BJ57/BD57-1</f>
        <v>4.7139193541827273E-2</v>
      </c>
      <c r="BK68" s="155"/>
      <c r="BL68" s="390">
        <f>BL57/BF57-1</f>
        <v>4.088271188447945E-2</v>
      </c>
      <c r="BM68" s="390">
        <f>BM57/BG57-1</f>
        <v>4.1106522812756285E-2</v>
      </c>
      <c r="BN68" s="390">
        <f>BN57/BH57-1</f>
        <v>4.0994579525086117E-2</v>
      </c>
      <c r="BO68" s="390">
        <f>BO57/BI57-1</f>
        <v>4.1229443286203482E-2</v>
      </c>
      <c r="BP68" s="390">
        <f>BP57/BJ57-1</f>
        <v>4.1057856844103791E-2</v>
      </c>
      <c r="BQ68" s="155"/>
      <c r="BR68" s="390">
        <f>BR57/BL57-1</f>
        <v>4.0951229043203696E-2</v>
      </c>
      <c r="BS68" s="390">
        <f>BS57/BM57-1</f>
        <v>4.1175115343144331E-2</v>
      </c>
      <c r="BT68" s="390">
        <f>BT57/BN57-1</f>
        <v>4.1063213581539415E-2</v>
      </c>
      <c r="BU68" s="390">
        <f>BU57/BO57-1</f>
        <v>4.1302437546609783E-2</v>
      </c>
      <c r="BV68" s="390">
        <f>BV57/BP57-1</f>
        <v>4.1127607865966143E-2</v>
      </c>
      <c r="BW68" s="155"/>
      <c r="BX68" s="390">
        <f>BX57/BR57-1</f>
        <v>4.1019499669147308E-2</v>
      </c>
      <c r="BY68" s="390">
        <f>BY57/BS57-1</f>
        <v>4.1243436445422388E-2</v>
      </c>
      <c r="BZ68" s="390">
        <f>BZ57/BT57-1</f>
        <v>4.1131574100899515E-2</v>
      </c>
      <c r="CA68" s="390">
        <f>CA57/BU57-1</f>
        <v>4.1375056219449702E-2</v>
      </c>
      <c r="CB68" s="390">
        <f>CB57/BV57-1</f>
        <v>4.1197066183707109E-2</v>
      </c>
      <c r="CC68" s="155"/>
      <c r="CD68" s="390">
        <f>CD57/BX57-1</f>
        <v>4.1087520047068837E-2</v>
      </c>
      <c r="CE68" s="390">
        <f>CE57/BY57-1</f>
        <v>4.1311482584499126E-2</v>
      </c>
      <c r="CF68" s="390">
        <f>CF57/BZ57-1</f>
        <v>4.1199657772132747E-2</v>
      </c>
      <c r="CG68" s="390">
        <f>CG57/CA57-1</f>
        <v>4.144729636494815E-2</v>
      </c>
      <c r="CH68" s="390">
        <f>CH57/CB57-1</f>
        <v>4.1266228419225559E-2</v>
      </c>
      <c r="CI68" s="155"/>
      <c r="CJ68" s="390">
        <f>CJ57/CD57-1</f>
        <v>4.1155286522658097E-2</v>
      </c>
      <c r="CK68" s="390">
        <f>CK57/CE57-1</f>
        <v>4.1379250293559044E-2</v>
      </c>
      <c r="CL68" s="390">
        <f>CL57/CF57-1</f>
        <v>4.1267461350085188E-2</v>
      </c>
      <c r="CM68" s="390">
        <f>CM57/CG57-1</f>
        <v>4.1519155142908826E-2</v>
      </c>
      <c r="CN68" s="390">
        <f>CN57/CH57-1</f>
        <v>4.1335091267821422E-2</v>
      </c>
      <c r="CO68" s="379"/>
    </row>
    <row r="69" spans="2:93" s="137" customFormat="1" ht="18" customHeight="1" x14ac:dyDescent="0.25">
      <c r="B69" s="136"/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  <c r="AK69" s="136"/>
      <c r="AL69" s="136"/>
      <c r="AM69" s="136"/>
      <c r="AN69" s="136"/>
      <c r="AO69" s="136"/>
      <c r="AP69" s="136"/>
      <c r="AQ69" s="136"/>
      <c r="AR69" s="136"/>
      <c r="AS69" s="136"/>
      <c r="AT69" s="136"/>
      <c r="AU69" s="136"/>
      <c r="AV69" s="393"/>
      <c r="AW69" s="136"/>
      <c r="AX69" s="136"/>
      <c r="AY69" s="136"/>
      <c r="AZ69" s="136"/>
      <c r="BA69" s="136"/>
      <c r="BB69" s="136"/>
      <c r="BC69" s="136"/>
      <c r="BD69" s="136"/>
      <c r="BE69" s="136"/>
      <c r="BF69" s="136"/>
      <c r="BG69" s="136"/>
      <c r="BH69" s="136"/>
      <c r="BI69" s="136"/>
      <c r="BJ69" s="136"/>
      <c r="BK69" s="136"/>
      <c r="BL69" s="136"/>
      <c r="BM69" s="136"/>
      <c r="BN69" s="136"/>
      <c r="BO69" s="136"/>
      <c r="BP69" s="136"/>
      <c r="BQ69" s="136"/>
      <c r="BR69" s="136"/>
      <c r="BS69" s="136"/>
      <c r="BT69" s="136"/>
      <c r="BU69" s="136"/>
      <c r="BV69" s="136"/>
      <c r="BW69" s="136"/>
      <c r="BX69" s="136"/>
      <c r="BY69" s="136"/>
      <c r="BZ69" s="136"/>
      <c r="CA69" s="136"/>
      <c r="CB69" s="136"/>
      <c r="CC69" s="136"/>
      <c r="CD69" s="136"/>
      <c r="CE69" s="136"/>
      <c r="CF69" s="136"/>
      <c r="CG69" s="136"/>
      <c r="CH69" s="136"/>
      <c r="CI69" s="136"/>
      <c r="CJ69" s="136"/>
      <c r="CK69" s="136"/>
      <c r="CL69" s="136"/>
      <c r="CM69" s="136"/>
      <c r="CN69" s="136"/>
      <c r="CO69" s="379"/>
    </row>
    <row r="70" spans="2:93" s="137" customFormat="1" ht="18" customHeight="1" x14ac:dyDescent="0.25">
      <c r="B70" s="386" t="s">
        <v>383</v>
      </c>
      <c r="D70" s="379"/>
      <c r="E70" s="379"/>
      <c r="F70" s="379"/>
      <c r="G70" s="379"/>
      <c r="H70" s="379"/>
      <c r="J70" s="246"/>
      <c r="K70" s="246"/>
      <c r="L70" s="246"/>
      <c r="M70" s="246"/>
      <c r="N70" s="246"/>
      <c r="O70" s="246"/>
      <c r="P70" s="246"/>
      <c r="Q70" s="246"/>
      <c r="R70" s="246"/>
      <c r="S70" s="246"/>
      <c r="T70" s="246"/>
      <c r="U70" s="246"/>
      <c r="V70" s="246"/>
      <c r="W70" s="246"/>
      <c r="X70" s="246"/>
      <c r="Y70" s="246"/>
      <c r="Z70" s="246"/>
      <c r="AA70" s="246"/>
      <c r="AB70" s="246"/>
      <c r="AC70" s="246"/>
      <c r="AD70" s="246"/>
      <c r="AE70" s="246"/>
      <c r="AF70" s="246"/>
      <c r="AG70" s="246"/>
      <c r="AH70" s="246"/>
      <c r="AI70" s="246"/>
      <c r="AJ70" s="246"/>
      <c r="AK70" s="246"/>
      <c r="AL70" s="246"/>
      <c r="AM70" s="246"/>
      <c r="AN70" s="246"/>
      <c r="AO70" s="246"/>
      <c r="AP70" s="246"/>
      <c r="AQ70" s="246"/>
      <c r="AR70" s="246"/>
      <c r="AS70" s="246"/>
      <c r="AT70" s="246"/>
      <c r="AU70" s="246"/>
      <c r="AV70" s="265"/>
      <c r="AW70" s="246"/>
      <c r="AX70" s="246"/>
      <c r="AY70" s="379"/>
      <c r="AZ70" s="246"/>
      <c r="BA70" s="246"/>
      <c r="BB70" s="246"/>
      <c r="BC70" s="246"/>
      <c r="BD70" s="246"/>
      <c r="BE70" s="379"/>
      <c r="BF70" s="246"/>
      <c r="BG70" s="246"/>
      <c r="BH70" s="246"/>
      <c r="BI70" s="246"/>
      <c r="BJ70" s="246"/>
      <c r="BK70" s="379"/>
      <c r="BL70" s="246"/>
      <c r="BM70" s="246"/>
      <c r="BN70" s="246"/>
      <c r="BO70" s="246"/>
      <c r="BP70" s="246"/>
      <c r="BQ70" s="379"/>
      <c r="BR70" s="246"/>
      <c r="BS70" s="246"/>
      <c r="BT70" s="246"/>
      <c r="BU70" s="246"/>
      <c r="BV70" s="246"/>
      <c r="BW70" s="379"/>
      <c r="BX70" s="246"/>
      <c r="BY70" s="246"/>
      <c r="BZ70" s="246"/>
      <c r="CA70" s="246"/>
      <c r="CB70" s="246"/>
      <c r="CC70" s="379"/>
      <c r="CD70" s="246"/>
      <c r="CE70" s="246"/>
      <c r="CF70" s="246"/>
      <c r="CG70" s="246"/>
      <c r="CH70" s="246"/>
      <c r="CI70" s="379"/>
      <c r="CJ70" s="246"/>
      <c r="CK70" s="246"/>
      <c r="CL70" s="246"/>
      <c r="CM70" s="246"/>
      <c r="CN70" s="246"/>
      <c r="CO70" s="379"/>
    </row>
    <row r="71" spans="2:93" s="137" customFormat="1" ht="18" customHeight="1" x14ac:dyDescent="0.25">
      <c r="B71" s="31" t="s">
        <v>374</v>
      </c>
      <c r="D71" s="379"/>
      <c r="E71" s="379"/>
      <c r="F71" s="379"/>
      <c r="G71" s="379"/>
      <c r="H71" s="379"/>
      <c r="J71" s="67">
        <f t="shared" ref="J71:AR75" si="873">J52/J$57</f>
        <v>0.46444444444444444</v>
      </c>
      <c r="K71" s="67">
        <f t="shared" si="873"/>
        <v>0.46125461254612549</v>
      </c>
      <c r="L71" s="67">
        <f t="shared" si="873"/>
        <v>0.45475201755073258</v>
      </c>
      <c r="M71" s="67">
        <f t="shared" si="873"/>
        <v>0.45663976522377109</v>
      </c>
      <c r="N71" s="67">
        <f t="shared" si="873"/>
        <v>0.45918721778395277</v>
      </c>
      <c r="O71" s="67"/>
      <c r="P71" s="67">
        <f t="shared" si="873"/>
        <v>0.47681546683432885</v>
      </c>
      <c r="Q71" s="67">
        <f t="shared" si="873"/>
        <v>0.50237729500402306</v>
      </c>
      <c r="R71" s="67">
        <f t="shared" si="873"/>
        <v>0.47152163019876397</v>
      </c>
      <c r="S71" s="67">
        <f t="shared" si="873"/>
        <v>0.43355401259486515</v>
      </c>
      <c r="T71" s="67">
        <f t="shared" si="873"/>
        <v>0.47189439464092209</v>
      </c>
      <c r="U71" s="67"/>
      <c r="V71" s="67">
        <f t="shared" si="873"/>
        <v>0.45582005245107926</v>
      </c>
      <c r="W71" s="67">
        <f t="shared" si="873"/>
        <v>0.42180451127819552</v>
      </c>
      <c r="X71" s="67">
        <f t="shared" si="873"/>
        <v>0.4174252275682705</v>
      </c>
      <c r="Y71" s="67">
        <f t="shared" si="873"/>
        <v>0.39697256385998109</v>
      </c>
      <c r="Z71" s="67">
        <f t="shared" si="873"/>
        <v>0.42268463943416534</v>
      </c>
      <c r="AA71" s="67"/>
      <c r="AB71" s="67">
        <f t="shared" si="873"/>
        <v>0.4079170762219641</v>
      </c>
      <c r="AC71" s="67">
        <f t="shared" si="873"/>
        <v>0.43377347658492577</v>
      </c>
      <c r="AD71" s="67">
        <f t="shared" si="873"/>
        <v>0.42837618518834886</v>
      </c>
      <c r="AE71" s="67">
        <f t="shared" si="873"/>
        <v>0.41268992899137208</v>
      </c>
      <c r="AF71" s="67">
        <f t="shared" si="873"/>
        <v>0.42072715198804683</v>
      </c>
      <c r="AG71" s="67"/>
      <c r="AH71" s="67">
        <f t="shared" si="873"/>
        <v>0.44047803818097159</v>
      </c>
      <c r="AI71" s="67">
        <f t="shared" si="873"/>
        <v>0.46606100893714453</v>
      </c>
      <c r="AJ71" s="67">
        <f t="shared" si="873"/>
        <v>0.46575150581313912</v>
      </c>
      <c r="AK71" s="67">
        <f t="shared" si="873"/>
        <v>0.46859051099489635</v>
      </c>
      <c r="AL71" s="67">
        <f t="shared" si="873"/>
        <v>0.46086541520839963</v>
      </c>
      <c r="AM71" s="67"/>
      <c r="AN71" s="67">
        <f t="shared" si="873"/>
        <v>0.49592688257500495</v>
      </c>
      <c r="AO71" s="67">
        <f t="shared" si="873"/>
        <v>0.50951949229374438</v>
      </c>
      <c r="AP71" s="67">
        <f t="shared" si="873"/>
        <v>0.52601951463597696</v>
      </c>
      <c r="AQ71" s="67">
        <f t="shared" si="873"/>
        <v>0.50828354991685654</v>
      </c>
      <c r="AR71" s="67">
        <f t="shared" si="873"/>
        <v>0.51012228154503747</v>
      </c>
      <c r="AS71" s="67"/>
      <c r="AT71" s="67">
        <f t="shared" ref="AT71:AX71" si="874">AT52/AT$57</f>
        <v>0.53796791443850267</v>
      </c>
      <c r="AU71" s="67">
        <f t="shared" si="874"/>
        <v>0.5347853535353535</v>
      </c>
      <c r="AV71" s="264">
        <f t="shared" si="874"/>
        <v>0.52353752215875515</v>
      </c>
      <c r="AW71" s="67">
        <f t="shared" si="874"/>
        <v>0.5117754196020895</v>
      </c>
      <c r="AX71" s="67">
        <f t="shared" si="874"/>
        <v>0.52690173275811891</v>
      </c>
      <c r="AY71" s="67"/>
      <c r="AZ71" s="67">
        <f t="shared" ref="AZ71:BD71" si="875">AZ52/AZ$57</f>
        <v>0.53974684939812989</v>
      </c>
      <c r="BA71" s="67">
        <f t="shared" si="875"/>
        <v>0.5403506516463914</v>
      </c>
      <c r="BB71" s="67">
        <f t="shared" si="875"/>
        <v>0.524039614391272</v>
      </c>
      <c r="BC71" s="67">
        <f t="shared" si="875"/>
        <v>0.51885595204849921</v>
      </c>
      <c r="BD71" s="67">
        <f t="shared" si="875"/>
        <v>0.53053461311032268</v>
      </c>
      <c r="BE71" s="67"/>
      <c r="BF71" s="67">
        <f t="shared" ref="BF71:BJ71" si="876">BF52/BF$57</f>
        <v>0.54040926967354819</v>
      </c>
      <c r="BG71" s="67">
        <f t="shared" si="876"/>
        <v>0.54102933707902001</v>
      </c>
      <c r="BH71" s="67">
        <f t="shared" si="876"/>
        <v>0.52473448316039228</v>
      </c>
      <c r="BI71" s="67">
        <f t="shared" si="876"/>
        <v>0.51969178767835278</v>
      </c>
      <c r="BJ71" s="67">
        <f t="shared" si="876"/>
        <v>0.53125569067595602</v>
      </c>
      <c r="BK71" s="67"/>
      <c r="BL71" s="67">
        <f t="shared" ref="BL71:BP71" si="877">BL52/BL$57</f>
        <v>0.53981585080241912</v>
      </c>
      <c r="BM71" s="67">
        <f t="shared" si="877"/>
        <v>0.54050228929870114</v>
      </c>
      <c r="BN71" s="67">
        <f t="shared" si="877"/>
        <v>0.52418717016867755</v>
      </c>
      <c r="BO71" s="67">
        <f t="shared" si="877"/>
        <v>0.51938998969109418</v>
      </c>
      <c r="BP71" s="67">
        <f t="shared" si="877"/>
        <v>0.53076611370245241</v>
      </c>
      <c r="BQ71" s="67"/>
      <c r="BR71" s="67">
        <f t="shared" ref="BR71:BV71" si="878">BR52/BR$57</f>
        <v>0.53923024894434812</v>
      </c>
      <c r="BS71" s="67">
        <f t="shared" si="878"/>
        <v>0.53998298658403776</v>
      </c>
      <c r="BT71" s="67">
        <f t="shared" si="878"/>
        <v>0.52364725839187187</v>
      </c>
      <c r="BU71" s="67">
        <f t="shared" si="878"/>
        <v>0.51909309232826062</v>
      </c>
      <c r="BV71" s="67">
        <f t="shared" si="878"/>
        <v>0.53028348270118886</v>
      </c>
      <c r="BW71" s="67"/>
      <c r="BX71" s="67">
        <f t="shared" ref="BX71:CB71" si="879">BX52/BX$57</f>
        <v>0.53865257938277644</v>
      </c>
      <c r="BY71" s="67">
        <f t="shared" si="879"/>
        <v>0.53947153342962861</v>
      </c>
      <c r="BZ71" s="67">
        <f t="shared" si="879"/>
        <v>0.52311486268096286</v>
      </c>
      <c r="CA71" s="67">
        <f t="shared" si="879"/>
        <v>0.51880122193181677</v>
      </c>
      <c r="CB71" s="67">
        <f t="shared" si="879"/>
        <v>0.52980791359043533</v>
      </c>
      <c r="CC71" s="67"/>
      <c r="CD71" s="67">
        <f t="shared" ref="CD71:CH71" si="880">CD52/CD$57</f>
        <v>0.53808295287316632</v>
      </c>
      <c r="CE71" s="67">
        <f t="shared" si="880"/>
        <v>0.53896802979576552</v>
      </c>
      <c r="CF71" s="67">
        <f t="shared" si="880"/>
        <v>0.52259009332460249</v>
      </c>
      <c r="CG71" s="67">
        <f t="shared" si="880"/>
        <v>0.51851450023009871</v>
      </c>
      <c r="CH71" s="67">
        <f t="shared" si="880"/>
        <v>0.52933951769261789</v>
      </c>
      <c r="CI71" s="67"/>
      <c r="CJ71" s="67">
        <f t="shared" ref="CJ71:CN71" si="881">CJ52/CJ$57</f>
        <v>0.53752147565049402</v>
      </c>
      <c r="CK71" s="67">
        <f t="shared" si="881"/>
        <v>0.53847257112386626</v>
      </c>
      <c r="CL71" s="67">
        <f t="shared" si="881"/>
        <v>0.52207305606086618</v>
      </c>
      <c r="CM71" s="67">
        <f t="shared" si="881"/>
        <v>0.51823304434931461</v>
      </c>
      <c r="CN71" s="67">
        <f t="shared" si="881"/>
        <v>0.5288784017466579</v>
      </c>
      <c r="CO71" s="239"/>
    </row>
    <row r="72" spans="2:93" s="137" customFormat="1" ht="18" customHeight="1" x14ac:dyDescent="0.25">
      <c r="B72" s="31" t="s">
        <v>375</v>
      </c>
      <c r="D72" s="379"/>
      <c r="E72" s="379"/>
      <c r="F72" s="379"/>
      <c r="G72" s="379"/>
      <c r="H72" s="379"/>
      <c r="J72" s="67">
        <f t="shared" si="873"/>
        <v>8.0987654320987659E-2</v>
      </c>
      <c r="K72" s="67">
        <f t="shared" si="873"/>
        <v>8.0804277430529411E-2</v>
      </c>
      <c r="L72" s="67">
        <f t="shared" si="873"/>
        <v>8.8223771840476375E-2</v>
      </c>
      <c r="M72" s="67">
        <f t="shared" si="873"/>
        <v>9.3470286133528979E-2</v>
      </c>
      <c r="N72" s="67">
        <f t="shared" si="873"/>
        <v>8.6005943421712791E-2</v>
      </c>
      <c r="O72" s="67"/>
      <c r="P72" s="67">
        <f t="shared" si="873"/>
        <v>8.4407419050613011E-2</v>
      </c>
      <c r="Q72" s="67">
        <f t="shared" si="873"/>
        <v>8.5216882451905493E-2</v>
      </c>
      <c r="R72" s="67">
        <f t="shared" si="873"/>
        <v>9.5206280273926844E-2</v>
      </c>
      <c r="S72" s="67">
        <f t="shared" si="873"/>
        <v>8.6872275149362188E-2</v>
      </c>
      <c r="T72" s="67">
        <f t="shared" si="873"/>
        <v>8.7774603487341146E-2</v>
      </c>
      <c r="U72" s="67"/>
      <c r="V72" s="67">
        <f t="shared" si="873"/>
        <v>8.4123461771232602E-2</v>
      </c>
      <c r="W72" s="67">
        <f t="shared" si="873"/>
        <v>7.2932330827067668E-2</v>
      </c>
      <c r="X72" s="67">
        <f t="shared" si="873"/>
        <v>7.8023407022106639E-2</v>
      </c>
      <c r="Y72" s="67">
        <f t="shared" si="873"/>
        <v>9.2999053926206249E-2</v>
      </c>
      <c r="Z72" s="67">
        <f t="shared" si="873"/>
        <v>8.2415047921685206E-2</v>
      </c>
      <c r="AA72" s="67"/>
      <c r="AB72" s="67">
        <f t="shared" si="873"/>
        <v>9.4093467965329289E-2</v>
      </c>
      <c r="AC72" s="67">
        <f t="shared" si="873"/>
        <v>9.5710653653735753E-2</v>
      </c>
      <c r="AD72" s="67">
        <f t="shared" si="873"/>
        <v>0.10882378064405911</v>
      </c>
      <c r="AE72" s="67">
        <f t="shared" si="873"/>
        <v>0.10506222799114301</v>
      </c>
      <c r="AF72" s="67">
        <f t="shared" si="873"/>
        <v>0.10106250518801362</v>
      </c>
      <c r="AG72" s="67"/>
      <c r="AH72" s="67">
        <f t="shared" si="873"/>
        <v>0.10367841067825546</v>
      </c>
      <c r="AI72" s="67">
        <f t="shared" si="873"/>
        <v>0.1095354162050373</v>
      </c>
      <c r="AJ72" s="67">
        <f t="shared" si="873"/>
        <v>0.12179576971564644</v>
      </c>
      <c r="AK72" s="67">
        <f t="shared" si="873"/>
        <v>0.12028227584903282</v>
      </c>
      <c r="AL72" s="67">
        <f t="shared" si="873"/>
        <v>0.11431046063562768</v>
      </c>
      <c r="AM72" s="67"/>
      <c r="AN72" s="67">
        <f t="shared" si="873"/>
        <v>9.6231538512484269E-2</v>
      </c>
      <c r="AO72" s="67">
        <f t="shared" si="873"/>
        <v>9.4469628286491386E-2</v>
      </c>
      <c r="AP72" s="67">
        <f t="shared" si="873"/>
        <v>9.4696022016512379E-2</v>
      </c>
      <c r="AQ72" s="67">
        <f t="shared" si="873"/>
        <v>0.11085791710291309</v>
      </c>
      <c r="AR72" s="67">
        <f t="shared" si="873"/>
        <v>9.910911396765254E-2</v>
      </c>
      <c r="AS72" s="67"/>
      <c r="AT72" s="67">
        <f t="shared" ref="AT72:AX72" si="882">AT53/AT$57</f>
        <v>9.8863636363636362E-2</v>
      </c>
      <c r="AU72" s="67">
        <f t="shared" si="882"/>
        <v>0.10353535353535354</v>
      </c>
      <c r="AV72" s="264">
        <f t="shared" si="882"/>
        <v>0.10537719125467795</v>
      </c>
      <c r="AW72" s="67">
        <f t="shared" si="882"/>
        <v>0.11742218231030949</v>
      </c>
      <c r="AX72" s="67">
        <f t="shared" si="882"/>
        <v>0.10640955571797243</v>
      </c>
      <c r="AY72" s="67"/>
      <c r="AZ72" s="67">
        <f t="shared" ref="AZ72:BD72" si="883">AZ53/AZ$57</f>
        <v>9.8862407066719019E-2</v>
      </c>
      <c r="BA72" s="67">
        <f t="shared" si="883"/>
        <v>0.10183360920500746</v>
      </c>
      <c r="BB72" s="67">
        <f t="shared" si="883"/>
        <v>0.10214936114063032</v>
      </c>
      <c r="BC72" s="67">
        <f t="shared" si="883"/>
        <v>0.11265289953940089</v>
      </c>
      <c r="BD72" s="67">
        <f t="shared" si="883"/>
        <v>0.1040365015153127</v>
      </c>
      <c r="BE72" s="67"/>
      <c r="BF72" s="67">
        <f t="shared" ref="BF72:BJ72" si="884">BF53/BF$57</f>
        <v>9.8058263605724685E-2</v>
      </c>
      <c r="BG72" s="67">
        <f t="shared" si="884"/>
        <v>0.1010114225519258</v>
      </c>
      <c r="BH72" s="67">
        <f t="shared" si="884"/>
        <v>0.10126142593072721</v>
      </c>
      <c r="BI72" s="67">
        <f t="shared" si="884"/>
        <v>0.11151193223467418</v>
      </c>
      <c r="BJ72" s="67">
        <f t="shared" si="884"/>
        <v>0.10311827313826248</v>
      </c>
      <c r="BK72" s="67"/>
      <c r="BL72" s="67">
        <f t="shared" ref="BL72:BP72" si="885">BL53/BL$57</f>
        <v>9.7475305931473147E-2</v>
      </c>
      <c r="BM72" s="67">
        <f t="shared" si="885"/>
        <v>0.10040246843076589</v>
      </c>
      <c r="BN72" s="67">
        <f t="shared" si="885"/>
        <v>0.10061415197055912</v>
      </c>
      <c r="BO72" s="67">
        <f t="shared" si="885"/>
        <v>0.11062190203550384</v>
      </c>
      <c r="BP72" s="67">
        <f t="shared" si="885"/>
        <v>0.10243306199776168</v>
      </c>
      <c r="BQ72" s="67"/>
      <c r="BR72" s="67">
        <f t="shared" ref="BR72:BV72" si="886">BR53/BR$57</f>
        <v>9.6896491562278184E-2</v>
      </c>
      <c r="BS72" s="67">
        <f t="shared" si="886"/>
        <v>9.9797755359163062E-2</v>
      </c>
      <c r="BT72" s="67">
        <f t="shared" si="886"/>
        <v>9.9972008079711613E-2</v>
      </c>
      <c r="BU72" s="67">
        <f t="shared" si="886"/>
        <v>0.10974069159075076</v>
      </c>
      <c r="BV72" s="67">
        <f t="shared" si="886"/>
        <v>0.10175347017562383</v>
      </c>
      <c r="BW72" s="67"/>
      <c r="BX72" s="67">
        <f t="shared" ref="BX72:CB72" si="887">BX53/BX$57</f>
        <v>9.6321745883991505E-2</v>
      </c>
      <c r="BY72" s="67">
        <f t="shared" si="887"/>
        <v>9.9197209386817489E-2</v>
      </c>
      <c r="BZ72" s="67">
        <f t="shared" si="887"/>
        <v>9.9334910391404116E-2</v>
      </c>
      <c r="CA72" s="67">
        <f t="shared" si="887"/>
        <v>0.10886818784950335</v>
      </c>
      <c r="CB72" s="67">
        <f t="shared" si="887"/>
        <v>0.10107941055421317</v>
      </c>
      <c r="CC72" s="67"/>
      <c r="CD72" s="67">
        <f t="shared" ref="CD72:CH72" si="888">CD53/CD$57</f>
        <v>9.5750995508094752E-2</v>
      </c>
      <c r="CE72" s="67">
        <f t="shared" si="888"/>
        <v>9.8600757820245966E-2</v>
      </c>
      <c r="CF72" s="67">
        <f t="shared" si="888"/>
        <v>9.870277621557022E-2</v>
      </c>
      <c r="CG72" s="67">
        <f t="shared" si="888"/>
        <v>0.10800427849308102</v>
      </c>
      <c r="CH72" s="67">
        <f t="shared" si="888"/>
        <v>0.10041079714674478</v>
      </c>
      <c r="CI72" s="67"/>
      <c r="CJ72" s="67">
        <f t="shared" ref="CJ72:CN72" si="889">CJ53/CJ$57</f>
        <v>9.5184168278957648E-2</v>
      </c>
      <c r="CK72" s="67">
        <f t="shared" si="889"/>
        <v>9.8008329228748955E-2</v>
      </c>
      <c r="CL72" s="67">
        <f t="shared" si="889"/>
        <v>9.807552405030423E-2</v>
      </c>
      <c r="CM72" s="67">
        <f t="shared" si="889"/>
        <v>0.10714885197020492</v>
      </c>
      <c r="CN72" s="67">
        <f t="shared" si="889"/>
        <v>9.9747545111176464E-2</v>
      </c>
      <c r="CO72" s="239"/>
    </row>
    <row r="73" spans="2:93" s="137" customFormat="1" ht="18" customHeight="1" x14ac:dyDescent="0.25">
      <c r="B73" s="31" t="s">
        <v>376</v>
      </c>
      <c r="D73" s="379"/>
      <c r="E73" s="379"/>
      <c r="F73" s="379"/>
      <c r="G73" s="379"/>
      <c r="H73" s="379"/>
      <c r="J73" s="67">
        <f t="shared" si="873"/>
        <v>0.22049382716049382</v>
      </c>
      <c r="K73" s="67">
        <f t="shared" si="873"/>
        <v>0.21786279087280669</v>
      </c>
      <c r="L73" s="67">
        <f t="shared" si="873"/>
        <v>0.22432030086970148</v>
      </c>
      <c r="M73" s="67">
        <f t="shared" si="873"/>
        <v>0.2293470286133529</v>
      </c>
      <c r="N73" s="67">
        <f t="shared" si="873"/>
        <v>0.22309057929064877</v>
      </c>
      <c r="O73" s="67"/>
      <c r="P73" s="67">
        <f t="shared" si="873"/>
        <v>0.19695064445143037</v>
      </c>
      <c r="Q73" s="67">
        <f t="shared" si="873"/>
        <v>0.19852241972057641</v>
      </c>
      <c r="R73" s="67">
        <f t="shared" si="873"/>
        <v>0.22281610155336562</v>
      </c>
      <c r="S73" s="67">
        <f t="shared" si="873"/>
        <v>0.23849507508477313</v>
      </c>
      <c r="T73" s="67">
        <f t="shared" si="873"/>
        <v>0.21361442222441138</v>
      </c>
      <c r="U73" s="67"/>
      <c r="V73" s="67">
        <f t="shared" si="873"/>
        <v>0.23572725438773451</v>
      </c>
      <c r="W73" s="67">
        <f t="shared" si="873"/>
        <v>0.24070891514500536</v>
      </c>
      <c r="X73" s="67">
        <f t="shared" si="873"/>
        <v>0.24848287819679238</v>
      </c>
      <c r="Y73" s="67">
        <f t="shared" si="873"/>
        <v>0.24720908230842006</v>
      </c>
      <c r="Z73" s="67">
        <f t="shared" si="873"/>
        <v>0.24304238634616371</v>
      </c>
      <c r="AA73" s="67"/>
      <c r="AB73" s="67">
        <f t="shared" si="873"/>
        <v>0.23661871146456975</v>
      </c>
      <c r="AC73" s="67">
        <f t="shared" si="873"/>
        <v>0.24702698269498893</v>
      </c>
      <c r="AD73" s="67">
        <f t="shared" si="873"/>
        <v>0.24258990347655249</v>
      </c>
      <c r="AE73" s="67">
        <f t="shared" si="873"/>
        <v>0.24837749102847981</v>
      </c>
      <c r="AF73" s="67">
        <f t="shared" si="873"/>
        <v>0.24389889599070308</v>
      </c>
      <c r="AG73" s="67"/>
      <c r="AH73" s="67">
        <f t="shared" si="873"/>
        <v>0.23707900046562161</v>
      </c>
      <c r="AI73" s="67">
        <f t="shared" si="873"/>
        <v>0.21463919048674202</v>
      </c>
      <c r="AJ73" s="67">
        <f t="shared" si="873"/>
        <v>0.21382546575150582</v>
      </c>
      <c r="AK73" s="67">
        <f t="shared" si="873"/>
        <v>0.22191418310125385</v>
      </c>
      <c r="AL73" s="67">
        <f t="shared" si="873"/>
        <v>0.22158588751016367</v>
      </c>
      <c r="AM73" s="67"/>
      <c r="AN73" s="67">
        <f t="shared" si="873"/>
        <v>0.2198158818464799</v>
      </c>
      <c r="AO73" s="67">
        <f t="shared" si="873"/>
        <v>0.20755515261408281</v>
      </c>
      <c r="AP73" s="67">
        <f t="shared" si="873"/>
        <v>0.20559169377032774</v>
      </c>
      <c r="AQ73" s="67">
        <f t="shared" si="873"/>
        <v>0.19781979429697605</v>
      </c>
      <c r="AR73" s="67">
        <f t="shared" si="873"/>
        <v>0.2074872003632435</v>
      </c>
      <c r="AS73" s="67"/>
      <c r="AT73" s="67">
        <f t="shared" ref="AT73:AX73" si="890">AT54/AT$57</f>
        <v>0.18415775401069517</v>
      </c>
      <c r="AU73" s="67">
        <f t="shared" si="890"/>
        <v>0.18371212121212122</v>
      </c>
      <c r="AV73" s="264">
        <f t="shared" si="890"/>
        <v>0.20208784715383099</v>
      </c>
      <c r="AW73" s="67">
        <f t="shared" si="890"/>
        <v>0.19317506292450323</v>
      </c>
      <c r="AX73" s="67">
        <f t="shared" si="890"/>
        <v>0.19076509129481467</v>
      </c>
      <c r="AY73" s="67"/>
      <c r="AZ73" s="67">
        <f t="shared" ref="AZ73:BD73" si="891">AZ54/AZ$57</f>
        <v>0.18421977385947869</v>
      </c>
      <c r="BA73" s="67">
        <f t="shared" si="891"/>
        <v>0.18489401706654668</v>
      </c>
      <c r="BB73" s="67">
        <f t="shared" si="891"/>
        <v>0.20392134252847055</v>
      </c>
      <c r="BC73" s="67">
        <f t="shared" si="891"/>
        <v>0.19343161377075263</v>
      </c>
      <c r="BD73" s="67">
        <f t="shared" si="891"/>
        <v>0.19169776095081961</v>
      </c>
      <c r="BE73" s="67"/>
      <c r="BF73" s="67">
        <f t="shared" ref="BF73:BJ73" si="892">BF54/BF$57</f>
        <v>0.18442597469245561</v>
      </c>
      <c r="BG73" s="67">
        <f t="shared" si="892"/>
        <v>0.18510823784668193</v>
      </c>
      <c r="BH73" s="67">
        <f t="shared" si="892"/>
        <v>0.20419050933115721</v>
      </c>
      <c r="BI73" s="67">
        <f t="shared" si="892"/>
        <v>0.1937528496267461</v>
      </c>
      <c r="BJ73" s="67">
        <f t="shared" si="892"/>
        <v>0.19195122622657723</v>
      </c>
      <c r="BK73" s="67"/>
      <c r="BL73" s="67">
        <f t="shared" ref="BL73:BP73" si="893">BL54/BL$57</f>
        <v>0.18517134288612366</v>
      </c>
      <c r="BM73" s="67">
        <f t="shared" si="893"/>
        <v>0.18583515041923462</v>
      </c>
      <c r="BN73" s="67">
        <f t="shared" si="893"/>
        <v>0.20498011399147906</v>
      </c>
      <c r="BO73" s="67">
        <f t="shared" si="893"/>
        <v>0.19455721277150087</v>
      </c>
      <c r="BP73" s="67">
        <f t="shared" si="893"/>
        <v>0.19271844208632338</v>
      </c>
      <c r="BQ73" s="67"/>
      <c r="BR73" s="67">
        <f t="shared" ref="BR73:BV73" si="894">BR54/BR$57</f>
        <v>0.1859117399136877</v>
      </c>
      <c r="BS73" s="67">
        <f t="shared" si="894"/>
        <v>0.18655688938259296</v>
      </c>
      <c r="BT73" s="67">
        <f t="shared" si="894"/>
        <v>0.20576391633393862</v>
      </c>
      <c r="BU73" s="67">
        <f t="shared" si="894"/>
        <v>0.19535563336936951</v>
      </c>
      <c r="BV73" s="67">
        <f t="shared" si="894"/>
        <v>0.19348018050030955</v>
      </c>
      <c r="BW73" s="67"/>
      <c r="BX73" s="67">
        <f t="shared" ref="BX73:CB73" si="895">BX54/BX$57</f>
        <v>0.18664712616958182</v>
      </c>
      <c r="BY73" s="67">
        <f t="shared" si="895"/>
        <v>0.18727342014956511</v>
      </c>
      <c r="BZ73" s="67">
        <f t="shared" si="895"/>
        <v>0.20654188123455239</v>
      </c>
      <c r="CA73" s="67">
        <f t="shared" si="895"/>
        <v>0.19614807773934848</v>
      </c>
      <c r="CB73" s="67">
        <f t="shared" si="895"/>
        <v>0.1942364057267946</v>
      </c>
      <c r="CC73" s="67"/>
      <c r="CD73" s="67">
        <f t="shared" ref="CD73:CH73" si="896">CD54/CD$57</f>
        <v>0.1873774635206861</v>
      </c>
      <c r="CE73" s="67">
        <f t="shared" si="896"/>
        <v>0.18798470965328951</v>
      </c>
      <c r="CF73" s="67">
        <f t="shared" si="896"/>
        <v>0.20731397523858591</v>
      </c>
      <c r="CG73" s="67">
        <f t="shared" si="896"/>
        <v>0.19693451407007587</v>
      </c>
      <c r="CH73" s="67">
        <f t="shared" si="896"/>
        <v>0.19498708365639159</v>
      </c>
      <c r="CI73" s="67"/>
      <c r="CJ73" s="67">
        <f t="shared" ref="CJ73:CN73" si="897">CJ54/CJ$57</f>
        <v>0.18810271530783354</v>
      </c>
      <c r="CK73" s="67">
        <f t="shared" si="897"/>
        <v>0.18869072634515086</v>
      </c>
      <c r="CL73" s="67">
        <f t="shared" si="897"/>
        <v>0.208080166556524</v>
      </c>
      <c r="CM73" s="67">
        <f t="shared" si="897"/>
        <v>0.19771491240863123</v>
      </c>
      <c r="CN73" s="67">
        <f t="shared" si="897"/>
        <v>0.19573218180826932</v>
      </c>
      <c r="CO73" s="239"/>
    </row>
    <row r="74" spans="2:93" s="137" customFormat="1" ht="18" customHeight="1" x14ac:dyDescent="0.25">
      <c r="B74" s="31" t="s">
        <v>377</v>
      </c>
      <c r="D74" s="379"/>
      <c r="E74" s="379"/>
      <c r="F74" s="379"/>
      <c r="G74" s="379"/>
      <c r="H74" s="379"/>
      <c r="J74" s="67">
        <f t="shared" si="873"/>
        <v>0.23349794238683128</v>
      </c>
      <c r="K74" s="67">
        <f t="shared" si="873"/>
        <v>0.24030423977709164</v>
      </c>
      <c r="L74" s="67">
        <f t="shared" si="873"/>
        <v>0.23317401864765339</v>
      </c>
      <c r="M74" s="67">
        <f t="shared" si="873"/>
        <v>0.22142333088774763</v>
      </c>
      <c r="N74" s="67">
        <f t="shared" si="873"/>
        <v>0.23198641503608505</v>
      </c>
      <c r="O74" s="67"/>
      <c r="P74" s="67">
        <f t="shared" si="873"/>
        <v>0.24245520276642565</v>
      </c>
      <c r="Q74" s="67">
        <f t="shared" si="873"/>
        <v>0.21461487820934824</v>
      </c>
      <c r="R74" s="67">
        <f t="shared" si="873"/>
        <v>0.21396358777350927</v>
      </c>
      <c r="S74" s="67">
        <f t="shared" si="873"/>
        <v>0.24422735346358793</v>
      </c>
      <c r="T74" s="67">
        <f t="shared" si="873"/>
        <v>0.22866712639148853</v>
      </c>
      <c r="U74" s="67"/>
      <c r="V74" s="67">
        <f t="shared" si="873"/>
        <v>0.22382489408916684</v>
      </c>
      <c r="W74" s="67">
        <f t="shared" si="873"/>
        <v>0.26165413533834586</v>
      </c>
      <c r="X74" s="67">
        <f t="shared" si="873"/>
        <v>0.25596012136974428</v>
      </c>
      <c r="Y74" s="67">
        <f t="shared" si="873"/>
        <v>0.26253547776726582</v>
      </c>
      <c r="Z74" s="67">
        <f t="shared" si="873"/>
        <v>0.25093536979139974</v>
      </c>
      <c r="AA74" s="67"/>
      <c r="AB74" s="67">
        <f t="shared" si="873"/>
        <v>0.26181753194531321</v>
      </c>
      <c r="AC74" s="67">
        <f t="shared" si="873"/>
        <v>0.22357090133683261</v>
      </c>
      <c r="AD74" s="67">
        <f t="shared" si="873"/>
        <v>0.21901426496967627</v>
      </c>
      <c r="AE74" s="67">
        <f t="shared" si="873"/>
        <v>0.23280140490188592</v>
      </c>
      <c r="AF74" s="67">
        <f t="shared" si="873"/>
        <v>0.2338549016352619</v>
      </c>
      <c r="AG74" s="67"/>
      <c r="AH74" s="67">
        <f t="shared" si="873"/>
        <v>0.21806611826788763</v>
      </c>
      <c r="AI74" s="67">
        <f t="shared" si="873"/>
        <v>0.20880419528768743</v>
      </c>
      <c r="AJ74" s="67">
        <f t="shared" si="873"/>
        <v>0.19638604846617172</v>
      </c>
      <c r="AK74" s="67">
        <f t="shared" si="873"/>
        <v>0.18650368596811795</v>
      </c>
      <c r="AL74" s="67">
        <f t="shared" si="873"/>
        <v>0.20152366811609573</v>
      </c>
      <c r="AM74" s="67"/>
      <c r="AN74" s="67">
        <f t="shared" si="873"/>
        <v>0.18928405854692365</v>
      </c>
      <c r="AO74" s="67">
        <f t="shared" si="873"/>
        <v>0.18881837413115746</v>
      </c>
      <c r="AP74" s="67">
        <f t="shared" si="873"/>
        <v>0.17413059794846134</v>
      </c>
      <c r="AQ74" s="67">
        <f t="shared" si="873"/>
        <v>0.18254603682946358</v>
      </c>
      <c r="AR74" s="67">
        <f t="shared" si="873"/>
        <v>0.18365717327655043</v>
      </c>
      <c r="AS74" s="67"/>
      <c r="AT74" s="67">
        <f t="shared" ref="AT74:AX74" si="898">AT55/AT$57</f>
        <v>0.18168449197860961</v>
      </c>
      <c r="AU74" s="67">
        <f t="shared" si="898"/>
        <v>0.17910353535353535</v>
      </c>
      <c r="AV74" s="264">
        <f t="shared" si="898"/>
        <v>0.17031055085023963</v>
      </c>
      <c r="AW74" s="67">
        <f t="shared" si="898"/>
        <v>0.17762733516309778</v>
      </c>
      <c r="AX74" s="67">
        <f t="shared" si="898"/>
        <v>0.17718486634025188</v>
      </c>
      <c r="AY74" s="67"/>
      <c r="AZ74" s="67">
        <f t="shared" ref="AZ74:BD74" si="899">AZ55/AZ$57</f>
        <v>0.17717096967567231</v>
      </c>
      <c r="BA74" s="67">
        <f t="shared" si="899"/>
        <v>0.17292172208205439</v>
      </c>
      <c r="BB74" s="67">
        <f t="shared" si="899"/>
        <v>0.16988968193962711</v>
      </c>
      <c r="BC74" s="67">
        <f t="shared" si="899"/>
        <v>0.17505953464134719</v>
      </c>
      <c r="BD74" s="67">
        <f t="shared" si="899"/>
        <v>0.17373112442354502</v>
      </c>
      <c r="BE74" s="67"/>
      <c r="BF74" s="67">
        <f t="shared" ref="BF74:BJ74" si="900">BF55/BF$57</f>
        <v>0.17710649202827156</v>
      </c>
      <c r="BG74" s="67">
        <f t="shared" si="900"/>
        <v>0.17285100252237232</v>
      </c>
      <c r="BH74" s="67">
        <f t="shared" si="900"/>
        <v>0.16981358157772325</v>
      </c>
      <c r="BI74" s="67">
        <f t="shared" si="900"/>
        <v>0.175043430460227</v>
      </c>
      <c r="BJ74" s="67">
        <f t="shared" si="900"/>
        <v>0.17367480995920426</v>
      </c>
      <c r="BK74" s="67"/>
      <c r="BL74" s="67">
        <f t="shared" ref="BL74:BP74" si="901">BL55/BL$57</f>
        <v>0.177537500379984</v>
      </c>
      <c r="BM74" s="67">
        <f t="shared" si="901"/>
        <v>0.17326009185129826</v>
      </c>
      <c r="BN74" s="67">
        <f t="shared" si="901"/>
        <v>0.17021856386928436</v>
      </c>
      <c r="BO74" s="67">
        <f t="shared" si="901"/>
        <v>0.1754308955019013</v>
      </c>
      <c r="BP74" s="67">
        <f t="shared" si="901"/>
        <v>0.17408238221346245</v>
      </c>
      <c r="BQ74" s="67"/>
      <c r="BR74" s="67">
        <f t="shared" ref="BR74:BV74" si="902">BR55/BR$57</f>
        <v>0.17796151957968606</v>
      </c>
      <c r="BS74" s="67">
        <f t="shared" si="902"/>
        <v>0.1736623686742062</v>
      </c>
      <c r="BT74" s="67">
        <f t="shared" si="902"/>
        <v>0.17061681719447777</v>
      </c>
      <c r="BU74" s="67">
        <f t="shared" si="902"/>
        <v>0.17581058271161917</v>
      </c>
      <c r="BV74" s="67">
        <f t="shared" si="902"/>
        <v>0.17448286662287779</v>
      </c>
      <c r="BW74" s="67"/>
      <c r="BX74" s="67">
        <f t="shared" ref="BX74:CB74" si="903">BX55/BX$57</f>
        <v>0.17837854856365024</v>
      </c>
      <c r="BY74" s="67">
        <f t="shared" si="903"/>
        <v>0.17405783703398861</v>
      </c>
      <c r="BZ74" s="67">
        <f t="shared" si="903"/>
        <v>0.17100834569308065</v>
      </c>
      <c r="CA74" s="67">
        <f t="shared" si="903"/>
        <v>0.17618251247933128</v>
      </c>
      <c r="CB74" s="67">
        <f t="shared" si="903"/>
        <v>0.17487627012855678</v>
      </c>
      <c r="CC74" s="67"/>
      <c r="CD74" s="67">
        <f t="shared" ref="CD74:CH74" si="904">CD55/CD$57</f>
        <v>0.17878858809805293</v>
      </c>
      <c r="CE74" s="67">
        <f t="shared" si="904"/>
        <v>0.17444650273069887</v>
      </c>
      <c r="CF74" s="67">
        <f t="shared" si="904"/>
        <v>0.17139315522124138</v>
      </c>
      <c r="CG74" s="67">
        <f t="shared" si="904"/>
        <v>0.17654670720674451</v>
      </c>
      <c r="CH74" s="67">
        <f t="shared" si="904"/>
        <v>0.17526260150424575</v>
      </c>
      <c r="CI74" s="67"/>
      <c r="CJ74" s="67">
        <f t="shared" ref="CJ74:CN74" si="905">CJ55/CJ$57</f>
        <v>0.17919164076271488</v>
      </c>
      <c r="CK74" s="67">
        <f t="shared" si="905"/>
        <v>0.17482837330223405</v>
      </c>
      <c r="CL74" s="67">
        <f t="shared" si="905"/>
        <v>0.17177125333230553</v>
      </c>
      <c r="CM74" s="67">
        <f t="shared" si="905"/>
        <v>0.17690319127184922</v>
      </c>
      <c r="CN74" s="67">
        <f t="shared" si="905"/>
        <v>0.17564187133389644</v>
      </c>
      <c r="CO74" s="239"/>
    </row>
    <row r="75" spans="2:93" s="137" customFormat="1" ht="18" customHeight="1" x14ac:dyDescent="0.25">
      <c r="B75" s="31" t="s">
        <v>378</v>
      </c>
      <c r="C75" s="31"/>
      <c r="D75" s="31"/>
      <c r="E75" s="31"/>
      <c r="F75" s="31"/>
      <c r="G75" s="31"/>
      <c r="H75" s="31"/>
      <c r="I75" s="31"/>
      <c r="J75" s="390">
        <f t="shared" si="873"/>
        <v>5.7613168724279839E-4</v>
      </c>
      <c r="K75" s="390">
        <f t="shared" si="873"/>
        <v>-2.2592062655320432E-4</v>
      </c>
      <c r="L75" s="390">
        <f t="shared" si="873"/>
        <v>-4.7010890856381729E-4</v>
      </c>
      <c r="M75" s="390">
        <f t="shared" si="873"/>
        <v>-8.8041085840058692E-4</v>
      </c>
      <c r="N75" s="390">
        <f t="shared" si="873"/>
        <v>-2.7015553239936706E-4</v>
      </c>
      <c r="O75" s="390"/>
      <c r="P75" s="390">
        <f t="shared" si="873"/>
        <v>-6.2873310279786226E-4</v>
      </c>
      <c r="Q75" s="390">
        <f t="shared" si="873"/>
        <v>-7.3147538585326599E-4</v>
      </c>
      <c r="R75" s="390">
        <f t="shared" si="873"/>
        <v>-3.5075997995657258E-3</v>
      </c>
      <c r="S75" s="390">
        <f t="shared" si="873"/>
        <v>-3.1487162925884064E-3</v>
      </c>
      <c r="T75" s="390">
        <f t="shared" si="873"/>
        <v>-1.9505467441631365E-3</v>
      </c>
      <c r="U75" s="390"/>
      <c r="V75" s="390">
        <f t="shared" si="873"/>
        <v>5.0433730078676615E-4</v>
      </c>
      <c r="W75" s="390">
        <f t="shared" si="873"/>
        <v>2.9001074113856069E-3</v>
      </c>
      <c r="X75" s="390">
        <f t="shared" si="873"/>
        <v>1.0836584308625921E-4</v>
      </c>
      <c r="Y75" s="390">
        <f t="shared" si="873"/>
        <v>2.8382213812677389E-4</v>
      </c>
      <c r="Z75" s="390">
        <f t="shared" si="873"/>
        <v>9.2255650658602838E-4</v>
      </c>
      <c r="AA75" s="390"/>
      <c r="AB75" s="390">
        <f t="shared" si="873"/>
        <v>-4.4678759717630236E-4</v>
      </c>
      <c r="AC75" s="390">
        <f t="shared" si="873"/>
        <v>-8.2014270483064052E-5</v>
      </c>
      <c r="AD75" s="390">
        <f t="shared" si="873"/>
        <v>1.195865721363287E-3</v>
      </c>
      <c r="AE75" s="390">
        <f t="shared" si="873"/>
        <v>1.0689470871191875E-3</v>
      </c>
      <c r="AF75" s="390">
        <f t="shared" si="873"/>
        <v>4.5654519797459948E-4</v>
      </c>
      <c r="AG75" s="390"/>
      <c r="AH75" s="390">
        <f t="shared" si="873"/>
        <v>6.9843240726369707E-4</v>
      </c>
      <c r="AI75" s="390">
        <f t="shared" si="873"/>
        <v>9.6018908338872883E-4</v>
      </c>
      <c r="AJ75" s="390">
        <f t="shared" si="873"/>
        <v>2.2412102535369098E-3</v>
      </c>
      <c r="AK75" s="390">
        <f t="shared" si="873"/>
        <v>2.7093440866990106E-3</v>
      </c>
      <c r="AL75" s="390">
        <f t="shared" si="873"/>
        <v>1.7145685297132959E-3</v>
      </c>
      <c r="AM75" s="390"/>
      <c r="AN75" s="390">
        <f t="shared" si="873"/>
        <v>-1.2583614808927743E-3</v>
      </c>
      <c r="AO75" s="390">
        <f t="shared" si="873"/>
        <v>-3.6264732547597464E-4</v>
      </c>
      <c r="AP75" s="390">
        <f t="shared" si="873"/>
        <v>-4.3782837127845885E-4</v>
      </c>
      <c r="AQ75" s="390">
        <f t="shared" si="873"/>
        <v>4.9270185379072487E-4</v>
      </c>
      <c r="AR75" s="390">
        <f t="shared" si="873"/>
        <v>-3.7576915248399068E-4</v>
      </c>
      <c r="AS75" s="390"/>
      <c r="AT75" s="390">
        <f t="shared" ref="AT75:AX75" si="906">AT56/AT$57</f>
        <v>-2.6737967914438501E-3</v>
      </c>
      <c r="AU75" s="390">
        <f t="shared" si="906"/>
        <v>-1.1363636363636363E-3</v>
      </c>
      <c r="AV75" s="392">
        <f t="shared" si="906"/>
        <v>-1.3131114175037751E-3</v>
      </c>
      <c r="AW75" s="390">
        <f t="shared" si="906"/>
        <v>0</v>
      </c>
      <c r="AX75" s="390">
        <f t="shared" si="906"/>
        <v>-1.261246111157824E-3</v>
      </c>
      <c r="AY75" s="390"/>
      <c r="AZ75" s="390">
        <f t="shared" ref="AZ75:BD75" si="907">AZ56/AZ$57</f>
        <v>0</v>
      </c>
      <c r="BA75" s="390">
        <f t="shared" si="907"/>
        <v>0</v>
      </c>
      <c r="BB75" s="390">
        <f t="shared" si="907"/>
        <v>0</v>
      </c>
      <c r="BC75" s="390">
        <f t="shared" si="907"/>
        <v>0</v>
      </c>
      <c r="BD75" s="390">
        <f t="shared" si="907"/>
        <v>0</v>
      </c>
      <c r="BE75" s="390"/>
      <c r="BF75" s="390">
        <f t="shared" ref="BF75:BJ75" si="908">BF56/BF$57</f>
        <v>0</v>
      </c>
      <c r="BG75" s="390">
        <f t="shared" si="908"/>
        <v>0</v>
      </c>
      <c r="BH75" s="390">
        <f t="shared" si="908"/>
        <v>0</v>
      </c>
      <c r="BI75" s="390">
        <f t="shared" si="908"/>
        <v>0</v>
      </c>
      <c r="BJ75" s="390">
        <f t="shared" si="908"/>
        <v>0</v>
      </c>
      <c r="BK75" s="390"/>
      <c r="BL75" s="390">
        <f t="shared" ref="BL75:BP75" si="909">BL56/BL$57</f>
        <v>0</v>
      </c>
      <c r="BM75" s="390">
        <f t="shared" si="909"/>
        <v>0</v>
      </c>
      <c r="BN75" s="390">
        <f t="shared" si="909"/>
        <v>0</v>
      </c>
      <c r="BO75" s="390">
        <f t="shared" si="909"/>
        <v>0</v>
      </c>
      <c r="BP75" s="390">
        <f t="shared" si="909"/>
        <v>0</v>
      </c>
      <c r="BQ75" s="390"/>
      <c r="BR75" s="390">
        <f t="shared" ref="BR75:BV75" si="910">BR56/BR$57</f>
        <v>0</v>
      </c>
      <c r="BS75" s="390">
        <f t="shared" si="910"/>
        <v>0</v>
      </c>
      <c r="BT75" s="390">
        <f t="shared" si="910"/>
        <v>0</v>
      </c>
      <c r="BU75" s="390">
        <f t="shared" si="910"/>
        <v>0</v>
      </c>
      <c r="BV75" s="390">
        <f t="shared" si="910"/>
        <v>0</v>
      </c>
      <c r="BW75" s="390"/>
      <c r="BX75" s="390">
        <f t="shared" ref="BX75:CB75" si="911">BX56/BX$57</f>
        <v>0</v>
      </c>
      <c r="BY75" s="390">
        <f t="shared" si="911"/>
        <v>0</v>
      </c>
      <c r="BZ75" s="390">
        <f t="shared" si="911"/>
        <v>0</v>
      </c>
      <c r="CA75" s="390">
        <f t="shared" si="911"/>
        <v>0</v>
      </c>
      <c r="CB75" s="390">
        <f t="shared" si="911"/>
        <v>0</v>
      </c>
      <c r="CC75" s="390"/>
      <c r="CD75" s="390">
        <f t="shared" ref="CD75:CH75" si="912">CD56/CD$57</f>
        <v>0</v>
      </c>
      <c r="CE75" s="390">
        <f t="shared" si="912"/>
        <v>0</v>
      </c>
      <c r="CF75" s="390">
        <f t="shared" si="912"/>
        <v>0</v>
      </c>
      <c r="CG75" s="390">
        <f t="shared" si="912"/>
        <v>0</v>
      </c>
      <c r="CH75" s="390">
        <f t="shared" si="912"/>
        <v>0</v>
      </c>
      <c r="CI75" s="390"/>
      <c r="CJ75" s="390">
        <f t="shared" ref="CJ75:CN75" si="913">CJ56/CJ$57</f>
        <v>0</v>
      </c>
      <c r="CK75" s="390">
        <f t="shared" si="913"/>
        <v>0</v>
      </c>
      <c r="CL75" s="390">
        <f t="shared" si="913"/>
        <v>0</v>
      </c>
      <c r="CM75" s="390">
        <f t="shared" si="913"/>
        <v>0</v>
      </c>
      <c r="CN75" s="390">
        <f t="shared" si="913"/>
        <v>0</v>
      </c>
      <c r="CO75" s="239"/>
    </row>
    <row r="76" spans="2:93" s="137" customFormat="1" ht="18" customHeight="1" x14ac:dyDescent="0.25">
      <c r="B76" s="155" t="s">
        <v>384</v>
      </c>
      <c r="C76" s="155"/>
      <c r="D76" s="155"/>
      <c r="E76" s="155"/>
      <c r="F76" s="155"/>
      <c r="G76" s="155"/>
      <c r="H76" s="155"/>
      <c r="I76" s="155"/>
      <c r="J76" s="67">
        <f>SUM(J71:J75)</f>
        <v>1</v>
      </c>
      <c r="K76" s="67">
        <f t="shared" ref="K76" si="914">SUM(K71:K75)</f>
        <v>0.99999999999999989</v>
      </c>
      <c r="L76" s="67">
        <f t="shared" ref="L76" si="915">SUM(L71:L75)</f>
        <v>0.99999999999999989</v>
      </c>
      <c r="M76" s="67">
        <f t="shared" ref="M76" si="916">SUM(M71:M75)</f>
        <v>1</v>
      </c>
      <c r="N76" s="67">
        <f t="shared" ref="N76" si="917">SUM(N71:N75)</f>
        <v>1</v>
      </c>
      <c r="O76" s="67"/>
      <c r="P76" s="67">
        <f t="shared" ref="P76" si="918">SUM(P71:P75)</f>
        <v>1</v>
      </c>
      <c r="Q76" s="67">
        <f t="shared" ref="Q76" si="919">SUM(Q71:Q75)</f>
        <v>0.99999999999999989</v>
      </c>
      <c r="R76" s="67">
        <f t="shared" ref="R76" si="920">SUM(R71:R75)</f>
        <v>1</v>
      </c>
      <c r="S76" s="67">
        <f t="shared" ref="S76" si="921">SUM(S71:S75)</f>
        <v>1</v>
      </c>
      <c r="T76" s="67">
        <f t="shared" ref="T76" si="922">SUM(T71:T75)</f>
        <v>1</v>
      </c>
      <c r="U76" s="67"/>
      <c r="V76" s="67">
        <f t="shared" ref="V76" si="923">SUM(V71:V75)</f>
        <v>1</v>
      </c>
      <c r="W76" s="67">
        <f t="shared" ref="W76" si="924">SUM(W71:W75)</f>
        <v>1.0000000000000002</v>
      </c>
      <c r="X76" s="67">
        <f t="shared" ref="X76" si="925">SUM(X71:X75)</f>
        <v>1</v>
      </c>
      <c r="Y76" s="67">
        <f t="shared" ref="Y76" si="926">SUM(Y71:Y75)</f>
        <v>1</v>
      </c>
      <c r="Z76" s="67">
        <f t="shared" ref="Z76" si="927">SUM(Z71:Z75)</f>
        <v>1</v>
      </c>
      <c r="AA76" s="67"/>
      <c r="AB76" s="67">
        <f t="shared" ref="AB76" si="928">SUM(AB71:AB75)</f>
        <v>1.0000000000000002</v>
      </c>
      <c r="AC76" s="67">
        <f t="shared" ref="AC76" si="929">SUM(AC71:AC75)</f>
        <v>0.99999999999999989</v>
      </c>
      <c r="AD76" s="67">
        <f t="shared" ref="AD76" si="930">SUM(AD71:AD75)</f>
        <v>1</v>
      </c>
      <c r="AE76" s="67">
        <f t="shared" ref="AE76" si="931">SUM(AE71:AE75)</f>
        <v>1</v>
      </c>
      <c r="AF76" s="67">
        <f t="shared" ref="AF76" si="932">SUM(AF71:AF75)</f>
        <v>0.99999999999999989</v>
      </c>
      <c r="AG76" s="67"/>
      <c r="AH76" s="67">
        <f t="shared" ref="AH76" si="933">SUM(AH71:AH75)</f>
        <v>1</v>
      </c>
      <c r="AI76" s="67">
        <f t="shared" ref="AI76" si="934">SUM(AI71:AI75)</f>
        <v>1</v>
      </c>
      <c r="AJ76" s="67">
        <f t="shared" ref="AJ76" si="935">SUM(AJ71:AJ75)</f>
        <v>1</v>
      </c>
      <c r="AK76" s="67">
        <f t="shared" ref="AK76" si="936">SUM(AK71:AK75)</f>
        <v>1</v>
      </c>
      <c r="AL76" s="67">
        <f t="shared" ref="AL76" si="937">SUM(AL71:AL75)</f>
        <v>1</v>
      </c>
      <c r="AM76" s="67"/>
      <c r="AN76" s="67">
        <f t="shared" ref="AN76" si="938">SUM(AN71:AN75)</f>
        <v>1</v>
      </c>
      <c r="AO76" s="67">
        <f t="shared" ref="AO76" si="939">SUM(AO71:AO75)</f>
        <v>1</v>
      </c>
      <c r="AP76" s="67">
        <f t="shared" ref="AP76" si="940">SUM(AP71:AP75)</f>
        <v>1</v>
      </c>
      <c r="AQ76" s="67">
        <f t="shared" ref="AQ76" si="941">SUM(AQ71:AQ75)</f>
        <v>1</v>
      </c>
      <c r="AR76" s="67">
        <f t="shared" ref="AR76" si="942">SUM(AR71:AR75)</f>
        <v>1</v>
      </c>
      <c r="AS76" s="67"/>
      <c r="AT76" s="67">
        <f t="shared" ref="AT76:AX76" si="943">SUM(AT71:AT75)</f>
        <v>1</v>
      </c>
      <c r="AU76" s="67">
        <f t="shared" si="943"/>
        <v>1</v>
      </c>
      <c r="AV76" s="264">
        <f t="shared" si="943"/>
        <v>1</v>
      </c>
      <c r="AW76" s="67">
        <f t="shared" si="943"/>
        <v>1</v>
      </c>
      <c r="AX76" s="67">
        <f t="shared" si="943"/>
        <v>1</v>
      </c>
      <c r="AY76" s="67"/>
      <c r="AZ76" s="67">
        <f t="shared" ref="AZ76:BD76" si="944">SUM(AZ71:AZ75)</f>
        <v>0.99999999999999978</v>
      </c>
      <c r="BA76" s="67">
        <f t="shared" si="944"/>
        <v>0.99999999999999989</v>
      </c>
      <c r="BB76" s="67">
        <f t="shared" si="944"/>
        <v>1</v>
      </c>
      <c r="BC76" s="67">
        <f t="shared" si="944"/>
        <v>0.99999999999999989</v>
      </c>
      <c r="BD76" s="67">
        <f t="shared" si="944"/>
        <v>1</v>
      </c>
      <c r="BE76" s="67"/>
      <c r="BF76" s="67">
        <f t="shared" ref="BF76:BJ76" si="945">SUM(BF71:BF75)</f>
        <v>1</v>
      </c>
      <c r="BG76" s="67">
        <f t="shared" si="945"/>
        <v>1.0000000000000002</v>
      </c>
      <c r="BH76" s="67">
        <f t="shared" si="945"/>
        <v>1</v>
      </c>
      <c r="BI76" s="67">
        <f t="shared" si="945"/>
        <v>1</v>
      </c>
      <c r="BJ76" s="67">
        <f t="shared" si="945"/>
        <v>1</v>
      </c>
      <c r="BK76" s="67"/>
      <c r="BL76" s="67">
        <f t="shared" ref="BL76:BP76" si="946">SUM(BL71:BL75)</f>
        <v>1</v>
      </c>
      <c r="BM76" s="67">
        <f t="shared" si="946"/>
        <v>1</v>
      </c>
      <c r="BN76" s="67">
        <f t="shared" si="946"/>
        <v>1</v>
      </c>
      <c r="BO76" s="67">
        <f t="shared" si="946"/>
        <v>1.0000000000000002</v>
      </c>
      <c r="BP76" s="67">
        <f t="shared" si="946"/>
        <v>1</v>
      </c>
      <c r="BQ76" s="67"/>
      <c r="BR76" s="67">
        <f t="shared" ref="BR76:BV76" si="947">SUM(BR71:BR75)</f>
        <v>1</v>
      </c>
      <c r="BS76" s="67">
        <f t="shared" si="947"/>
        <v>1</v>
      </c>
      <c r="BT76" s="67">
        <f t="shared" si="947"/>
        <v>0.99999999999999989</v>
      </c>
      <c r="BU76" s="67">
        <f t="shared" si="947"/>
        <v>1</v>
      </c>
      <c r="BV76" s="67">
        <f t="shared" si="947"/>
        <v>1</v>
      </c>
      <c r="BW76" s="67"/>
      <c r="BX76" s="67">
        <f t="shared" ref="BX76:CB76" si="948">SUM(BX71:BX75)</f>
        <v>0.99999999999999989</v>
      </c>
      <c r="BY76" s="67">
        <f t="shared" si="948"/>
        <v>0.99999999999999989</v>
      </c>
      <c r="BZ76" s="67">
        <f t="shared" si="948"/>
        <v>1</v>
      </c>
      <c r="CA76" s="67">
        <f t="shared" si="948"/>
        <v>0.99999999999999989</v>
      </c>
      <c r="CB76" s="67">
        <f t="shared" si="948"/>
        <v>0.99999999999999989</v>
      </c>
      <c r="CC76" s="67"/>
      <c r="CD76" s="67">
        <f t="shared" ref="CD76:CH76" si="949">SUM(CD71:CD75)</f>
        <v>1</v>
      </c>
      <c r="CE76" s="67">
        <f t="shared" si="949"/>
        <v>0.99999999999999978</v>
      </c>
      <c r="CF76" s="67">
        <f t="shared" si="949"/>
        <v>1</v>
      </c>
      <c r="CG76" s="67">
        <f t="shared" si="949"/>
        <v>1.0000000000000002</v>
      </c>
      <c r="CH76" s="67">
        <f t="shared" si="949"/>
        <v>1</v>
      </c>
      <c r="CI76" s="67"/>
      <c r="CJ76" s="67">
        <f t="shared" ref="CJ76:CN76" si="950">SUM(CJ71:CJ75)</f>
        <v>1</v>
      </c>
      <c r="CK76" s="67">
        <f t="shared" si="950"/>
        <v>1</v>
      </c>
      <c r="CL76" s="67">
        <f t="shared" si="950"/>
        <v>0.99999999999999978</v>
      </c>
      <c r="CM76" s="67">
        <f t="shared" si="950"/>
        <v>1</v>
      </c>
      <c r="CN76" s="67">
        <f t="shared" si="950"/>
        <v>1.0000000000000002</v>
      </c>
      <c r="CO76" s="239"/>
    </row>
    <row r="77" spans="2:93" s="137" customFormat="1" ht="18" customHeight="1" x14ac:dyDescent="0.25">
      <c r="B77" s="136"/>
      <c r="D77" s="422"/>
      <c r="E77" s="422"/>
      <c r="F77" s="422"/>
      <c r="G77" s="422"/>
      <c r="H77" s="422"/>
      <c r="I77" s="422"/>
      <c r="J77" s="105"/>
      <c r="K77" s="105"/>
      <c r="L77" s="105"/>
      <c r="M77" s="105"/>
      <c r="N77" s="105"/>
      <c r="O77" s="423"/>
      <c r="P77" s="105"/>
      <c r="Q77" s="105"/>
      <c r="R77" s="105"/>
      <c r="S77" s="105"/>
      <c r="T77" s="105"/>
      <c r="U77" s="423"/>
      <c r="V77" s="105"/>
      <c r="W77" s="105"/>
      <c r="X77" s="105"/>
      <c r="Y77" s="105"/>
      <c r="Z77" s="105"/>
      <c r="AA77" s="423"/>
      <c r="AB77" s="105"/>
      <c r="AC77" s="105"/>
      <c r="AD77" s="105"/>
      <c r="AE77" s="105"/>
      <c r="AF77" s="105"/>
      <c r="AG77" s="422"/>
      <c r="AH77" s="105"/>
      <c r="AI77" s="105"/>
      <c r="AJ77" s="105"/>
      <c r="AK77" s="105"/>
      <c r="AL77" s="105"/>
      <c r="AM77" s="422"/>
      <c r="AN77" s="105"/>
      <c r="AO77" s="105"/>
      <c r="AP77" s="105"/>
      <c r="AQ77" s="105"/>
      <c r="AR77" s="105"/>
      <c r="AS77" s="423"/>
      <c r="AT77" s="105"/>
      <c r="AU77" s="105"/>
      <c r="AV77" s="545"/>
      <c r="AW77" s="105"/>
      <c r="AX77" s="105"/>
      <c r="AY77" s="422"/>
      <c r="AZ77" s="105"/>
      <c r="BA77" s="105"/>
      <c r="BB77" s="105"/>
      <c r="BC77" s="105"/>
      <c r="BD77" s="105"/>
      <c r="BE77" s="422"/>
      <c r="BF77" s="105"/>
      <c r="BG77" s="105"/>
      <c r="BH77" s="105"/>
      <c r="BI77" s="105"/>
      <c r="BJ77" s="105"/>
      <c r="BK77" s="422"/>
      <c r="BL77" s="105"/>
      <c r="BM77" s="105"/>
      <c r="BN77" s="105"/>
      <c r="BO77" s="105"/>
      <c r="BP77" s="105"/>
      <c r="BQ77" s="105"/>
      <c r="BR77" s="105"/>
      <c r="BS77" s="105"/>
      <c r="BT77" s="105"/>
      <c r="BU77" s="105"/>
      <c r="BV77" s="105"/>
      <c r="BW77" s="422"/>
      <c r="BX77" s="105"/>
      <c r="BY77" s="105"/>
      <c r="BZ77" s="105"/>
      <c r="CA77" s="105"/>
      <c r="CB77" s="105"/>
      <c r="CC77" s="422"/>
      <c r="CD77" s="105"/>
      <c r="CE77" s="105"/>
      <c r="CF77" s="105"/>
      <c r="CG77" s="105"/>
      <c r="CH77" s="105"/>
      <c r="CI77" s="422"/>
      <c r="CJ77" s="105"/>
      <c r="CK77" s="105"/>
      <c r="CL77" s="105"/>
      <c r="CM77" s="105"/>
      <c r="CN77" s="105"/>
      <c r="CO77" s="379"/>
    </row>
    <row r="78" spans="2:93" s="137" customFormat="1" ht="18" customHeight="1" x14ac:dyDescent="0.25">
      <c r="B78" s="386" t="s">
        <v>385</v>
      </c>
      <c r="C78" s="419"/>
      <c r="D78" s="419"/>
      <c r="E78" s="419"/>
      <c r="F78" s="419"/>
      <c r="G78" s="419"/>
      <c r="H78" s="419"/>
      <c r="I78" s="419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  <c r="AT78" s="67"/>
      <c r="AU78" s="67"/>
      <c r="AV78" s="264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239"/>
    </row>
    <row r="79" spans="2:93" s="137" customFormat="1" ht="18" customHeight="1" x14ac:dyDescent="0.25">
      <c r="B79" s="31" t="s">
        <v>372</v>
      </c>
      <c r="C79" s="419"/>
      <c r="D79" s="153">
        <f>D132</f>
        <v>4100</v>
      </c>
      <c r="E79" s="153">
        <f t="shared" ref="E79:G79" si="951">E132</f>
        <v>4959</v>
      </c>
      <c r="F79" s="153">
        <f t="shared" si="951"/>
        <v>4886</v>
      </c>
      <c r="G79" s="153">
        <f t="shared" si="951"/>
        <v>5295</v>
      </c>
      <c r="H79" s="153">
        <f t="shared" ref="H79:N79" si="952">H132</f>
        <v>19240</v>
      </c>
      <c r="I79" s="419"/>
      <c r="J79" s="153">
        <f t="shared" si="952"/>
        <v>5677</v>
      </c>
      <c r="K79" s="153">
        <f t="shared" si="952"/>
        <v>6172</v>
      </c>
      <c r="L79" s="153">
        <f t="shared" si="952"/>
        <v>5683</v>
      </c>
      <c r="M79" s="153">
        <f t="shared" si="952"/>
        <v>5705</v>
      </c>
      <c r="N79" s="153">
        <f t="shared" si="952"/>
        <v>23237</v>
      </c>
      <c r="O79" s="67"/>
      <c r="P79" s="153">
        <f t="shared" ref="P79:T79" si="953">P132</f>
        <v>5873</v>
      </c>
      <c r="Q79" s="153">
        <f t="shared" si="953"/>
        <v>6467</v>
      </c>
      <c r="R79" s="153">
        <f t="shared" si="953"/>
        <v>5289</v>
      </c>
      <c r="S79" s="153">
        <f t="shared" si="953"/>
        <v>5020</v>
      </c>
      <c r="T79" s="153">
        <f t="shared" si="953"/>
        <v>22649</v>
      </c>
      <c r="U79" s="67"/>
      <c r="V79" s="153">
        <f t="shared" ref="V79:Z79" si="954">V132</f>
        <v>4306</v>
      </c>
      <c r="W79" s="153">
        <f t="shared" si="954"/>
        <v>4048</v>
      </c>
      <c r="X79" s="153">
        <f t="shared" si="954"/>
        <v>4056</v>
      </c>
      <c r="Y79" s="153">
        <f t="shared" si="954"/>
        <v>4508</v>
      </c>
      <c r="Z79" s="153">
        <f t="shared" si="954"/>
        <v>16918</v>
      </c>
      <c r="AA79" s="67"/>
      <c r="AB79" s="153">
        <f t="shared" ref="AB79:AF79" si="955">AB132</f>
        <v>5459</v>
      </c>
      <c r="AC79" s="153">
        <f t="shared" si="955"/>
        <v>5656</v>
      </c>
      <c r="AD79" s="153">
        <f t="shared" si="955"/>
        <v>5255</v>
      </c>
      <c r="AE79" s="153">
        <f t="shared" si="955"/>
        <v>5736</v>
      </c>
      <c r="AF79" s="153">
        <f t="shared" si="955"/>
        <v>22106</v>
      </c>
      <c r="AG79" s="67"/>
      <c r="AH79" s="153">
        <f t="shared" ref="AH79:AL79" si="956">AH132</f>
        <v>6115</v>
      </c>
      <c r="AI79" s="153">
        <f t="shared" si="956"/>
        <v>6033</v>
      </c>
      <c r="AJ79" s="153">
        <f t="shared" si="956"/>
        <v>6276</v>
      </c>
      <c r="AK79" s="153">
        <f t="shared" si="956"/>
        <v>6845</v>
      </c>
      <c r="AL79" s="153">
        <f t="shared" si="956"/>
        <v>25269</v>
      </c>
      <c r="AM79" s="67"/>
      <c r="AN79" s="153">
        <f t="shared" ref="AN79:AR79" si="957">AN132</f>
        <v>6746</v>
      </c>
      <c r="AO79" s="153">
        <f t="shared" si="957"/>
        <v>7154</v>
      </c>
      <c r="AP79" s="153">
        <f t="shared" si="957"/>
        <v>6999</v>
      </c>
      <c r="AQ79" s="153">
        <f t="shared" si="957"/>
        <v>6519</v>
      </c>
      <c r="AR79" s="153">
        <f t="shared" si="957"/>
        <v>27418</v>
      </c>
      <c r="AS79" s="67"/>
      <c r="AT79" s="153">
        <f t="shared" ref="AT79:AX79" si="958">AT132</f>
        <v>6424</v>
      </c>
      <c r="AU79" s="153">
        <f t="shared" si="958"/>
        <v>6683</v>
      </c>
      <c r="AV79" s="304">
        <f t="shared" si="958"/>
        <v>6345</v>
      </c>
      <c r="AW79" s="153">
        <f t="shared" si="958"/>
        <v>6040.3</v>
      </c>
      <c r="AX79" s="153">
        <f t="shared" si="958"/>
        <v>25492.3</v>
      </c>
      <c r="AY79" s="153"/>
      <c r="AZ79" s="153">
        <f t="shared" ref="AZ79:BD79" si="959">AZ132</f>
        <v>5859.8</v>
      </c>
      <c r="BA79" s="153">
        <f t="shared" si="959"/>
        <v>6049.25</v>
      </c>
      <c r="BB79" s="153">
        <f t="shared" si="959"/>
        <v>5988.5</v>
      </c>
      <c r="BC79" s="153">
        <f t="shared" si="959"/>
        <v>5870.32</v>
      </c>
      <c r="BD79" s="153">
        <f t="shared" si="959"/>
        <v>23767.87</v>
      </c>
      <c r="BE79" s="153"/>
      <c r="BF79" s="153">
        <f t="shared" ref="BF79:BJ79" si="960">BF132</f>
        <v>6151.5400000000009</v>
      </c>
      <c r="BG79" s="153">
        <f t="shared" si="960"/>
        <v>6350.4625000000005</v>
      </c>
      <c r="BH79" s="153">
        <f t="shared" si="960"/>
        <v>6286.6750000000002</v>
      </c>
      <c r="BI79" s="153">
        <f t="shared" si="960"/>
        <v>6162.5860000000002</v>
      </c>
      <c r="BJ79" s="153">
        <f t="shared" si="960"/>
        <v>24951.263500000001</v>
      </c>
      <c r="BK79" s="153"/>
      <c r="BL79" s="153">
        <f t="shared" ref="BL79:BP79" si="961">BL132</f>
        <v>6360.379750000001</v>
      </c>
      <c r="BM79" s="153">
        <f t="shared" si="961"/>
        <v>6566.0873499999998</v>
      </c>
      <c r="BN79" s="153">
        <f t="shared" si="961"/>
        <v>6500.9427250000008</v>
      </c>
      <c r="BO79" s="153">
        <f t="shared" si="961"/>
        <v>6373.2283900000002</v>
      </c>
      <c r="BP79" s="153">
        <f t="shared" si="961"/>
        <v>25800.638215000003</v>
      </c>
      <c r="BQ79" s="153"/>
      <c r="BR79" s="153">
        <f t="shared" ref="BR79:BV79" si="962">BR132</f>
        <v>6576.4864344999996</v>
      </c>
      <c r="BS79" s="153">
        <f t="shared" si="962"/>
        <v>6789.2153845000003</v>
      </c>
      <c r="BT79" s="153">
        <f t="shared" si="962"/>
        <v>6722.6951807500009</v>
      </c>
      <c r="BU79" s="153">
        <f t="shared" si="962"/>
        <v>6591.2506441000005</v>
      </c>
      <c r="BV79" s="153">
        <f t="shared" si="962"/>
        <v>26679.647643850003</v>
      </c>
      <c r="BW79" s="153"/>
      <c r="BX79" s="153">
        <f t="shared" ref="BX79:CB79" si="963">BX132</f>
        <v>6800.1181312150002</v>
      </c>
      <c r="BY79" s="153">
        <f t="shared" si="963"/>
        <v>7020.1130765950002</v>
      </c>
      <c r="BZ79" s="153">
        <f t="shared" si="963"/>
        <v>6952.1991771325011</v>
      </c>
      <c r="CA79" s="153">
        <f t="shared" si="963"/>
        <v>6816.9165819190002</v>
      </c>
      <c r="CB79" s="153">
        <f t="shared" si="963"/>
        <v>27589.3469668615</v>
      </c>
      <c r="CC79" s="153"/>
      <c r="CD79" s="153">
        <f t="shared" ref="CD79:CH79" si="964">CD132</f>
        <v>7031.5422629786517</v>
      </c>
      <c r="CE79" s="153">
        <f t="shared" si="964"/>
        <v>7259.0565486752512</v>
      </c>
      <c r="CF79" s="153">
        <f t="shared" si="964"/>
        <v>7189.7312190448765</v>
      </c>
      <c r="CG79" s="153">
        <f t="shared" si="964"/>
        <v>7050.4996346124108</v>
      </c>
      <c r="CH79" s="153">
        <f t="shared" si="964"/>
        <v>28530.829665311187</v>
      </c>
      <c r="CI79" s="153"/>
      <c r="CJ79" s="153">
        <f t="shared" ref="CJ79:CN79" si="965">CJ132</f>
        <v>7271.0359422082993</v>
      </c>
      <c r="CK79" s="153">
        <f t="shared" si="965"/>
        <v>7506.3319281092045</v>
      </c>
      <c r="CL79" s="153">
        <f t="shared" si="965"/>
        <v>7435.5778648785599</v>
      </c>
      <c r="CM79" s="153">
        <f t="shared" si="965"/>
        <v>7292.2832010960574</v>
      </c>
      <c r="CN79" s="153">
        <f t="shared" si="965"/>
        <v>29505.228936292122</v>
      </c>
      <c r="CO79" s="239"/>
    </row>
    <row r="80" spans="2:93" s="137" customFormat="1" ht="18" customHeight="1" x14ac:dyDescent="0.25">
      <c r="B80" s="31" t="s">
        <v>402</v>
      </c>
      <c r="C80" s="419"/>
      <c r="D80" s="153">
        <f>D173</f>
        <v>1761</v>
      </c>
      <c r="E80" s="153">
        <f>E173</f>
        <v>1836</v>
      </c>
      <c r="F80" s="153">
        <f>F173</f>
        <v>1956</v>
      </c>
      <c r="G80" s="153">
        <f>G173</f>
        <v>2308</v>
      </c>
      <c r="H80" s="153">
        <f>H173</f>
        <v>7861</v>
      </c>
      <c r="I80" s="419"/>
      <c r="J80" s="153">
        <f>J173</f>
        <v>2309</v>
      </c>
      <c r="K80" s="153">
        <f>K173</f>
        <v>2526</v>
      </c>
      <c r="L80" s="153">
        <f>L173</f>
        <v>2638</v>
      </c>
      <c r="M80" s="153">
        <f>M173</f>
        <v>2797</v>
      </c>
      <c r="N80" s="153">
        <f>N173</f>
        <v>10270</v>
      </c>
      <c r="O80" s="67"/>
      <c r="P80" s="153">
        <f>P173</f>
        <v>2752</v>
      </c>
      <c r="Q80" s="153">
        <f>Q173</f>
        <v>2819</v>
      </c>
      <c r="R80" s="153">
        <f>R173</f>
        <v>2310</v>
      </c>
      <c r="S80" s="153">
        <f>S173</f>
        <v>2395</v>
      </c>
      <c r="T80" s="153">
        <f>T173</f>
        <v>10276</v>
      </c>
      <c r="U80" s="67"/>
      <c r="V80" s="153">
        <f>V173</f>
        <v>2084</v>
      </c>
      <c r="W80" s="153">
        <f>W173</f>
        <v>1826</v>
      </c>
      <c r="X80" s="153">
        <f>X173</f>
        <v>1816</v>
      </c>
      <c r="Y80" s="153">
        <f>Y173</f>
        <v>2180</v>
      </c>
      <c r="Z80" s="153">
        <f>Z173</f>
        <v>7906</v>
      </c>
      <c r="AA80" s="67"/>
      <c r="AB80" s="153">
        <f>AB173</f>
        <v>2178</v>
      </c>
      <c r="AC80" s="153">
        <f>AC173</f>
        <v>2547</v>
      </c>
      <c r="AD80" s="153">
        <f>AD173</f>
        <v>2366</v>
      </c>
      <c r="AE80" s="153">
        <f>AE173</f>
        <v>2719</v>
      </c>
      <c r="AF80" s="153">
        <f>AF173</f>
        <v>9810</v>
      </c>
      <c r="AG80" s="67"/>
      <c r="AH80" s="153">
        <f>AH173</f>
        <v>2830</v>
      </c>
      <c r="AI80" s="153">
        <f>AI173</f>
        <v>2961</v>
      </c>
      <c r="AJ80" s="153">
        <f>AJ173</f>
        <v>3087</v>
      </c>
      <c r="AK80" s="153">
        <f>AK173</f>
        <v>3436</v>
      </c>
      <c r="AL80" s="153">
        <f>AL173</f>
        <v>12314</v>
      </c>
      <c r="AM80" s="67"/>
      <c r="AN80" s="153">
        <f>AN173</f>
        <v>3427</v>
      </c>
      <c r="AO80" s="153">
        <f>AO173</f>
        <v>3563</v>
      </c>
      <c r="AP80" s="153">
        <f>AP173</f>
        <v>3351</v>
      </c>
      <c r="AQ80" s="153">
        <f>AQ173</f>
        <v>3242</v>
      </c>
      <c r="AR80" s="153">
        <f>AR173</f>
        <v>13583</v>
      </c>
      <c r="AS80" s="67"/>
      <c r="AT80" s="153">
        <f>AT173</f>
        <v>3193</v>
      </c>
      <c r="AU80" s="153">
        <f>AU173</f>
        <v>3206</v>
      </c>
      <c r="AV80" s="304">
        <f>AV173</f>
        <v>3028</v>
      </c>
      <c r="AW80" s="153">
        <f>AW173</f>
        <v>2991.1</v>
      </c>
      <c r="AX80" s="153">
        <f>AX173</f>
        <v>12418.099999999999</v>
      </c>
      <c r="AY80" s="153"/>
      <c r="AZ80" s="153">
        <f>AZ173</f>
        <v>2890.2000000000003</v>
      </c>
      <c r="BA80" s="153">
        <f>BA173</f>
        <v>3107</v>
      </c>
      <c r="BB80" s="153">
        <f>BB173</f>
        <v>3096.84</v>
      </c>
      <c r="BC80" s="153">
        <f>BC173</f>
        <v>3071.8620000000001</v>
      </c>
      <c r="BD80" s="153">
        <f>BD173</f>
        <v>12165.902000000002</v>
      </c>
      <c r="BE80" s="153"/>
      <c r="BF80" s="153">
        <f>BF173</f>
        <v>3002.6080000000006</v>
      </c>
      <c r="BG80" s="153">
        <f>BG173</f>
        <v>3228.08</v>
      </c>
      <c r="BH80" s="153">
        <f>BH173</f>
        <v>3217.5136000000002</v>
      </c>
      <c r="BI80" s="153">
        <f>BI173</f>
        <v>3191.5364800000002</v>
      </c>
      <c r="BJ80" s="153">
        <f>BJ173</f>
        <v>12639.738079999999</v>
      </c>
      <c r="BK80" s="153"/>
      <c r="BL80" s="153">
        <f>BL173</f>
        <v>3119.5123200000003</v>
      </c>
      <c r="BM80" s="153">
        <f>BM173</f>
        <v>3354.0032000000001</v>
      </c>
      <c r="BN80" s="153">
        <f>BN173</f>
        <v>3343.0141440000002</v>
      </c>
      <c r="BO80" s="153">
        <f>BO173</f>
        <v>3315.9979392</v>
      </c>
      <c r="BP80" s="153">
        <f>BP173</f>
        <v>13132.527603200002</v>
      </c>
      <c r="BQ80" s="153"/>
      <c r="BR80" s="153">
        <f>BR173</f>
        <v>3241.0928128000005</v>
      </c>
      <c r="BS80" s="153">
        <f>BS173</f>
        <v>3484.9633279999998</v>
      </c>
      <c r="BT80" s="153">
        <f>BT173</f>
        <v>3473.5347097600006</v>
      </c>
      <c r="BU80" s="153">
        <f>BU173</f>
        <v>3445.4378567680001</v>
      </c>
      <c r="BV80" s="153">
        <f>BV173</f>
        <v>13645.028707328001</v>
      </c>
      <c r="BW80" s="153"/>
      <c r="BX80" s="153">
        <f>BX173</f>
        <v>3367.5365253120008</v>
      </c>
      <c r="BY80" s="153">
        <f>BY173</f>
        <v>3621.1618611200001</v>
      </c>
      <c r="BZ80" s="153">
        <f>BZ173</f>
        <v>3609.2760981504007</v>
      </c>
      <c r="CA80" s="153">
        <f>CA173</f>
        <v>3580.0553710387203</v>
      </c>
      <c r="CB80" s="153">
        <f>CB173</f>
        <v>14178.029855621122</v>
      </c>
      <c r="CC80" s="153"/>
      <c r="CD80" s="153">
        <f>CD173</f>
        <v>3499.0379863244807</v>
      </c>
      <c r="CE80" s="153">
        <f>CE173</f>
        <v>3762.8083355648005</v>
      </c>
      <c r="CF80" s="153">
        <f>CF173</f>
        <v>3750.4471420764166</v>
      </c>
      <c r="CG80" s="153">
        <f>CG173</f>
        <v>3720.057585880269</v>
      </c>
      <c r="CH80" s="153">
        <f>CH173</f>
        <v>14732.351049845965</v>
      </c>
      <c r="CI80" s="153"/>
      <c r="CJ80" s="153">
        <f>CJ173</f>
        <v>3635.7995057774606</v>
      </c>
      <c r="CK80" s="153">
        <f>CK173</f>
        <v>3910.1206689873929</v>
      </c>
      <c r="CL80" s="153">
        <f>CL173</f>
        <v>3897.2650277594739</v>
      </c>
      <c r="CM80" s="153">
        <f>CM173</f>
        <v>3865.6598893154796</v>
      </c>
      <c r="CN80" s="153">
        <f>CN173</f>
        <v>15308.845091839807</v>
      </c>
      <c r="CO80" s="239"/>
    </row>
    <row r="81" spans="2:93" s="137" customFormat="1" ht="18" customHeight="1" x14ac:dyDescent="0.25">
      <c r="B81" s="31" t="s">
        <v>373</v>
      </c>
      <c r="C81" s="419"/>
      <c r="D81" s="153">
        <f>D214</f>
        <v>4136</v>
      </c>
      <c r="E81" s="153">
        <f t="shared" ref="E81:G81" si="966">E214</f>
        <v>4768</v>
      </c>
      <c r="F81" s="153">
        <f t="shared" si="966"/>
        <v>4838</v>
      </c>
      <c r="G81" s="153">
        <f t="shared" si="966"/>
        <v>5640</v>
      </c>
      <c r="H81" s="153">
        <f t="shared" ref="H81:N81" si="967">H214</f>
        <v>19382</v>
      </c>
      <c r="I81" s="419"/>
      <c r="J81" s="153">
        <f t="shared" si="967"/>
        <v>5219</v>
      </c>
      <c r="K81" s="153">
        <f t="shared" si="967"/>
        <v>5724</v>
      </c>
      <c r="L81" s="153">
        <f t="shared" si="967"/>
        <v>5555</v>
      </c>
      <c r="M81" s="153">
        <f t="shared" si="967"/>
        <v>6287</v>
      </c>
      <c r="N81" s="153">
        <f t="shared" si="967"/>
        <v>22785</v>
      </c>
      <c r="O81" s="67"/>
      <c r="P81" s="153">
        <f t="shared" ref="P81:T81" si="968">P214</f>
        <v>5210</v>
      </c>
      <c r="Q81" s="153">
        <f t="shared" si="968"/>
        <v>5486</v>
      </c>
      <c r="R81" s="153">
        <f t="shared" si="968"/>
        <v>5452</v>
      </c>
      <c r="S81" s="153">
        <f t="shared" si="968"/>
        <v>5949</v>
      </c>
      <c r="T81" s="153">
        <f t="shared" si="968"/>
        <v>22097</v>
      </c>
      <c r="U81" s="67"/>
      <c r="V81" s="153">
        <f t="shared" ref="V81:Z81" si="969">V214</f>
        <v>4349</v>
      </c>
      <c r="W81" s="153">
        <f t="shared" si="969"/>
        <v>4149</v>
      </c>
      <c r="X81" s="153">
        <f t="shared" si="969"/>
        <v>4161</v>
      </c>
      <c r="Y81" s="153">
        <f t="shared" si="969"/>
        <v>4811</v>
      </c>
      <c r="Z81" s="153">
        <f t="shared" si="969"/>
        <v>17470</v>
      </c>
      <c r="AA81" s="67"/>
      <c r="AB81" s="153">
        <f t="shared" ref="AB81:AF81" si="970">AB214</f>
        <v>4507</v>
      </c>
      <c r="AC81" s="153">
        <f t="shared" si="970"/>
        <v>4975</v>
      </c>
      <c r="AD81" s="153">
        <f t="shared" si="970"/>
        <v>5077</v>
      </c>
      <c r="AE81" s="153">
        <f t="shared" si="970"/>
        <v>5728</v>
      </c>
      <c r="AF81" s="153">
        <f t="shared" si="970"/>
        <v>20287</v>
      </c>
      <c r="AG81" s="67"/>
      <c r="AH81" s="153">
        <f t="shared" ref="AH81:AL81" si="971">AH214</f>
        <v>5038</v>
      </c>
      <c r="AI81" s="153">
        <f t="shared" si="971"/>
        <v>5705</v>
      </c>
      <c r="AJ81" s="153">
        <f t="shared" si="971"/>
        <v>6186</v>
      </c>
      <c r="AK81" s="153">
        <f t="shared" si="971"/>
        <v>6823</v>
      </c>
      <c r="AL81" s="153">
        <f t="shared" si="971"/>
        <v>23752</v>
      </c>
      <c r="AM81" s="67"/>
      <c r="AN81" s="153">
        <f t="shared" ref="AN81:AR81" si="972">AN214</f>
        <v>6254</v>
      </c>
      <c r="AO81" s="153">
        <f t="shared" si="972"/>
        <v>7219</v>
      </c>
      <c r="AP81" s="153">
        <f t="shared" si="972"/>
        <v>6859</v>
      </c>
      <c r="AQ81" s="153">
        <f t="shared" si="972"/>
        <v>7669</v>
      </c>
      <c r="AR81" s="153">
        <f t="shared" si="972"/>
        <v>28001</v>
      </c>
      <c r="AS81" s="67"/>
      <c r="AT81" s="153">
        <f>AT214</f>
        <v>6681</v>
      </c>
      <c r="AU81" s="153">
        <f>AU214</f>
        <v>7337</v>
      </c>
      <c r="AV81" s="304">
        <f>AV214</f>
        <v>7187</v>
      </c>
      <c r="AW81" s="153">
        <f>AW214</f>
        <v>7928.9207048967764</v>
      </c>
      <c r="AX81" s="153">
        <f>AX214</f>
        <v>29133.920704896773</v>
      </c>
      <c r="AY81" s="153"/>
      <c r="AZ81" s="153">
        <f>AZ214</f>
        <v>7000.812370973008</v>
      </c>
      <c r="BA81" s="153">
        <f>BA214</f>
        <v>7733.7714115400122</v>
      </c>
      <c r="BB81" s="153">
        <f>BB214</f>
        <v>7492.3101664527458</v>
      </c>
      <c r="BC81" s="153">
        <f>BC214</f>
        <v>8281.855068933055</v>
      </c>
      <c r="BD81" s="153">
        <f>BD214</f>
        <v>30508.749017898823</v>
      </c>
      <c r="BE81" s="153"/>
      <c r="BF81" s="153">
        <f t="shared" ref="BF81:BJ81" si="973">BF214</f>
        <v>7332.8135499773398</v>
      </c>
      <c r="BG81" s="153">
        <f t="shared" si="973"/>
        <v>8101.0477035170561</v>
      </c>
      <c r="BH81" s="153">
        <f t="shared" si="973"/>
        <v>7846.6569910481176</v>
      </c>
      <c r="BI81" s="153">
        <f t="shared" si="973"/>
        <v>8670.3547307188164</v>
      </c>
      <c r="BJ81" s="153">
        <f t="shared" si="973"/>
        <v>31950.872975261333</v>
      </c>
      <c r="BK81" s="153"/>
      <c r="BL81" s="153">
        <f t="shared" ref="BL81:BP81" si="974">BL214</f>
        <v>7671.5550834839369</v>
      </c>
      <c r="BM81" s="153">
        <f t="shared" si="974"/>
        <v>8475.9969730393241</v>
      </c>
      <c r="BN81" s="153">
        <f t="shared" si="974"/>
        <v>8208.2531740003178</v>
      </c>
      <c r="BO81" s="153">
        <f t="shared" si="974"/>
        <v>9068.8084131357191</v>
      </c>
      <c r="BP81" s="153">
        <f t="shared" si="974"/>
        <v>33424.613643659293</v>
      </c>
      <c r="BQ81" s="153"/>
      <c r="BR81" s="153">
        <f t="shared" ref="BR81:BV81" si="975">BR214</f>
        <v>8026.4535513656101</v>
      </c>
      <c r="BS81" s="153">
        <f t="shared" si="975"/>
        <v>8868.8489826629302</v>
      </c>
      <c r="BT81" s="153">
        <f t="shared" si="975"/>
        <v>8587.075987050619</v>
      </c>
      <c r="BU81" s="153">
        <f t="shared" si="975"/>
        <v>9486.2703145173346</v>
      </c>
      <c r="BV81" s="153">
        <f t="shared" si="975"/>
        <v>34968.648835596498</v>
      </c>
      <c r="BW81" s="153"/>
      <c r="BX81" s="153">
        <f t="shared" ref="BX81:CB81" si="976">BX214</f>
        <v>8398.292233940736</v>
      </c>
      <c r="BY81" s="153">
        <f t="shared" si="976"/>
        <v>9280.4722469713142</v>
      </c>
      <c r="BZ81" s="153">
        <f t="shared" si="976"/>
        <v>8983.960119878062</v>
      </c>
      <c r="CA81" s="153">
        <f t="shared" si="976"/>
        <v>9923.6639747296667</v>
      </c>
      <c r="CB81" s="153">
        <f t="shared" si="976"/>
        <v>36586.388575519777</v>
      </c>
      <c r="CC81" s="153"/>
      <c r="CD81" s="153">
        <f t="shared" ref="CD81:CH81" si="977">CD214</f>
        <v>8787.8927533275291</v>
      </c>
      <c r="CE81" s="153">
        <f t="shared" si="977"/>
        <v>9711.7778147268509</v>
      </c>
      <c r="CF81" s="153">
        <f t="shared" si="977"/>
        <v>9399.7811094766748</v>
      </c>
      <c r="CG81" s="153">
        <f t="shared" si="977"/>
        <v>10381.958255214662</v>
      </c>
      <c r="CH81" s="153">
        <f t="shared" si="977"/>
        <v>38281.409932745722</v>
      </c>
      <c r="CI81" s="153"/>
      <c r="CJ81" s="153">
        <f t="shared" ref="CJ81:CN81" si="978">CJ214</f>
        <v>9196.1169617480009</v>
      </c>
      <c r="CK81" s="153">
        <f t="shared" si="978"/>
        <v>10163.72136434714</v>
      </c>
      <c r="CL81" s="153">
        <f t="shared" si="978"/>
        <v>9835.4573515265729</v>
      </c>
      <c r="CM81" s="153">
        <f t="shared" si="978"/>
        <v>10862.169576049635</v>
      </c>
      <c r="CN81" s="153">
        <f t="shared" si="978"/>
        <v>40057.465253671355</v>
      </c>
      <c r="CO81" s="239"/>
    </row>
    <row r="82" spans="2:93" s="137" customFormat="1" ht="18" customHeight="1" x14ac:dyDescent="0.25">
      <c r="B82" s="31" t="s">
        <v>417</v>
      </c>
      <c r="C82" s="419"/>
      <c r="D82" s="153">
        <f>-SUM(D131,D172,D213)</f>
        <v>-880</v>
      </c>
      <c r="E82" s="153">
        <f>-SUM(E131,E172,E213)</f>
        <v>-933</v>
      </c>
      <c r="F82" s="153">
        <f>-SUM(F131,F172,F213)</f>
        <v>-995</v>
      </c>
      <c r="G82" s="153">
        <f>-SUM(G131,G172,G213)</f>
        <v>-1074</v>
      </c>
      <c r="H82" s="153">
        <f>-SUM(H131,H172,H213)</f>
        <v>-3882</v>
      </c>
      <c r="I82" s="419"/>
      <c r="J82" s="153">
        <f>-SUM(J131,J172,J213)</f>
        <v>-1062</v>
      </c>
      <c r="K82" s="153">
        <f>-SUM(K131,K172,K213)</f>
        <v>-1140</v>
      </c>
      <c r="L82" s="153">
        <f>-SUM(L131,L172,L213)</f>
        <v>-1107</v>
      </c>
      <c r="M82" s="153">
        <f>-SUM(M131,M172,M213)</f>
        <v>-1147</v>
      </c>
      <c r="N82" s="153">
        <f>-SUM(N131,N172,N213)</f>
        <v>-4456</v>
      </c>
      <c r="O82" s="67"/>
      <c r="P82" s="153">
        <f>-SUM(P131,P172,P213)</f>
        <v>-1103</v>
      </c>
      <c r="Q82" s="153">
        <f>-SUM(Q131,Q172,Q213)</f>
        <v>-1091</v>
      </c>
      <c r="R82" s="153">
        <f>-SUM(R131,R172,R213)</f>
        <v>-1035</v>
      </c>
      <c r="S82" s="153">
        <f>-SUM(S131,S172,S213)</f>
        <v>-939</v>
      </c>
      <c r="T82" s="153">
        <f>-SUM(T131,T172,T213)</f>
        <v>-4168</v>
      </c>
      <c r="U82" s="67"/>
      <c r="V82" s="153">
        <f>-SUM(V131,V172,V213)</f>
        <v>-830</v>
      </c>
      <c r="W82" s="153">
        <f>-SUM(W131,W172,W213)</f>
        <v>-740</v>
      </c>
      <c r="X82" s="153">
        <f>-SUM(X131,X172,X213)</f>
        <v>-806</v>
      </c>
      <c r="Y82" s="153">
        <f>-SUM(Y131,Y172,Y213)</f>
        <v>-932</v>
      </c>
      <c r="Z82" s="153">
        <f>-SUM(Z131,Z172,Z213)</f>
        <v>-3308</v>
      </c>
      <c r="AA82" s="67"/>
      <c r="AB82" s="153">
        <f>-SUM(AB131,AB172,AB213)</f>
        <v>-948</v>
      </c>
      <c r="AC82" s="153">
        <f>-SUM(AC131,AC172,AC213)</f>
        <v>-984</v>
      </c>
      <c r="AD82" s="153">
        <f>-SUM(AD131,AD172,AD213)</f>
        <v>-1005</v>
      </c>
      <c r="AE82" s="153">
        <f>-SUM(AE131,AE172,AE213)</f>
        <v>-1100</v>
      </c>
      <c r="AF82" s="153">
        <f>-SUM(AF131,AF172,AF213)</f>
        <v>-4037</v>
      </c>
      <c r="AG82" s="67"/>
      <c r="AH82" s="153">
        <f>-SUM(AH131,AH172,AH213)</f>
        <v>-1106</v>
      </c>
      <c r="AI82" s="153">
        <f>-SUM(AI131,AI172,AI213)</f>
        <v>-1173</v>
      </c>
      <c r="AJ82" s="153">
        <f>-SUM(AJ131,AJ172,AJ213)</f>
        <v>-1303</v>
      </c>
      <c r="AK82" s="153">
        <f>-SUM(AK131,AK172,AK213)</f>
        <v>-1276</v>
      </c>
      <c r="AL82" s="153">
        <f>-SUM(AL131,AL172,AL213)</f>
        <v>-4858</v>
      </c>
      <c r="AM82" s="67"/>
      <c r="AN82" s="153">
        <f>-SUM(AN131,AN172,AN213)</f>
        <v>-1309</v>
      </c>
      <c r="AO82" s="153">
        <f>-SUM(AO131,AO172,AO213)</f>
        <v>-1385</v>
      </c>
      <c r="AP82" s="153">
        <f>-SUM(AP131,AP172,AP213)</f>
        <v>-1214</v>
      </c>
      <c r="AQ82" s="153">
        <f>-SUM(AQ131,AQ172,AQ213)</f>
        <v>-1201</v>
      </c>
      <c r="AR82" s="153">
        <f>-SUM(AR131,AR172,AR213)</f>
        <v>-5109</v>
      </c>
      <c r="AS82" s="67"/>
      <c r="AT82" s="153">
        <f>-SUM(AT131,AT172,AT213)</f>
        <v>-1298</v>
      </c>
      <c r="AU82" s="153">
        <f>-SUM(AU131,AU172,AU213)</f>
        <v>-1368</v>
      </c>
      <c r="AV82" s="304">
        <f>-SUM(AV131,AV172,AV213)</f>
        <v>-1309</v>
      </c>
      <c r="AW82" s="153">
        <f>-SUM(AW131,AW172,AW213)</f>
        <v>-1147.7207048967764</v>
      </c>
      <c r="AX82" s="153">
        <f>-SUM(AX131,AX172,AX213)</f>
        <v>-5122.7207048967766</v>
      </c>
      <c r="AY82" s="153"/>
      <c r="AZ82" s="153">
        <f>-SUM(AZ131,AZ172,AZ213)</f>
        <v>-1237.7123709730072</v>
      </c>
      <c r="BA82" s="153">
        <f>-SUM(BA131,BA172,BA213)</f>
        <v>-1333.2714115400115</v>
      </c>
      <c r="BB82" s="153">
        <f>-SUM(BB131,BB172,BB213)</f>
        <v>-1314.5101664527454</v>
      </c>
      <c r="BC82" s="153">
        <f>-SUM(BC131,BC172,BC213)</f>
        <v>-1188.8350689330546</v>
      </c>
      <c r="BD82" s="153">
        <f>-SUM(BD131,BD172,BD213)</f>
        <v>-5074.3290178988191</v>
      </c>
      <c r="BE82" s="153"/>
      <c r="BF82" s="153">
        <f>-SUM(BF131,BF172,BF213)</f>
        <v>-1287.9365499773392</v>
      </c>
      <c r="BG82" s="153">
        <f>-SUM(BG131,BG172,BG213)</f>
        <v>-1387.7842035170552</v>
      </c>
      <c r="BH82" s="153">
        <f>-SUM(BH131,BH172,BH213)</f>
        <v>-1368.1869910481173</v>
      </c>
      <c r="BI82" s="153">
        <f>-SUM(BI131,BI172,BI213)</f>
        <v>-1236.9277307188147</v>
      </c>
      <c r="BJ82" s="153">
        <f>-SUM(BJ131,BJ172,BJ213)</f>
        <v>-5280.8354752613268</v>
      </c>
      <c r="BK82" s="153"/>
      <c r="BL82" s="153">
        <f>-SUM(BL131,BL172,BL213)</f>
        <v>-1331.044793483936</v>
      </c>
      <c r="BM82" s="153">
        <f>-SUM(BM131,BM172,BM213)</f>
        <v>-1434.5820280393234</v>
      </c>
      <c r="BN82" s="153">
        <f>-SUM(BN131,BN172,BN213)</f>
        <v>-1414.3490740003176</v>
      </c>
      <c r="BO82" s="153">
        <f>-SUM(BO131,BO172,BO213)</f>
        <v>-1278.3439431357176</v>
      </c>
      <c r="BP82" s="153">
        <f>-SUM(BP131,BP172,BP213)</f>
        <v>-5458.3198386592949</v>
      </c>
      <c r="BQ82" s="153"/>
      <c r="BR82" s="153">
        <f>-SUM(BR131,BR172,BR213)</f>
        <v>-1375.7655180656095</v>
      </c>
      <c r="BS82" s="153">
        <f>-SUM(BS131,BS172,BS213)</f>
        <v>-1483.1302550129285</v>
      </c>
      <c r="BT82" s="153">
        <f>-SUM(BT131,BT172,BT213)</f>
        <v>-1462.2408700506185</v>
      </c>
      <c r="BU82" s="153">
        <f>-SUM(BU131,BU172,BU213)</f>
        <v>-1321.3141786173335</v>
      </c>
      <c r="BV82" s="153">
        <f>-SUM(BV131,BV172,BV213)</f>
        <v>-5642.45082174649</v>
      </c>
      <c r="BW82" s="153"/>
      <c r="BX82" s="153">
        <f>-SUM(BX131,BX172,BX213)</f>
        <v>-1422.1595255997349</v>
      </c>
      <c r="BY82" s="153">
        <f>-SUM(BY131,BY172,BY213)</f>
        <v>-1533.4948868308122</v>
      </c>
      <c r="BZ82" s="153">
        <f>-SUM(BZ131,BZ172,BZ213)</f>
        <v>-1511.92771878806</v>
      </c>
      <c r="CA82" s="153">
        <f>-SUM(CA131,CA172,CA213)</f>
        <v>-1365.8972207866645</v>
      </c>
      <c r="CB82" s="153">
        <f>-SUM(CB131,CB172,CB213)</f>
        <v>-5833.4793520052717</v>
      </c>
      <c r="CC82" s="153"/>
      <c r="CD82" s="153">
        <f>-SUM(CD131,CD172,CD213)</f>
        <v>-1470.2899307259581</v>
      </c>
      <c r="CE82" s="153">
        <f>-SUM(CE131,CE172,CE213)</f>
        <v>-1585.7444365491635</v>
      </c>
      <c r="CF82" s="153">
        <f>-SUM(CF131,CF172,CF213)</f>
        <v>-1563.4774495273721</v>
      </c>
      <c r="CG82" s="153">
        <f>-SUM(CG131,CG172,CG213)</f>
        <v>-1412.1540961015512</v>
      </c>
      <c r="CH82" s="153">
        <f>-SUM(CH131,CH172,CH213)</f>
        <v>-6031.6659129040454</v>
      </c>
      <c r="CI82" s="153"/>
      <c r="CJ82" s="153">
        <f>-SUM(CJ131,CJ172,CJ213)</f>
        <v>-1520.2222495959591</v>
      </c>
      <c r="CK82" s="153">
        <f>-SUM(CK131,CK172,CK213)</f>
        <v>-1639.9500242298059</v>
      </c>
      <c r="CL82" s="153">
        <f>-SUM(CL131,CL172,CL213)</f>
        <v>-1616.9604769989091</v>
      </c>
      <c r="CM82" s="153">
        <f>-SUM(CM131,CM172,CM213)</f>
        <v>-1460.1481601584469</v>
      </c>
      <c r="CN82" s="153">
        <f>-SUM(CN131,CN172,CN213)</f>
        <v>-6237.2809109831214</v>
      </c>
      <c r="CO82" s="239"/>
    </row>
    <row r="83" spans="2:93" s="137" customFormat="1" ht="18" customHeight="1" x14ac:dyDescent="0.25">
      <c r="B83" s="31" t="s">
        <v>415</v>
      </c>
      <c r="C83" s="419"/>
      <c r="D83" s="153">
        <f>D56</f>
        <v>13</v>
      </c>
      <c r="E83" s="153">
        <f t="shared" ref="E83:H83" si="979">E56</f>
        <v>9</v>
      </c>
      <c r="F83" s="153">
        <f t="shared" si="979"/>
        <v>28</v>
      </c>
      <c r="G83" s="153">
        <f t="shared" si="979"/>
        <v>25</v>
      </c>
      <c r="H83" s="153">
        <f t="shared" si="979"/>
        <v>75</v>
      </c>
      <c r="I83" s="419"/>
      <c r="J83" s="153">
        <f>J56</f>
        <v>7</v>
      </c>
      <c r="K83" s="153">
        <f t="shared" ref="K83:N83" si="980">K56</f>
        <v>-3</v>
      </c>
      <c r="L83" s="153">
        <f t="shared" si="980"/>
        <v>-6</v>
      </c>
      <c r="M83" s="153">
        <f t="shared" si="980"/>
        <v>-12</v>
      </c>
      <c r="N83" s="153">
        <f t="shared" si="980"/>
        <v>-14</v>
      </c>
      <c r="O83" s="67"/>
      <c r="P83" s="153">
        <f>P56</f>
        <v>-8</v>
      </c>
      <c r="Q83" s="153">
        <f t="shared" ref="Q83:T83" si="981">Q56</f>
        <v>-10</v>
      </c>
      <c r="R83" s="153">
        <f t="shared" si="981"/>
        <v>-42</v>
      </c>
      <c r="S83" s="153">
        <f t="shared" si="981"/>
        <v>-39</v>
      </c>
      <c r="T83" s="153">
        <f t="shared" si="981"/>
        <v>-99</v>
      </c>
      <c r="U83" s="67"/>
      <c r="V83" s="153">
        <f>V56</f>
        <v>5</v>
      </c>
      <c r="W83" s="153">
        <f t="shared" ref="W83:Z83" si="982">W56</f>
        <v>27</v>
      </c>
      <c r="X83" s="153">
        <f t="shared" si="982"/>
        <v>1</v>
      </c>
      <c r="Y83" s="153">
        <f t="shared" si="982"/>
        <v>3</v>
      </c>
      <c r="Z83" s="153">
        <f t="shared" si="982"/>
        <v>36</v>
      </c>
      <c r="AA83" s="67"/>
      <c r="AB83" s="153">
        <f>AB56</f>
        <v>-5</v>
      </c>
      <c r="AC83" s="153">
        <f t="shared" ref="AC83:AF83" si="983">AC56</f>
        <v>-1</v>
      </c>
      <c r="AD83" s="153">
        <f t="shared" si="983"/>
        <v>14</v>
      </c>
      <c r="AE83" s="153">
        <f t="shared" si="983"/>
        <v>14</v>
      </c>
      <c r="AF83" s="153">
        <f t="shared" si="983"/>
        <v>22</v>
      </c>
      <c r="AG83" s="67"/>
      <c r="AH83" s="153">
        <f>AH56</f>
        <v>9</v>
      </c>
      <c r="AI83" s="153">
        <f t="shared" ref="AI83:AL83" si="984">AI56</f>
        <v>13</v>
      </c>
      <c r="AJ83" s="153">
        <f t="shared" si="984"/>
        <v>32</v>
      </c>
      <c r="AK83" s="153">
        <f t="shared" si="984"/>
        <v>43</v>
      </c>
      <c r="AL83" s="153">
        <f t="shared" si="984"/>
        <v>97</v>
      </c>
      <c r="AM83" s="67"/>
      <c r="AN83" s="153">
        <f t="shared" ref="AN83:AR83" si="985">AN56</f>
        <v>-19</v>
      </c>
      <c r="AO83" s="153">
        <f t="shared" si="985"/>
        <v>-6</v>
      </c>
      <c r="AP83" s="153">
        <f t="shared" si="985"/>
        <v>-7</v>
      </c>
      <c r="AQ83" s="153">
        <f t="shared" si="985"/>
        <v>8</v>
      </c>
      <c r="AR83" s="153">
        <f t="shared" si="985"/>
        <v>-24</v>
      </c>
      <c r="AS83" s="67"/>
      <c r="AT83" s="153">
        <f t="shared" ref="AT83:AX83" si="986">AT56</f>
        <v>-40</v>
      </c>
      <c r="AU83" s="153">
        <f t="shared" si="986"/>
        <v>-18</v>
      </c>
      <c r="AV83" s="304">
        <f t="shared" si="986"/>
        <v>-20</v>
      </c>
      <c r="AW83" s="153">
        <f t="shared" si="986"/>
        <v>0</v>
      </c>
      <c r="AX83" s="153">
        <f t="shared" si="986"/>
        <v>-78</v>
      </c>
      <c r="AY83" s="153"/>
      <c r="AZ83" s="153">
        <f t="shared" ref="AZ83:BD83" si="987">AZ56</f>
        <v>0</v>
      </c>
      <c r="BA83" s="153">
        <f t="shared" si="987"/>
        <v>0</v>
      </c>
      <c r="BB83" s="153">
        <f t="shared" si="987"/>
        <v>0</v>
      </c>
      <c r="BC83" s="153">
        <f t="shared" si="987"/>
        <v>0</v>
      </c>
      <c r="BD83" s="153">
        <f t="shared" si="987"/>
        <v>0</v>
      </c>
      <c r="BE83" s="153"/>
      <c r="BF83" s="153">
        <f t="shared" ref="BF83:BJ83" si="988">BF56</f>
        <v>0</v>
      </c>
      <c r="BG83" s="153">
        <f t="shared" si="988"/>
        <v>0</v>
      </c>
      <c r="BH83" s="153">
        <f t="shared" si="988"/>
        <v>0</v>
      </c>
      <c r="BI83" s="153">
        <f t="shared" si="988"/>
        <v>0</v>
      </c>
      <c r="BJ83" s="153">
        <f t="shared" si="988"/>
        <v>0</v>
      </c>
      <c r="BK83" s="153"/>
      <c r="BL83" s="153">
        <f t="shared" ref="BL83:BP83" si="989">BL56</f>
        <v>0</v>
      </c>
      <c r="BM83" s="153">
        <f t="shared" si="989"/>
        <v>0</v>
      </c>
      <c r="BN83" s="153">
        <f t="shared" si="989"/>
        <v>0</v>
      </c>
      <c r="BO83" s="153">
        <f t="shared" si="989"/>
        <v>0</v>
      </c>
      <c r="BP83" s="153">
        <f t="shared" si="989"/>
        <v>0</v>
      </c>
      <c r="BQ83" s="153"/>
      <c r="BR83" s="153">
        <f t="shared" ref="BR83:BV83" si="990">BR56</f>
        <v>0</v>
      </c>
      <c r="BS83" s="153">
        <f t="shared" si="990"/>
        <v>0</v>
      </c>
      <c r="BT83" s="153">
        <f t="shared" si="990"/>
        <v>0</v>
      </c>
      <c r="BU83" s="153">
        <f t="shared" si="990"/>
        <v>0</v>
      </c>
      <c r="BV83" s="153">
        <f t="shared" si="990"/>
        <v>0</v>
      </c>
      <c r="BW83" s="153"/>
      <c r="BX83" s="153">
        <f t="shared" ref="BX83:CB83" si="991">BX56</f>
        <v>0</v>
      </c>
      <c r="BY83" s="153">
        <f t="shared" si="991"/>
        <v>0</v>
      </c>
      <c r="BZ83" s="153">
        <f t="shared" si="991"/>
        <v>0</v>
      </c>
      <c r="CA83" s="153">
        <f t="shared" si="991"/>
        <v>0</v>
      </c>
      <c r="CB83" s="153">
        <f t="shared" si="991"/>
        <v>0</v>
      </c>
      <c r="CC83" s="153"/>
      <c r="CD83" s="153">
        <f t="shared" ref="CD83:CH83" si="992">CD56</f>
        <v>0</v>
      </c>
      <c r="CE83" s="153">
        <f t="shared" si="992"/>
        <v>0</v>
      </c>
      <c r="CF83" s="153">
        <f t="shared" si="992"/>
        <v>0</v>
      </c>
      <c r="CG83" s="153">
        <f t="shared" si="992"/>
        <v>0</v>
      </c>
      <c r="CH83" s="153">
        <f t="shared" si="992"/>
        <v>0</v>
      </c>
      <c r="CI83" s="153"/>
      <c r="CJ83" s="153">
        <f t="shared" ref="CJ83:CN83" si="993">CJ56</f>
        <v>0</v>
      </c>
      <c r="CK83" s="153">
        <f t="shared" si="993"/>
        <v>0</v>
      </c>
      <c r="CL83" s="153">
        <f t="shared" si="993"/>
        <v>0</v>
      </c>
      <c r="CM83" s="153">
        <f t="shared" si="993"/>
        <v>0</v>
      </c>
      <c r="CN83" s="153">
        <f t="shared" si="993"/>
        <v>0</v>
      </c>
      <c r="CO83" s="239"/>
    </row>
    <row r="84" spans="2:93" s="137" customFormat="1" ht="18" customHeight="1" x14ac:dyDescent="0.25">
      <c r="B84" s="155" t="s">
        <v>141</v>
      </c>
      <c r="C84" s="155"/>
      <c r="D84" s="200">
        <f>SUM(D79:D83)</f>
        <v>9130</v>
      </c>
      <c r="E84" s="200">
        <f t="shared" ref="E84:H84" si="994">SUM(E79:E83)</f>
        <v>10639</v>
      </c>
      <c r="F84" s="200">
        <f t="shared" si="994"/>
        <v>10713</v>
      </c>
      <c r="G84" s="200">
        <f t="shared" si="994"/>
        <v>12194</v>
      </c>
      <c r="H84" s="200">
        <f t="shared" si="994"/>
        <v>42676</v>
      </c>
      <c r="I84" s="155"/>
      <c r="J84" s="200">
        <f t="shared" ref="J84" si="995">SUM(J79:J83)</f>
        <v>12150</v>
      </c>
      <c r="K84" s="200">
        <f t="shared" ref="K84" si="996">SUM(K79:K83)</f>
        <v>13279</v>
      </c>
      <c r="L84" s="200">
        <f t="shared" ref="L84" si="997">SUM(L79:L83)</f>
        <v>12763</v>
      </c>
      <c r="M84" s="200">
        <f t="shared" ref="M84" si="998">SUM(M79:M83)</f>
        <v>13630</v>
      </c>
      <c r="N84" s="200">
        <f t="shared" ref="N84" si="999">SUM(N79:N83)</f>
        <v>51822</v>
      </c>
      <c r="O84" s="155"/>
      <c r="P84" s="200">
        <f t="shared" ref="P84" si="1000">SUM(P79:P83)</f>
        <v>12724</v>
      </c>
      <c r="Q84" s="200">
        <f t="shared" ref="Q84" si="1001">SUM(Q79:Q83)</f>
        <v>13671</v>
      </c>
      <c r="R84" s="200">
        <f t="shared" ref="R84" si="1002">SUM(R79:R83)</f>
        <v>11974</v>
      </c>
      <c r="S84" s="200">
        <f t="shared" ref="S84" si="1003">SUM(S79:S83)</f>
        <v>12386</v>
      </c>
      <c r="T84" s="200">
        <f t="shared" ref="T84" si="1004">SUM(T79:T83)</f>
        <v>50755</v>
      </c>
      <c r="U84" s="155"/>
      <c r="V84" s="200">
        <f t="shared" ref="V84" si="1005">SUM(V79:V83)</f>
        <v>9914</v>
      </c>
      <c r="W84" s="200">
        <f t="shared" ref="W84" si="1006">SUM(W79:W83)</f>
        <v>9310</v>
      </c>
      <c r="X84" s="200">
        <f t="shared" ref="X84" si="1007">SUM(X79:X83)</f>
        <v>9228</v>
      </c>
      <c r="Y84" s="200">
        <f t="shared" ref="Y84" si="1008">SUM(Y79:Y83)</f>
        <v>10570</v>
      </c>
      <c r="Z84" s="200">
        <f t="shared" ref="Z84" si="1009">SUM(Z79:Z83)</f>
        <v>39022</v>
      </c>
      <c r="AA84" s="155"/>
      <c r="AB84" s="200">
        <f t="shared" ref="AB84" si="1010">SUM(AB79:AB83)</f>
        <v>11191</v>
      </c>
      <c r="AC84" s="200">
        <f t="shared" ref="AC84" si="1011">SUM(AC79:AC83)</f>
        <v>12193</v>
      </c>
      <c r="AD84" s="200">
        <f t="shared" ref="AD84" si="1012">SUM(AD79:AD83)</f>
        <v>11707</v>
      </c>
      <c r="AE84" s="200">
        <f t="shared" ref="AE84" si="1013">SUM(AE79:AE83)</f>
        <v>13097</v>
      </c>
      <c r="AF84" s="200">
        <f t="shared" ref="AF84" si="1014">SUM(AF79:AF83)</f>
        <v>48188</v>
      </c>
      <c r="AG84" s="155"/>
      <c r="AH84" s="200">
        <f t="shared" ref="AH84" si="1015">SUM(AH79:AH83)</f>
        <v>12886</v>
      </c>
      <c r="AI84" s="200">
        <f t="shared" ref="AI84" si="1016">SUM(AI79:AI83)</f>
        <v>13539</v>
      </c>
      <c r="AJ84" s="200">
        <f t="shared" ref="AJ84" si="1017">SUM(AJ79:AJ83)</f>
        <v>14278</v>
      </c>
      <c r="AK84" s="200">
        <f t="shared" ref="AK84" si="1018">SUM(AK79:AK83)</f>
        <v>15871</v>
      </c>
      <c r="AL84" s="200">
        <f t="shared" ref="AL84" si="1019">SUM(AL79:AL83)</f>
        <v>56574</v>
      </c>
      <c r="AM84" s="155"/>
      <c r="AN84" s="200">
        <f t="shared" ref="AN84" si="1020">SUM(AN79:AN83)</f>
        <v>15099</v>
      </c>
      <c r="AO84" s="200">
        <f t="shared" ref="AO84" si="1021">SUM(AO79:AO83)</f>
        <v>16545</v>
      </c>
      <c r="AP84" s="200">
        <f t="shared" ref="AP84" si="1022">SUM(AP79:AP83)</f>
        <v>15988</v>
      </c>
      <c r="AQ84" s="200">
        <f t="shared" ref="AQ84" si="1023">SUM(AQ79:AQ83)</f>
        <v>16237</v>
      </c>
      <c r="AR84" s="200">
        <f t="shared" ref="AR84" si="1024">SUM(AR79:AR83)</f>
        <v>63869</v>
      </c>
      <c r="AS84" s="155"/>
      <c r="AT84" s="200">
        <f t="shared" ref="AT84:AX84" si="1025">SUM(AT79:AT83)</f>
        <v>14960</v>
      </c>
      <c r="AU84" s="200">
        <f t="shared" si="1025"/>
        <v>15840</v>
      </c>
      <c r="AV84" s="311">
        <f t="shared" si="1025"/>
        <v>15231</v>
      </c>
      <c r="AW84" s="200">
        <f t="shared" si="1025"/>
        <v>15812.599999999999</v>
      </c>
      <c r="AX84" s="200">
        <f t="shared" si="1025"/>
        <v>61843.599999999984</v>
      </c>
      <c r="AY84" s="200"/>
      <c r="AZ84" s="200">
        <f t="shared" ref="AZ84:BD84" si="1026">SUM(AZ79:AZ83)</f>
        <v>14513.1</v>
      </c>
      <c r="BA84" s="200">
        <f t="shared" si="1026"/>
        <v>15556.75</v>
      </c>
      <c r="BB84" s="200">
        <f t="shared" si="1026"/>
        <v>15263.140000000001</v>
      </c>
      <c r="BC84" s="200">
        <f t="shared" si="1026"/>
        <v>16035.202000000001</v>
      </c>
      <c r="BD84" s="200">
        <f t="shared" si="1026"/>
        <v>61368.192000000003</v>
      </c>
      <c r="BE84" s="200"/>
      <c r="BF84" s="200">
        <f t="shared" ref="BF84:BJ84" si="1027">SUM(BF79:BF83)</f>
        <v>15199.025000000003</v>
      </c>
      <c r="BG84" s="200">
        <f t="shared" si="1027"/>
        <v>16291.806</v>
      </c>
      <c r="BH84" s="200">
        <f t="shared" si="1027"/>
        <v>15982.658600000002</v>
      </c>
      <c r="BI84" s="200">
        <f t="shared" si="1027"/>
        <v>16787.549480000005</v>
      </c>
      <c r="BJ84" s="200">
        <f t="shared" si="1027"/>
        <v>64261.039080000002</v>
      </c>
      <c r="BK84" s="200"/>
      <c r="BL84" s="200">
        <f t="shared" ref="BL84:BP84" si="1028">SUM(BL79:BL83)</f>
        <v>15820.402360000004</v>
      </c>
      <c r="BM84" s="200">
        <f t="shared" si="1028"/>
        <v>16961.505495000001</v>
      </c>
      <c r="BN84" s="200">
        <f t="shared" si="1028"/>
        <v>16637.860969000001</v>
      </c>
      <c r="BO84" s="200">
        <f t="shared" si="1028"/>
        <v>17479.690799200001</v>
      </c>
      <c r="BP84" s="200">
        <f t="shared" si="1028"/>
        <v>66899.459623199989</v>
      </c>
      <c r="BQ84" s="200"/>
      <c r="BR84" s="200">
        <f t="shared" ref="BR84:BV84" si="1029">SUM(BR79:BR83)</f>
        <v>16468.267280600001</v>
      </c>
      <c r="BS84" s="200">
        <f t="shared" si="1029"/>
        <v>17659.897440150002</v>
      </c>
      <c r="BT84" s="200">
        <f t="shared" si="1029"/>
        <v>17321.065007509998</v>
      </c>
      <c r="BU84" s="200">
        <f t="shared" si="1029"/>
        <v>18201.644636768</v>
      </c>
      <c r="BV84" s="200">
        <f t="shared" si="1029"/>
        <v>69650.874365028008</v>
      </c>
      <c r="BW84" s="200"/>
      <c r="BX84" s="200">
        <f t="shared" ref="BX84:CB84" si="1030">SUM(BX79:BX83)</f>
        <v>17143.787364868</v>
      </c>
      <c r="BY84" s="200">
        <f t="shared" si="1030"/>
        <v>18388.252297855499</v>
      </c>
      <c r="BZ84" s="200">
        <f t="shared" si="1030"/>
        <v>18033.507676372901</v>
      </c>
      <c r="CA84" s="200">
        <f t="shared" si="1030"/>
        <v>18954.73870690072</v>
      </c>
      <c r="CB84" s="200">
        <f t="shared" si="1030"/>
        <v>72520.286045997127</v>
      </c>
      <c r="CC84" s="200"/>
      <c r="CD84" s="200">
        <f t="shared" ref="CD84:CH84" si="1031">SUM(CD79:CD83)</f>
        <v>17848.183071904707</v>
      </c>
      <c r="CE84" s="200">
        <f t="shared" si="1031"/>
        <v>19147.898262417737</v>
      </c>
      <c r="CF84" s="200">
        <f t="shared" si="1031"/>
        <v>18776.482021070598</v>
      </c>
      <c r="CG84" s="200">
        <f t="shared" si="1031"/>
        <v>19740.361379605787</v>
      </c>
      <c r="CH84" s="200">
        <f t="shared" si="1031"/>
        <v>75512.924734998829</v>
      </c>
      <c r="CI84" s="200"/>
      <c r="CJ84" s="200">
        <f t="shared" ref="CJ84:CN84" si="1032">SUM(CJ79:CJ83)</f>
        <v>18582.730160137802</v>
      </c>
      <c r="CK84" s="200">
        <f t="shared" si="1032"/>
        <v>19940.223937213934</v>
      </c>
      <c r="CL84" s="200">
        <f t="shared" si="1032"/>
        <v>19551.339767165697</v>
      </c>
      <c r="CM84" s="200">
        <f t="shared" si="1032"/>
        <v>20559.964506302727</v>
      </c>
      <c r="CN84" s="200">
        <f t="shared" si="1032"/>
        <v>78634.258370820171</v>
      </c>
      <c r="CO84" s="239"/>
    </row>
    <row r="85" spans="2:93" s="137" customFormat="1" ht="18" customHeight="1" x14ac:dyDescent="0.25">
      <c r="B85" s="136"/>
      <c r="C85" s="419"/>
      <c r="D85" s="419"/>
      <c r="E85" s="419"/>
      <c r="F85" s="419"/>
      <c r="G85" s="419"/>
      <c r="H85" s="419"/>
      <c r="I85" s="419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264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67"/>
      <c r="BP85" s="67"/>
      <c r="BQ85" s="67"/>
      <c r="BR85" s="67"/>
      <c r="BS85" s="67"/>
      <c r="BT85" s="67"/>
      <c r="BU85" s="67"/>
      <c r="BV85" s="67"/>
      <c r="BW85" s="67"/>
      <c r="BX85" s="67"/>
      <c r="BY85" s="67"/>
      <c r="BZ85" s="67"/>
      <c r="CA85" s="67"/>
      <c r="CB85" s="67"/>
      <c r="CC85" s="67"/>
      <c r="CD85" s="67"/>
      <c r="CE85" s="67"/>
      <c r="CF85" s="67"/>
      <c r="CG85" s="67"/>
      <c r="CH85" s="67"/>
      <c r="CI85" s="67"/>
      <c r="CJ85" s="67"/>
      <c r="CK85" s="67"/>
      <c r="CL85" s="67"/>
      <c r="CM85" s="67"/>
      <c r="CN85" s="67"/>
      <c r="CO85" s="239"/>
    </row>
    <row r="86" spans="2:93" s="137" customFormat="1" ht="18" customHeight="1" x14ac:dyDescent="0.25">
      <c r="B86" s="386" t="s">
        <v>390</v>
      </c>
      <c r="C86" s="419"/>
      <c r="D86" s="419"/>
      <c r="E86" s="419"/>
      <c r="F86" s="419"/>
      <c r="G86" s="419"/>
      <c r="H86" s="419"/>
      <c r="I86" s="419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264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7"/>
      <c r="CE86" s="67"/>
      <c r="CF86" s="67"/>
      <c r="CG86" s="67"/>
      <c r="CH86" s="67"/>
      <c r="CI86" s="67"/>
      <c r="CJ86" s="67"/>
      <c r="CK86" s="67"/>
      <c r="CL86" s="67"/>
      <c r="CM86" s="67"/>
      <c r="CN86" s="67"/>
      <c r="CO86" s="239"/>
    </row>
    <row r="87" spans="2:93" s="137" customFormat="1" ht="18" customHeight="1" x14ac:dyDescent="0.25">
      <c r="B87" s="31" t="s">
        <v>372</v>
      </c>
      <c r="C87" s="419"/>
      <c r="D87" s="419"/>
      <c r="E87" s="419"/>
      <c r="F87" s="419"/>
      <c r="G87" s="419"/>
      <c r="H87" s="419"/>
      <c r="I87" s="419"/>
      <c r="J87" s="67">
        <f t="shared" ref="J87:N92" si="1033">J79/D79-1</f>
        <v>0.38463414634146331</v>
      </c>
      <c r="K87" s="67">
        <f t="shared" si="1033"/>
        <v>0.24460576729179273</v>
      </c>
      <c r="L87" s="67">
        <f t="shared" si="1033"/>
        <v>0.16311911584117889</v>
      </c>
      <c r="M87" s="67">
        <f t="shared" si="1033"/>
        <v>7.7431539187913234E-2</v>
      </c>
      <c r="N87" s="67">
        <f t="shared" si="1033"/>
        <v>0.2077442827442828</v>
      </c>
      <c r="O87" s="67"/>
      <c r="P87" s="67">
        <f t="shared" ref="P87:T92" si="1034">P79/J79-1</f>
        <v>3.4525277435265123E-2</v>
      </c>
      <c r="Q87" s="67">
        <f t="shared" si="1034"/>
        <v>4.7796500324044144E-2</v>
      </c>
      <c r="R87" s="67">
        <f t="shared" si="1034"/>
        <v>-6.9329579447474976E-2</v>
      </c>
      <c r="S87" s="67">
        <f t="shared" si="1034"/>
        <v>-0.12007011393514466</v>
      </c>
      <c r="T87" s="67">
        <f t="shared" si="1034"/>
        <v>-2.530447131729574E-2</v>
      </c>
      <c r="U87" s="67"/>
      <c r="V87" s="67">
        <f t="shared" ref="V87:Z92" si="1035">V79/P79-1</f>
        <v>-0.26681423463306653</v>
      </c>
      <c r="W87" s="67">
        <f t="shared" si="1035"/>
        <v>-0.37405288387196534</v>
      </c>
      <c r="X87" s="67">
        <f t="shared" si="1035"/>
        <v>-0.23312535450935901</v>
      </c>
      <c r="Y87" s="67">
        <f t="shared" si="1035"/>
        <v>-0.10199203187250994</v>
      </c>
      <c r="Z87" s="67">
        <f t="shared" si="1035"/>
        <v>-0.25303545410393391</v>
      </c>
      <c r="AA87" s="67"/>
      <c r="AB87" s="67">
        <f t="shared" ref="AB87:AF92" si="1036">AB79/V79-1</f>
        <v>0.26776590803529965</v>
      </c>
      <c r="AC87" s="67">
        <f t="shared" si="1036"/>
        <v>0.3972332015810276</v>
      </c>
      <c r="AD87" s="67">
        <f t="shared" si="1036"/>
        <v>0.29561143984220917</v>
      </c>
      <c r="AE87" s="67">
        <f t="shared" si="1036"/>
        <v>0.27240461401952087</v>
      </c>
      <c r="AF87" s="67">
        <f t="shared" si="1036"/>
        <v>0.30665563305355237</v>
      </c>
      <c r="AG87" s="67"/>
      <c r="AH87" s="67">
        <f t="shared" ref="AH87:AL92" si="1037">AH79/AB79-1</f>
        <v>0.12016852903462172</v>
      </c>
      <c r="AI87" s="67">
        <f t="shared" si="1037"/>
        <v>6.6654879773691667E-2</v>
      </c>
      <c r="AJ87" s="67">
        <f t="shared" si="1037"/>
        <v>0.19429115128449093</v>
      </c>
      <c r="AK87" s="67">
        <f t="shared" si="1037"/>
        <v>0.1933403068340307</v>
      </c>
      <c r="AL87" s="67">
        <f t="shared" si="1037"/>
        <v>0.14308332579390215</v>
      </c>
      <c r="AM87" s="67"/>
      <c r="AN87" s="67">
        <f t="shared" ref="AN87:AR92" si="1038">AN79/AH79-1</f>
        <v>0.10318887980376124</v>
      </c>
      <c r="AO87" s="67">
        <f t="shared" si="1038"/>
        <v>0.18581137079396659</v>
      </c>
      <c r="AP87" s="67">
        <f t="shared" si="1038"/>
        <v>0.11520076481835573</v>
      </c>
      <c r="AQ87" s="67">
        <f t="shared" si="1038"/>
        <v>-4.76260043827611E-2</v>
      </c>
      <c r="AR87" s="67">
        <f t="shared" si="1038"/>
        <v>8.5044916696347395E-2</v>
      </c>
      <c r="AS87" s="67"/>
      <c r="AT87" s="67">
        <f t="shared" ref="AT87:AX92" si="1039">AT79/AN79-1</f>
        <v>-4.7731989327008617E-2</v>
      </c>
      <c r="AU87" s="67">
        <f t="shared" si="1039"/>
        <v>-6.5837293821638276E-2</v>
      </c>
      <c r="AV87" s="264">
        <f t="shared" si="1039"/>
        <v>-9.3441920274324852E-2</v>
      </c>
      <c r="AW87" s="67">
        <f t="shared" si="1039"/>
        <v>-7.3431507899984649E-2</v>
      </c>
      <c r="AX87" s="67">
        <f t="shared" si="1039"/>
        <v>-7.023488219417906E-2</v>
      </c>
      <c r="AY87" s="67"/>
      <c r="AZ87" s="67">
        <f t="shared" ref="AZ87:BD92" si="1040">AZ79/AT79-1</f>
        <v>-8.7826899128268909E-2</v>
      </c>
      <c r="BA87" s="67">
        <f t="shared" si="1040"/>
        <v>-9.4830166093071933E-2</v>
      </c>
      <c r="BB87" s="67">
        <f t="shared" si="1040"/>
        <v>-5.6185973207249829E-2</v>
      </c>
      <c r="BC87" s="67">
        <f t="shared" si="1040"/>
        <v>-2.8140986374848964E-2</v>
      </c>
      <c r="BD87" s="67">
        <f t="shared" si="1040"/>
        <v>-6.7645132059484636E-2</v>
      </c>
      <c r="BE87" s="67"/>
      <c r="BF87" s="67">
        <f t="shared" ref="BF87:BJ92" si="1041">BF79/AZ79-1</f>
        <v>4.9786682139322247E-2</v>
      </c>
      <c r="BG87" s="67">
        <f t="shared" si="1041"/>
        <v>4.9793362813572051E-2</v>
      </c>
      <c r="BH87" s="67">
        <f t="shared" si="1041"/>
        <v>4.9791266594305883E-2</v>
      </c>
      <c r="BI87" s="67">
        <f t="shared" si="1041"/>
        <v>4.9787064418975513E-2</v>
      </c>
      <c r="BJ87" s="67">
        <f t="shared" si="1041"/>
        <v>4.9789631969545445E-2</v>
      </c>
      <c r="BK87" s="67"/>
      <c r="BL87" s="67">
        <f t="shared" ref="BL87:BP92" si="1042">BL79/BF79-1</f>
        <v>3.394918183089124E-2</v>
      </c>
      <c r="BM87" s="67">
        <f t="shared" si="1042"/>
        <v>3.3954196249485591E-2</v>
      </c>
      <c r="BN87" s="67">
        <f t="shared" si="1042"/>
        <v>3.4082837907160934E-2</v>
      </c>
      <c r="BO87" s="67">
        <f t="shared" si="1042"/>
        <v>3.4180843885992074E-2</v>
      </c>
      <c r="BP87" s="67">
        <f t="shared" si="1042"/>
        <v>3.4041350851831575E-2</v>
      </c>
      <c r="BQ87" s="67"/>
      <c r="BR87" s="67">
        <f t="shared" ref="BR87:BV92" si="1043">BR79/BL79-1</f>
        <v>3.3977009706063432E-2</v>
      </c>
      <c r="BS87" s="67">
        <f t="shared" si="1043"/>
        <v>3.3981886412156825E-2</v>
      </c>
      <c r="BT87" s="67">
        <f t="shared" si="1043"/>
        <v>3.4110815174117626E-2</v>
      </c>
      <c r="BU87" s="67">
        <f t="shared" si="1043"/>
        <v>3.4209075959382051E-2</v>
      </c>
      <c r="BV87" s="67">
        <f t="shared" si="1043"/>
        <v>3.4069290128604601E-2</v>
      </c>
      <c r="BW87" s="67"/>
      <c r="BX87" s="67">
        <f t="shared" ref="BX87:CB92" si="1044">BX79/BR79-1</f>
        <v>3.4004737779407046E-2</v>
      </c>
      <c r="BY87" s="67">
        <f t="shared" si="1044"/>
        <v>3.4009481069365854E-2</v>
      </c>
      <c r="BZ87" s="67">
        <f t="shared" si="1044"/>
        <v>3.4138688459305788E-2</v>
      </c>
      <c r="CA87" s="67">
        <f t="shared" si="1044"/>
        <v>3.4237195640708817E-2</v>
      </c>
      <c r="CB87" s="67">
        <f t="shared" si="1044"/>
        <v>3.4097126587097071E-2</v>
      </c>
      <c r="CC87" s="67"/>
      <c r="CD87" s="67">
        <f t="shared" ref="CD87:CH92" si="1045">CD79/BX79-1</f>
        <v>3.4032369335075474E-2</v>
      </c>
      <c r="CE87" s="67">
        <f t="shared" si="1045"/>
        <v>3.4036983375223206E-2</v>
      </c>
      <c r="CF87" s="67">
        <f t="shared" si="1045"/>
        <v>3.4166460980243007E-2</v>
      </c>
      <c r="CG87" s="67">
        <f t="shared" si="1045"/>
        <v>3.4265206253654368E-2</v>
      </c>
      <c r="CH87" s="67">
        <f t="shared" si="1045"/>
        <v>3.4124863469241706E-2</v>
      </c>
      <c r="CI87" s="67"/>
      <c r="CJ87" s="67">
        <f t="shared" ref="CJ87:CN92" si="1046">CJ79/CD79-1</f>
        <v>3.4059907524212951E-2</v>
      </c>
      <c r="CK87" s="67">
        <f t="shared" si="1046"/>
        <v>3.4064396354520854E-2</v>
      </c>
      <c r="CL87" s="67">
        <f t="shared" si="1046"/>
        <v>3.4194135822833038E-2</v>
      </c>
      <c r="CM87" s="67">
        <f t="shared" si="1046"/>
        <v>3.4293110987011488E-2</v>
      </c>
      <c r="CN87" s="67">
        <f t="shared" si="1046"/>
        <v>3.4152503884794072E-2</v>
      </c>
      <c r="CO87" s="239"/>
    </row>
    <row r="88" spans="2:93" s="137" customFormat="1" ht="18" customHeight="1" x14ac:dyDescent="0.25">
      <c r="B88" s="31" t="s">
        <v>402</v>
      </c>
      <c r="C88" s="419"/>
      <c r="D88" s="419"/>
      <c r="E88" s="419"/>
      <c r="F88" s="419"/>
      <c r="G88" s="419"/>
      <c r="H88" s="419"/>
      <c r="I88" s="419"/>
      <c r="J88" s="67">
        <f t="shared" si="1033"/>
        <v>0.31118682566723455</v>
      </c>
      <c r="K88" s="67">
        <f t="shared" si="1033"/>
        <v>0.37581699346405228</v>
      </c>
      <c r="L88" s="67">
        <f t="shared" si="1033"/>
        <v>0.34867075664621683</v>
      </c>
      <c r="M88" s="67">
        <f t="shared" si="1033"/>
        <v>0.21187175043327566</v>
      </c>
      <c r="N88" s="67">
        <f t="shared" si="1033"/>
        <v>0.30644956112453881</v>
      </c>
      <c r="O88" s="67"/>
      <c r="P88" s="67">
        <f t="shared" si="1034"/>
        <v>0.1918579471632742</v>
      </c>
      <c r="Q88" s="67">
        <f t="shared" si="1034"/>
        <v>0.11599366587490101</v>
      </c>
      <c r="R88" s="67">
        <f t="shared" si="1034"/>
        <v>-0.12433661865049284</v>
      </c>
      <c r="S88" s="67">
        <f t="shared" si="1034"/>
        <v>-0.14372542009295675</v>
      </c>
      <c r="T88" s="67">
        <f t="shared" si="1034"/>
        <v>5.8422590068163416E-4</v>
      </c>
      <c r="U88" s="67"/>
      <c r="V88" s="67">
        <f t="shared" si="1035"/>
        <v>-0.24273255813953487</v>
      </c>
      <c r="W88" s="67">
        <f t="shared" si="1035"/>
        <v>-0.35225257183398373</v>
      </c>
      <c r="X88" s="67">
        <f t="shared" si="1035"/>
        <v>-0.21385281385281385</v>
      </c>
      <c r="Y88" s="67">
        <f t="shared" si="1035"/>
        <v>-8.9770354906054228E-2</v>
      </c>
      <c r="Z88" s="67">
        <f t="shared" si="1035"/>
        <v>-0.23063448812767617</v>
      </c>
      <c r="AA88" s="67"/>
      <c r="AB88" s="67">
        <f t="shared" si="1036"/>
        <v>4.5105566218810011E-2</v>
      </c>
      <c r="AC88" s="67">
        <f t="shared" si="1036"/>
        <v>0.39485213581599132</v>
      </c>
      <c r="AD88" s="67">
        <f t="shared" si="1036"/>
        <v>0.30286343612334798</v>
      </c>
      <c r="AE88" s="67">
        <f t="shared" si="1036"/>
        <v>0.24724770642201843</v>
      </c>
      <c r="AF88" s="67">
        <f t="shared" si="1036"/>
        <v>0.24082974955729819</v>
      </c>
      <c r="AG88" s="67"/>
      <c r="AH88" s="67">
        <f t="shared" si="1037"/>
        <v>0.29935720844811753</v>
      </c>
      <c r="AI88" s="67">
        <f t="shared" si="1037"/>
        <v>0.16254416961130747</v>
      </c>
      <c r="AJ88" s="67">
        <f t="shared" si="1037"/>
        <v>0.30473372781065078</v>
      </c>
      <c r="AK88" s="67">
        <f t="shared" si="1037"/>
        <v>0.26369988966531821</v>
      </c>
      <c r="AL88" s="67">
        <f t="shared" si="1037"/>
        <v>0.25524974515800203</v>
      </c>
      <c r="AM88" s="67"/>
      <c r="AN88" s="67">
        <f t="shared" si="1038"/>
        <v>0.21095406360424018</v>
      </c>
      <c r="AO88" s="67">
        <f t="shared" si="1038"/>
        <v>0.20330969267139487</v>
      </c>
      <c r="AP88" s="67">
        <f t="shared" si="1038"/>
        <v>8.5519922254616132E-2</v>
      </c>
      <c r="AQ88" s="67">
        <f t="shared" si="1038"/>
        <v>-5.646100116414432E-2</v>
      </c>
      <c r="AR88" s="67">
        <f t="shared" si="1038"/>
        <v>0.10305343511450382</v>
      </c>
      <c r="AS88" s="67"/>
      <c r="AT88" s="67">
        <f t="shared" si="1039"/>
        <v>-6.8281295593813796E-2</v>
      </c>
      <c r="AU88" s="67">
        <f t="shared" si="1039"/>
        <v>-0.10019646365422397</v>
      </c>
      <c r="AV88" s="264">
        <f t="shared" si="1039"/>
        <v>-9.6389137570874417E-2</v>
      </c>
      <c r="AW88" s="67">
        <f t="shared" si="1039"/>
        <v>-7.7390499691548431E-2</v>
      </c>
      <c r="AX88" s="67">
        <f t="shared" si="1039"/>
        <v>-8.5761613781933366E-2</v>
      </c>
      <c r="AY88" s="67"/>
      <c r="AZ88" s="67">
        <f t="shared" si="1040"/>
        <v>-9.48324459755715E-2</v>
      </c>
      <c r="BA88" s="67">
        <f t="shared" si="1040"/>
        <v>-3.0879600748596414E-2</v>
      </c>
      <c r="BB88" s="67">
        <f t="shared" si="1040"/>
        <v>2.273447820343466E-2</v>
      </c>
      <c r="BC88" s="67">
        <f t="shared" si="1040"/>
        <v>2.7000768947878839E-2</v>
      </c>
      <c r="BD88" s="67">
        <f t="shared" si="1040"/>
        <v>-2.0308903938605516E-2</v>
      </c>
      <c r="BE88" s="67"/>
      <c r="BF88" s="67">
        <f t="shared" si="1041"/>
        <v>3.889281018614632E-2</v>
      </c>
      <c r="BG88" s="67">
        <f t="shared" si="1041"/>
        <v>3.8970067589314539E-2</v>
      </c>
      <c r="BH88" s="67">
        <f t="shared" si="1041"/>
        <v>3.8966688624533452E-2</v>
      </c>
      <c r="BI88" s="67">
        <f t="shared" si="1041"/>
        <v>3.8958286537611464E-2</v>
      </c>
      <c r="BJ88" s="67">
        <f t="shared" si="1041"/>
        <v>3.8947879080400094E-2</v>
      </c>
      <c r="BK88" s="67"/>
      <c r="BL88" s="67">
        <f t="shared" si="1042"/>
        <v>3.893425981679921E-2</v>
      </c>
      <c r="BM88" s="67">
        <f t="shared" si="1042"/>
        <v>3.9008698669177999E-2</v>
      </c>
      <c r="BN88" s="67">
        <f t="shared" si="1042"/>
        <v>3.9005443209315427E-2</v>
      </c>
      <c r="BO88" s="67">
        <f t="shared" si="1042"/>
        <v>3.8997348136218024E-2</v>
      </c>
      <c r="BP88" s="67">
        <f t="shared" si="1042"/>
        <v>3.898732078790057E-2</v>
      </c>
      <c r="BQ88" s="67"/>
      <c r="BR88" s="67">
        <f t="shared" si="1043"/>
        <v>3.8974198633714652E-2</v>
      </c>
      <c r="BS88" s="67">
        <f t="shared" si="1043"/>
        <v>3.9045916235261657E-2</v>
      </c>
      <c r="BT88" s="67">
        <f t="shared" si="1043"/>
        <v>3.9042779999676869E-2</v>
      </c>
      <c r="BU88" s="67">
        <f t="shared" si="1043"/>
        <v>3.9034981306178995E-2</v>
      </c>
      <c r="BV88" s="67">
        <f t="shared" si="1043"/>
        <v>3.9025320914088057E-2</v>
      </c>
      <c r="BW88" s="67"/>
      <c r="BX88" s="67">
        <f t="shared" si="1044"/>
        <v>3.90126786905447E-2</v>
      </c>
      <c r="BY88" s="67">
        <f t="shared" si="1044"/>
        <v>3.9081769390716614E-2</v>
      </c>
      <c r="BZ88" s="67">
        <f t="shared" si="1044"/>
        <v>3.9078748229862681E-2</v>
      </c>
      <c r="CA88" s="67">
        <f t="shared" si="1044"/>
        <v>3.90712356069014E-2</v>
      </c>
      <c r="CB88" s="67">
        <f t="shared" si="1044"/>
        <v>3.9061929419530905E-2</v>
      </c>
      <c r="CC88" s="67"/>
      <c r="CD88" s="67">
        <f t="shared" si="1045"/>
        <v>3.9049750470129263E-2</v>
      </c>
      <c r="CE88" s="67">
        <f t="shared" si="1045"/>
        <v>3.911630572652447E-2</v>
      </c>
      <c r="CF88" s="67">
        <f t="shared" si="1045"/>
        <v>3.9113395619237989E-2</v>
      </c>
      <c r="CG88" s="67">
        <f t="shared" si="1045"/>
        <v>3.9106159076229163E-2</v>
      </c>
      <c r="CH88" s="67">
        <f t="shared" si="1045"/>
        <v>3.9097194735069118E-2</v>
      </c>
      <c r="CI88" s="67"/>
      <c r="CJ88" s="67">
        <f t="shared" si="1046"/>
        <v>3.9085462915090963E-2</v>
      </c>
      <c r="CK88" s="67">
        <f t="shared" si="1046"/>
        <v>3.9149571353461088E-2</v>
      </c>
      <c r="CL88" s="67">
        <f t="shared" si="1046"/>
        <v>3.9146768404199506E-2</v>
      </c>
      <c r="CM88" s="67">
        <f t="shared" si="1046"/>
        <v>3.9139798262224135E-2</v>
      </c>
      <c r="CN88" s="67">
        <f t="shared" si="1046"/>
        <v>3.9131163793430623E-2</v>
      </c>
      <c r="CO88" s="239"/>
    </row>
    <row r="89" spans="2:93" s="137" customFormat="1" ht="18" customHeight="1" x14ac:dyDescent="0.25">
      <c r="B89" s="31" t="s">
        <v>373</v>
      </c>
      <c r="C89" s="419"/>
      <c r="D89" s="419"/>
      <c r="E89" s="419"/>
      <c r="F89" s="419"/>
      <c r="G89" s="419"/>
      <c r="H89" s="419"/>
      <c r="I89" s="419"/>
      <c r="J89" s="67">
        <f t="shared" si="1033"/>
        <v>0.26184719535783363</v>
      </c>
      <c r="K89" s="67">
        <f t="shared" si="1033"/>
        <v>0.20050335570469802</v>
      </c>
      <c r="L89" s="67">
        <f t="shared" si="1033"/>
        <v>0.14820173625465061</v>
      </c>
      <c r="M89" s="67">
        <f t="shared" si="1033"/>
        <v>0.1147163120567376</v>
      </c>
      <c r="N89" s="67">
        <f t="shared" si="1033"/>
        <v>0.17557527602930545</v>
      </c>
      <c r="O89" s="67"/>
      <c r="P89" s="67">
        <f t="shared" si="1034"/>
        <v>-1.7244682889442364E-3</v>
      </c>
      <c r="Q89" s="67">
        <f t="shared" si="1034"/>
        <v>-4.1579315164220865E-2</v>
      </c>
      <c r="R89" s="67">
        <f t="shared" si="1034"/>
        <v>-1.8541854185418538E-2</v>
      </c>
      <c r="S89" s="67">
        <f t="shared" si="1034"/>
        <v>-5.3761730555113685E-2</v>
      </c>
      <c r="T89" s="67">
        <f t="shared" si="1034"/>
        <v>-3.0195303928022832E-2</v>
      </c>
      <c r="U89" s="67"/>
      <c r="V89" s="67">
        <f t="shared" si="1035"/>
        <v>-0.1652591170825336</v>
      </c>
      <c r="W89" s="67">
        <f t="shared" si="1035"/>
        <v>-0.24371126503827922</v>
      </c>
      <c r="X89" s="67">
        <f t="shared" si="1035"/>
        <v>-0.23679383712399116</v>
      </c>
      <c r="Y89" s="67">
        <f t="shared" si="1035"/>
        <v>-0.19129265422760122</v>
      </c>
      <c r="Z89" s="67">
        <f t="shared" si="1035"/>
        <v>-0.20939494048965923</v>
      </c>
      <c r="AA89" s="67"/>
      <c r="AB89" s="67">
        <f t="shared" si="1036"/>
        <v>3.6330190848471E-2</v>
      </c>
      <c r="AC89" s="67">
        <f t="shared" si="1036"/>
        <v>0.19908411665461556</v>
      </c>
      <c r="AD89" s="67">
        <f t="shared" si="1036"/>
        <v>0.22013938956981494</v>
      </c>
      <c r="AE89" s="67">
        <f t="shared" si="1036"/>
        <v>0.19060486385366859</v>
      </c>
      <c r="AF89" s="67">
        <f t="shared" si="1036"/>
        <v>0.16124785346307946</v>
      </c>
      <c r="AG89" s="67"/>
      <c r="AH89" s="67">
        <f t="shared" si="1037"/>
        <v>0.1178167295318393</v>
      </c>
      <c r="AI89" s="67">
        <f t="shared" si="1037"/>
        <v>0.14673366834170865</v>
      </c>
      <c r="AJ89" s="67">
        <f t="shared" si="1037"/>
        <v>0.21843608430175299</v>
      </c>
      <c r="AK89" s="67">
        <f t="shared" si="1037"/>
        <v>0.19116620111731852</v>
      </c>
      <c r="AL89" s="67">
        <f t="shared" si="1037"/>
        <v>0.17079903386405082</v>
      </c>
      <c r="AM89" s="67"/>
      <c r="AN89" s="67">
        <f t="shared" si="1038"/>
        <v>0.24136562127828509</v>
      </c>
      <c r="AO89" s="67">
        <f t="shared" si="1038"/>
        <v>0.2653812445223489</v>
      </c>
      <c r="AP89" s="67">
        <f t="shared" si="1038"/>
        <v>0.10879405108309093</v>
      </c>
      <c r="AQ89" s="67">
        <f t="shared" si="1038"/>
        <v>0.12399237871903845</v>
      </c>
      <c r="AR89" s="67">
        <f t="shared" si="1038"/>
        <v>0.1788901987201077</v>
      </c>
      <c r="AS89" s="67"/>
      <c r="AT89" s="67">
        <f t="shared" si="1039"/>
        <v>6.8276303165973884E-2</v>
      </c>
      <c r="AU89" s="67">
        <f t="shared" si="1039"/>
        <v>1.6345754259592837E-2</v>
      </c>
      <c r="AV89" s="264">
        <f t="shared" si="1039"/>
        <v>4.7820381979880366E-2</v>
      </c>
      <c r="AW89" s="67">
        <f t="shared" si="1039"/>
        <v>3.3892385564842309E-2</v>
      </c>
      <c r="AX89" s="67">
        <f t="shared" si="1039"/>
        <v>4.0460008746000975E-2</v>
      </c>
      <c r="AY89" s="67"/>
      <c r="AZ89" s="67">
        <f t="shared" si="1040"/>
        <v>4.7868937430475711E-2</v>
      </c>
      <c r="BA89" s="67">
        <f t="shared" si="1040"/>
        <v>5.4078153406025953E-2</v>
      </c>
      <c r="BB89" s="67">
        <f t="shared" si="1040"/>
        <v>4.2480891394566012E-2</v>
      </c>
      <c r="BC89" s="67">
        <f t="shared" si="1040"/>
        <v>4.4512283218863802E-2</v>
      </c>
      <c r="BD89" s="67">
        <f t="shared" si="1040"/>
        <v>4.7189951772298677E-2</v>
      </c>
      <c r="BE89" s="67"/>
      <c r="BF89" s="67">
        <f t="shared" si="1041"/>
        <v>4.7423236249108047E-2</v>
      </c>
      <c r="BG89" s="67">
        <f t="shared" si="1041"/>
        <v>4.7489933750693769E-2</v>
      </c>
      <c r="BH89" s="67">
        <f t="shared" si="1041"/>
        <v>4.7294735098124985E-2</v>
      </c>
      <c r="BI89" s="67">
        <f t="shared" si="1041"/>
        <v>4.6909739249495486E-2</v>
      </c>
      <c r="BJ89" s="67">
        <f t="shared" si="1041"/>
        <v>4.7269193388311148E-2</v>
      </c>
      <c r="BK89" s="67"/>
      <c r="BL89" s="67">
        <f t="shared" si="1042"/>
        <v>4.6195301598476401E-2</v>
      </c>
      <c r="BM89" s="67">
        <f t="shared" si="1042"/>
        <v>4.6284046612820706E-2</v>
      </c>
      <c r="BN89" s="67">
        <f t="shared" si="1042"/>
        <v>4.6082832901288784E-2</v>
      </c>
      <c r="BO89" s="67">
        <f t="shared" si="1042"/>
        <v>4.5955868565007219E-2</v>
      </c>
      <c r="BP89" s="67">
        <f t="shared" si="1042"/>
        <v>4.6125208207582924E-2</v>
      </c>
      <c r="BQ89" s="67"/>
      <c r="BR89" s="67">
        <f t="shared" si="1043"/>
        <v>4.6261607199527655E-2</v>
      </c>
      <c r="BS89" s="67">
        <f t="shared" si="1043"/>
        <v>4.6348767097628807E-2</v>
      </c>
      <c r="BT89" s="67">
        <f t="shared" si="1043"/>
        <v>4.6151453301930934E-2</v>
      </c>
      <c r="BU89" s="67">
        <f t="shared" si="1043"/>
        <v>4.6032718121704175E-2</v>
      </c>
      <c r="BV89" s="67">
        <f t="shared" si="1043"/>
        <v>4.619455615547885E-2</v>
      </c>
      <c r="BW89" s="67"/>
      <c r="BX89" s="67">
        <f t="shared" si="1044"/>
        <v>4.6326647278966959E-2</v>
      </c>
      <c r="BY89" s="67">
        <f t="shared" si="1044"/>
        <v>4.6412253169834772E-2</v>
      </c>
      <c r="BZ89" s="67">
        <f t="shared" si="1044"/>
        <v>4.6218774985332223E-2</v>
      </c>
      <c r="CA89" s="67">
        <f t="shared" si="1044"/>
        <v>4.610807469221756E-2</v>
      </c>
      <c r="CB89" s="67">
        <f t="shared" si="1044"/>
        <v>4.626257501480846E-2</v>
      </c>
      <c r="CC89" s="67"/>
      <c r="CD89" s="67">
        <f t="shared" si="1045"/>
        <v>4.6390445644683309E-2</v>
      </c>
      <c r="CE89" s="67">
        <f t="shared" si="1045"/>
        <v>4.6474528049614383E-2</v>
      </c>
      <c r="CF89" s="67">
        <f t="shared" si="1045"/>
        <v>4.6284821398367537E-2</v>
      </c>
      <c r="CG89" s="67">
        <f t="shared" si="1045"/>
        <v>4.6181962796405518E-2</v>
      </c>
      <c r="CH89" s="67">
        <f t="shared" si="1045"/>
        <v>4.6329288656822953E-2</v>
      </c>
      <c r="CI89" s="67"/>
      <c r="CJ89" s="67">
        <f t="shared" si="1046"/>
        <v>4.6453025757044797E-2</v>
      </c>
      <c r="CK89" s="67">
        <f t="shared" si="1046"/>
        <v>4.6535614615788035E-2</v>
      </c>
      <c r="CL89" s="67">
        <f t="shared" si="1046"/>
        <v>4.6349615695907787E-2</v>
      </c>
      <c r="CM89" s="67">
        <f t="shared" si="1046"/>
        <v>4.6254406830596784E-2</v>
      </c>
      <c r="CN89" s="67">
        <f t="shared" si="1046"/>
        <v>4.6394720676325107E-2</v>
      </c>
      <c r="CO89" s="239"/>
    </row>
    <row r="90" spans="2:93" s="137" customFormat="1" ht="18" customHeight="1" x14ac:dyDescent="0.25">
      <c r="B90" s="31" t="s">
        <v>417</v>
      </c>
      <c r="C90" s="419"/>
      <c r="D90" s="419"/>
      <c r="E90" s="419"/>
      <c r="F90" s="419"/>
      <c r="G90" s="419"/>
      <c r="H90" s="419"/>
      <c r="I90" s="419"/>
      <c r="J90" s="67">
        <f t="shared" si="1033"/>
        <v>0.20681818181818179</v>
      </c>
      <c r="K90" s="67">
        <f t="shared" si="1033"/>
        <v>0.22186495176848875</v>
      </c>
      <c r="L90" s="67">
        <f t="shared" si="1033"/>
        <v>0.11256281407035185</v>
      </c>
      <c r="M90" s="67">
        <f t="shared" si="1033"/>
        <v>6.7970204841713233E-2</v>
      </c>
      <c r="N90" s="67">
        <f t="shared" si="1033"/>
        <v>0.14786192684183419</v>
      </c>
      <c r="O90" s="67"/>
      <c r="P90" s="67">
        <f t="shared" si="1034"/>
        <v>3.8606403013182744E-2</v>
      </c>
      <c r="Q90" s="67">
        <f t="shared" si="1034"/>
        <v>-4.29824561403509E-2</v>
      </c>
      <c r="R90" s="67">
        <f t="shared" si="1034"/>
        <v>-6.5040650406504086E-2</v>
      </c>
      <c r="S90" s="67">
        <f t="shared" si="1034"/>
        <v>-0.18134263295553621</v>
      </c>
      <c r="T90" s="67">
        <f t="shared" si="1034"/>
        <v>-6.4631956912028721E-2</v>
      </c>
      <c r="U90" s="67"/>
      <c r="V90" s="67">
        <f t="shared" si="1035"/>
        <v>-0.24750679963735267</v>
      </c>
      <c r="W90" s="67">
        <f t="shared" si="1035"/>
        <v>-0.32172318973418879</v>
      </c>
      <c r="X90" s="67">
        <f t="shared" si="1035"/>
        <v>-0.221256038647343</v>
      </c>
      <c r="Y90" s="67">
        <f t="shared" si="1035"/>
        <v>-7.4547390841320782E-3</v>
      </c>
      <c r="Z90" s="67">
        <f t="shared" si="1035"/>
        <v>-0.2063339731285988</v>
      </c>
      <c r="AA90" s="67"/>
      <c r="AB90" s="67">
        <f t="shared" si="1036"/>
        <v>0.14216867469879513</v>
      </c>
      <c r="AC90" s="67">
        <f t="shared" si="1036"/>
        <v>0.32972972972972969</v>
      </c>
      <c r="AD90" s="67">
        <f t="shared" si="1036"/>
        <v>0.24689826302729534</v>
      </c>
      <c r="AE90" s="67">
        <f t="shared" si="1036"/>
        <v>0.18025751072961382</v>
      </c>
      <c r="AF90" s="67">
        <f t="shared" si="1036"/>
        <v>0.22037484885126957</v>
      </c>
      <c r="AG90" s="67"/>
      <c r="AH90" s="67">
        <f t="shared" si="1037"/>
        <v>0.16666666666666674</v>
      </c>
      <c r="AI90" s="67">
        <f t="shared" si="1037"/>
        <v>0.19207317073170738</v>
      </c>
      <c r="AJ90" s="67">
        <f t="shared" si="1037"/>
        <v>0.29651741293532341</v>
      </c>
      <c r="AK90" s="67">
        <f t="shared" si="1037"/>
        <v>0.15999999999999992</v>
      </c>
      <c r="AL90" s="67">
        <f t="shared" si="1037"/>
        <v>0.20336883824622243</v>
      </c>
      <c r="AM90" s="67"/>
      <c r="AN90" s="67">
        <f t="shared" si="1038"/>
        <v>0.18354430379746844</v>
      </c>
      <c r="AO90" s="67">
        <f t="shared" si="1038"/>
        <v>0.18073316283034946</v>
      </c>
      <c r="AP90" s="67">
        <f t="shared" si="1038"/>
        <v>-6.8303914044512637E-2</v>
      </c>
      <c r="AQ90" s="67">
        <f t="shared" si="1038"/>
        <v>-5.8777429467084641E-2</v>
      </c>
      <c r="AR90" s="67">
        <f t="shared" si="1038"/>
        <v>5.1667352820090606E-2</v>
      </c>
      <c r="AS90" s="67"/>
      <c r="AT90" s="67">
        <f t="shared" si="1039"/>
        <v>-8.4033613445377853E-3</v>
      </c>
      <c r="AU90" s="67">
        <f t="shared" si="1039"/>
        <v>-1.2274368231046884E-2</v>
      </c>
      <c r="AV90" s="264">
        <f t="shared" si="1039"/>
        <v>7.8253706754530583E-2</v>
      </c>
      <c r="AW90" s="67">
        <f t="shared" si="1039"/>
        <v>-4.4362443882783986E-2</v>
      </c>
      <c r="AX90" s="67">
        <f t="shared" si="1039"/>
        <v>2.6855950081769997E-3</v>
      </c>
      <c r="AY90" s="67"/>
      <c r="AZ90" s="67">
        <f t="shared" si="1040"/>
        <v>-4.6446555490749497E-2</v>
      </c>
      <c r="BA90" s="67">
        <f t="shared" si="1040"/>
        <v>-2.5386395073091039E-2</v>
      </c>
      <c r="BB90" s="67">
        <f t="shared" si="1040"/>
        <v>4.2094472519063064E-3</v>
      </c>
      <c r="BC90" s="67">
        <f t="shared" si="1040"/>
        <v>3.5822621183762671E-2</v>
      </c>
      <c r="BD90" s="67">
        <f t="shared" si="1040"/>
        <v>-9.4464816228806425E-3</v>
      </c>
      <c r="BE90" s="67"/>
      <c r="BF90" s="67">
        <f t="shared" si="1041"/>
        <v>4.0578231406743548E-2</v>
      </c>
      <c r="BG90" s="67">
        <f t="shared" si="1041"/>
        <v>4.0886492806500696E-2</v>
      </c>
      <c r="BH90" s="67">
        <f t="shared" si="1041"/>
        <v>4.0834088594553064E-2</v>
      </c>
      <c r="BI90" s="67">
        <f t="shared" si="1041"/>
        <v>4.0453602894573004E-2</v>
      </c>
      <c r="BJ90" s="67">
        <f t="shared" si="1041"/>
        <v>4.0696308149134941E-2</v>
      </c>
      <c r="BK90" s="67"/>
      <c r="BL90" s="67">
        <f t="shared" si="1042"/>
        <v>3.3470782009684674E-2</v>
      </c>
      <c r="BM90" s="67">
        <f t="shared" si="1042"/>
        <v>3.3721254647277821E-2</v>
      </c>
      <c r="BN90" s="67">
        <f t="shared" si="1042"/>
        <v>3.3739600839821859E-2</v>
      </c>
      <c r="BO90" s="67">
        <f t="shared" si="1042"/>
        <v>3.3483130330366873E-2</v>
      </c>
      <c r="BP90" s="67">
        <f t="shared" si="1042"/>
        <v>3.3609144657017476E-2</v>
      </c>
      <c r="BQ90" s="67"/>
      <c r="BR90" s="67">
        <f t="shared" si="1043"/>
        <v>3.3598211570791348E-2</v>
      </c>
      <c r="BS90" s="67">
        <f t="shared" si="1043"/>
        <v>3.3841374020248338E-2</v>
      </c>
      <c r="BT90" s="67">
        <f t="shared" si="1043"/>
        <v>3.3861369113669104E-2</v>
      </c>
      <c r="BU90" s="67">
        <f t="shared" si="1043"/>
        <v>3.3613986057783318E-2</v>
      </c>
      <c r="BV90" s="67">
        <f t="shared" si="1043"/>
        <v>3.3734003966396919E-2</v>
      </c>
      <c r="BW90" s="67"/>
      <c r="BX90" s="67">
        <f t="shared" si="1044"/>
        <v>3.3722321809139144E-2</v>
      </c>
      <c r="BY90" s="67">
        <f t="shared" si="1044"/>
        <v>3.3958333496099335E-2</v>
      </c>
      <c r="BZ90" s="67">
        <f t="shared" si="1044"/>
        <v>3.3979934328960182E-2</v>
      </c>
      <c r="CA90" s="67">
        <f t="shared" si="1044"/>
        <v>3.3741439311568033E-2</v>
      </c>
      <c r="CB90" s="67">
        <f t="shared" si="1044"/>
        <v>3.3855595076264011E-2</v>
      </c>
      <c r="CC90" s="67"/>
      <c r="CD90" s="67">
        <f t="shared" si="1045"/>
        <v>3.384318303245637E-2</v>
      </c>
      <c r="CE90" s="67">
        <f t="shared" si="1045"/>
        <v>3.4072203413949786E-2</v>
      </c>
      <c r="CF90" s="67">
        <f t="shared" si="1045"/>
        <v>3.4095367191649517E-2</v>
      </c>
      <c r="CG90" s="67">
        <f t="shared" si="1045"/>
        <v>3.3865560754451129E-2</v>
      </c>
      <c r="CH90" s="67">
        <f t="shared" si="1045"/>
        <v>3.3973988582070902E-2</v>
      </c>
      <c r="CI90" s="67"/>
      <c r="CJ90" s="67">
        <f t="shared" si="1046"/>
        <v>3.3960865694935949E-2</v>
      </c>
      <c r="CK90" s="67">
        <f t="shared" si="1046"/>
        <v>3.4183053984791156E-2</v>
      </c>
      <c r="CL90" s="67">
        <f t="shared" si="1046"/>
        <v>3.4207738325682024E-2</v>
      </c>
      <c r="CM90" s="67">
        <f t="shared" si="1046"/>
        <v>3.3986421304438297E-2</v>
      </c>
      <c r="CN90" s="67">
        <f t="shared" si="1046"/>
        <v>3.408925511593508E-2</v>
      </c>
      <c r="CO90" s="239"/>
    </row>
    <row r="91" spans="2:93" s="137" customFormat="1" ht="18" customHeight="1" x14ac:dyDescent="0.25">
      <c r="B91" s="31" t="s">
        <v>415</v>
      </c>
      <c r="C91" s="419"/>
      <c r="D91" s="419"/>
      <c r="E91" s="419"/>
      <c r="F91" s="419"/>
      <c r="G91" s="419"/>
      <c r="H91" s="419"/>
      <c r="I91" s="419"/>
      <c r="J91" s="67">
        <f t="shared" si="1033"/>
        <v>-0.46153846153846156</v>
      </c>
      <c r="K91" s="67">
        <f t="shared" si="1033"/>
        <v>-1.3333333333333333</v>
      </c>
      <c r="L91" s="67">
        <f t="shared" si="1033"/>
        <v>-1.2142857142857142</v>
      </c>
      <c r="M91" s="67">
        <f t="shared" si="1033"/>
        <v>-1.48</v>
      </c>
      <c r="N91" s="67">
        <f t="shared" si="1033"/>
        <v>-1.1866666666666668</v>
      </c>
      <c r="O91" s="67"/>
      <c r="P91" s="67">
        <f t="shared" si="1034"/>
        <v>-2.1428571428571428</v>
      </c>
      <c r="Q91" s="67">
        <f t="shared" si="1034"/>
        <v>2.3333333333333335</v>
      </c>
      <c r="R91" s="67">
        <f t="shared" si="1034"/>
        <v>6</v>
      </c>
      <c r="S91" s="67">
        <f t="shared" si="1034"/>
        <v>2.25</v>
      </c>
      <c r="T91" s="67">
        <f t="shared" si="1034"/>
        <v>6.0714285714285712</v>
      </c>
      <c r="U91" s="67"/>
      <c r="V91" s="67">
        <f t="shared" si="1035"/>
        <v>-1.625</v>
      </c>
      <c r="W91" s="67">
        <f t="shared" si="1035"/>
        <v>-3.7</v>
      </c>
      <c r="X91" s="67">
        <f t="shared" si="1035"/>
        <v>-1.0238095238095237</v>
      </c>
      <c r="Y91" s="67">
        <f t="shared" si="1035"/>
        <v>-1.0769230769230769</v>
      </c>
      <c r="Z91" s="67">
        <f t="shared" si="1035"/>
        <v>-1.3636363636363638</v>
      </c>
      <c r="AA91" s="67"/>
      <c r="AB91" s="67">
        <f t="shared" si="1036"/>
        <v>-2</v>
      </c>
      <c r="AC91" s="67">
        <f t="shared" si="1036"/>
        <v>-1.037037037037037</v>
      </c>
      <c r="AD91" s="67">
        <f t="shared" si="1036"/>
        <v>13</v>
      </c>
      <c r="AE91" s="67">
        <f t="shared" si="1036"/>
        <v>3.666666666666667</v>
      </c>
      <c r="AF91" s="67">
        <f t="shared" si="1036"/>
        <v>-0.38888888888888884</v>
      </c>
      <c r="AG91" s="67"/>
      <c r="AH91" s="67">
        <f t="shared" si="1037"/>
        <v>-2.8</v>
      </c>
      <c r="AI91" s="67">
        <f t="shared" si="1037"/>
        <v>-14</v>
      </c>
      <c r="AJ91" s="67">
        <f t="shared" si="1037"/>
        <v>1.2857142857142856</v>
      </c>
      <c r="AK91" s="67">
        <f t="shared" si="1037"/>
        <v>2.0714285714285716</v>
      </c>
      <c r="AL91" s="67">
        <f t="shared" si="1037"/>
        <v>3.4090909090909092</v>
      </c>
      <c r="AM91" s="67"/>
      <c r="AN91" s="67">
        <f t="shared" si="1038"/>
        <v>-3.1111111111111112</v>
      </c>
      <c r="AO91" s="67">
        <f t="shared" si="1038"/>
        <v>-1.4615384615384617</v>
      </c>
      <c r="AP91" s="67">
        <f t="shared" si="1038"/>
        <v>-1.21875</v>
      </c>
      <c r="AQ91" s="67">
        <f t="shared" si="1038"/>
        <v>-0.81395348837209303</v>
      </c>
      <c r="AR91" s="67">
        <f t="shared" si="1038"/>
        <v>-1.2474226804123711</v>
      </c>
      <c r="AS91" s="67"/>
      <c r="AT91" s="67">
        <f t="shared" si="1039"/>
        <v>1.1052631578947367</v>
      </c>
      <c r="AU91" s="67">
        <f t="shared" si="1039"/>
        <v>2</v>
      </c>
      <c r="AV91" s="264">
        <f t="shared" si="1039"/>
        <v>1.8571428571428572</v>
      </c>
      <c r="AW91" s="67">
        <f t="shared" si="1039"/>
        <v>-1</v>
      </c>
      <c r="AX91" s="67">
        <f t="shared" si="1039"/>
        <v>2.25</v>
      </c>
      <c r="AY91" s="67"/>
      <c r="AZ91" s="67">
        <f t="shared" si="1040"/>
        <v>-1</v>
      </c>
      <c r="BA91" s="67">
        <f t="shared" si="1040"/>
        <v>-1</v>
      </c>
      <c r="BB91" s="67">
        <f t="shared" si="1040"/>
        <v>-1</v>
      </c>
      <c r="BC91" s="67" t="e">
        <f t="shared" si="1040"/>
        <v>#DIV/0!</v>
      </c>
      <c r="BD91" s="67">
        <f t="shared" si="1040"/>
        <v>-1</v>
      </c>
      <c r="BE91" s="67"/>
      <c r="BF91" s="67" t="e">
        <f t="shared" si="1041"/>
        <v>#DIV/0!</v>
      </c>
      <c r="BG91" s="67" t="e">
        <f t="shared" si="1041"/>
        <v>#DIV/0!</v>
      </c>
      <c r="BH91" s="67" t="e">
        <f t="shared" si="1041"/>
        <v>#DIV/0!</v>
      </c>
      <c r="BI91" s="67" t="e">
        <f t="shared" si="1041"/>
        <v>#DIV/0!</v>
      </c>
      <c r="BJ91" s="67" t="e">
        <f t="shared" si="1041"/>
        <v>#DIV/0!</v>
      </c>
      <c r="BK91" s="67"/>
      <c r="BL91" s="67" t="e">
        <f t="shared" si="1042"/>
        <v>#DIV/0!</v>
      </c>
      <c r="BM91" s="67" t="e">
        <f t="shared" si="1042"/>
        <v>#DIV/0!</v>
      </c>
      <c r="BN91" s="67" t="e">
        <f t="shared" si="1042"/>
        <v>#DIV/0!</v>
      </c>
      <c r="BO91" s="67" t="e">
        <f t="shared" si="1042"/>
        <v>#DIV/0!</v>
      </c>
      <c r="BP91" s="67" t="e">
        <f t="shared" si="1042"/>
        <v>#DIV/0!</v>
      </c>
      <c r="BQ91" s="67"/>
      <c r="BR91" s="67" t="e">
        <f t="shared" si="1043"/>
        <v>#DIV/0!</v>
      </c>
      <c r="BS91" s="67" t="e">
        <f t="shared" si="1043"/>
        <v>#DIV/0!</v>
      </c>
      <c r="BT91" s="67" t="e">
        <f t="shared" si="1043"/>
        <v>#DIV/0!</v>
      </c>
      <c r="BU91" s="67" t="e">
        <f t="shared" si="1043"/>
        <v>#DIV/0!</v>
      </c>
      <c r="BV91" s="67" t="e">
        <f t="shared" si="1043"/>
        <v>#DIV/0!</v>
      </c>
      <c r="BW91" s="67"/>
      <c r="BX91" s="67" t="e">
        <f t="shared" si="1044"/>
        <v>#DIV/0!</v>
      </c>
      <c r="BY91" s="67" t="e">
        <f t="shared" si="1044"/>
        <v>#DIV/0!</v>
      </c>
      <c r="BZ91" s="67" t="e">
        <f t="shared" si="1044"/>
        <v>#DIV/0!</v>
      </c>
      <c r="CA91" s="67" t="e">
        <f t="shared" si="1044"/>
        <v>#DIV/0!</v>
      </c>
      <c r="CB91" s="67" t="e">
        <f t="shared" si="1044"/>
        <v>#DIV/0!</v>
      </c>
      <c r="CC91" s="67"/>
      <c r="CD91" s="67" t="e">
        <f t="shared" si="1045"/>
        <v>#DIV/0!</v>
      </c>
      <c r="CE91" s="67" t="e">
        <f t="shared" si="1045"/>
        <v>#DIV/0!</v>
      </c>
      <c r="CF91" s="67" t="e">
        <f t="shared" si="1045"/>
        <v>#DIV/0!</v>
      </c>
      <c r="CG91" s="67" t="e">
        <f t="shared" si="1045"/>
        <v>#DIV/0!</v>
      </c>
      <c r="CH91" s="67" t="e">
        <f t="shared" si="1045"/>
        <v>#DIV/0!</v>
      </c>
      <c r="CI91" s="67"/>
      <c r="CJ91" s="67" t="e">
        <f t="shared" si="1046"/>
        <v>#DIV/0!</v>
      </c>
      <c r="CK91" s="67" t="e">
        <f t="shared" si="1046"/>
        <v>#DIV/0!</v>
      </c>
      <c r="CL91" s="67" t="e">
        <f t="shared" si="1046"/>
        <v>#DIV/0!</v>
      </c>
      <c r="CM91" s="67" t="e">
        <f t="shared" si="1046"/>
        <v>#DIV/0!</v>
      </c>
      <c r="CN91" s="67" t="e">
        <f t="shared" si="1046"/>
        <v>#DIV/0!</v>
      </c>
      <c r="CO91" s="239"/>
    </row>
    <row r="92" spans="2:93" s="137" customFormat="1" ht="18" customHeight="1" x14ac:dyDescent="0.25">
      <c r="B92" s="155" t="s">
        <v>139</v>
      </c>
      <c r="C92" s="155"/>
      <c r="D92" s="155"/>
      <c r="E92" s="155"/>
      <c r="F92" s="155"/>
      <c r="G92" s="155"/>
      <c r="H92" s="155"/>
      <c r="I92" s="155"/>
      <c r="J92" s="396">
        <f t="shared" si="1033"/>
        <v>0.33077765607886089</v>
      </c>
      <c r="K92" s="396">
        <f t="shared" si="1033"/>
        <v>0.24814362252091371</v>
      </c>
      <c r="L92" s="396">
        <f t="shared" si="1033"/>
        <v>0.19135629608886395</v>
      </c>
      <c r="M92" s="396">
        <f t="shared" si="1033"/>
        <v>0.11776283418074462</v>
      </c>
      <c r="N92" s="396">
        <f t="shared" si="1033"/>
        <v>0.21431249414190656</v>
      </c>
      <c r="O92" s="155"/>
      <c r="P92" s="396">
        <f t="shared" si="1034"/>
        <v>4.7242798353909432E-2</v>
      </c>
      <c r="Q92" s="396">
        <f t="shared" si="1034"/>
        <v>2.9520295202952074E-2</v>
      </c>
      <c r="R92" s="396">
        <f t="shared" si="1034"/>
        <v>-6.1819321476141997E-2</v>
      </c>
      <c r="S92" s="396">
        <f t="shared" si="1034"/>
        <v>-9.1269258987527468E-2</v>
      </c>
      <c r="T92" s="396">
        <f t="shared" si="1034"/>
        <v>-2.0589710933580307E-2</v>
      </c>
      <c r="U92" s="155"/>
      <c r="V92" s="396">
        <f t="shared" si="1035"/>
        <v>-0.22084250235774916</v>
      </c>
      <c r="W92" s="396">
        <f t="shared" si="1035"/>
        <v>-0.31899641577060933</v>
      </c>
      <c r="X92" s="396">
        <f t="shared" si="1035"/>
        <v>-0.22933021546684484</v>
      </c>
      <c r="Y92" s="396">
        <f t="shared" si="1035"/>
        <v>-0.14661714839334727</v>
      </c>
      <c r="Z92" s="396">
        <f t="shared" si="1035"/>
        <v>-0.23116934292187963</v>
      </c>
      <c r="AA92" s="155"/>
      <c r="AB92" s="396">
        <f t="shared" si="1036"/>
        <v>0.12880774662094008</v>
      </c>
      <c r="AC92" s="396">
        <f t="shared" si="1036"/>
        <v>0.30966702470461871</v>
      </c>
      <c r="AD92" s="396">
        <f t="shared" si="1036"/>
        <v>0.26863892501083653</v>
      </c>
      <c r="AE92" s="396">
        <f t="shared" si="1036"/>
        <v>0.23907284768211912</v>
      </c>
      <c r="AF92" s="396">
        <f t="shared" si="1036"/>
        <v>0.23489313720465388</v>
      </c>
      <c r="AG92" s="155"/>
      <c r="AH92" s="396">
        <f t="shared" si="1037"/>
        <v>0.15146099544276659</v>
      </c>
      <c r="AI92" s="396">
        <f t="shared" si="1037"/>
        <v>0.11039120807020431</v>
      </c>
      <c r="AJ92" s="396">
        <f t="shared" si="1037"/>
        <v>0.21961219783035801</v>
      </c>
      <c r="AK92" s="396">
        <f t="shared" si="1037"/>
        <v>0.21180422997633053</v>
      </c>
      <c r="AL92" s="396">
        <f t="shared" si="1037"/>
        <v>0.17402672864613589</v>
      </c>
      <c r="AM92" s="155"/>
      <c r="AN92" s="396">
        <f t="shared" si="1038"/>
        <v>0.17173676858606246</v>
      </c>
      <c r="AO92" s="396">
        <f t="shared" si="1038"/>
        <v>0.22202526035896297</v>
      </c>
      <c r="AP92" s="396">
        <f t="shared" si="1038"/>
        <v>0.11976467292337856</v>
      </c>
      <c r="AQ92" s="396">
        <f t="shared" si="1038"/>
        <v>2.3060928737949737E-2</v>
      </c>
      <c r="AR92" s="396">
        <f t="shared" si="1038"/>
        <v>0.12894615901297413</v>
      </c>
      <c r="AS92" s="155"/>
      <c r="AT92" s="396">
        <f t="shared" si="1039"/>
        <v>-9.2059076760050429E-3</v>
      </c>
      <c r="AU92" s="396">
        <f t="shared" si="1039"/>
        <v>-4.2611060743427021E-2</v>
      </c>
      <c r="AV92" s="398">
        <f t="shared" si="1039"/>
        <v>-4.7348011008256141E-2</v>
      </c>
      <c r="AW92" s="396">
        <f t="shared" si="1039"/>
        <v>-2.6137833343598094E-2</v>
      </c>
      <c r="AX92" s="396">
        <f t="shared" si="1039"/>
        <v>-3.1711785060045017E-2</v>
      </c>
      <c r="AY92" s="396"/>
      <c r="AZ92" s="396">
        <f t="shared" si="1040"/>
        <v>-2.9872994652406448E-2</v>
      </c>
      <c r="BA92" s="396">
        <f t="shared" si="1040"/>
        <v>-1.7881944444444464E-2</v>
      </c>
      <c r="BB92" s="396">
        <f t="shared" si="1040"/>
        <v>2.1101700479286833E-3</v>
      </c>
      <c r="BC92" s="396">
        <f t="shared" si="1040"/>
        <v>1.4077507810227541E-2</v>
      </c>
      <c r="BD92" s="396">
        <f t="shared" si="1040"/>
        <v>-7.6872627078627964E-3</v>
      </c>
      <c r="BE92" s="396"/>
      <c r="BF92" s="396">
        <f t="shared" si="1041"/>
        <v>4.7262473213855349E-2</v>
      </c>
      <c r="BG92" s="396">
        <f t="shared" si="1041"/>
        <v>4.7249971877159513E-2</v>
      </c>
      <c r="BH92" s="396">
        <f t="shared" si="1041"/>
        <v>4.7140929061779024E-2</v>
      </c>
      <c r="BI92" s="396">
        <f t="shared" si="1041"/>
        <v>4.6918490955087711E-2</v>
      </c>
      <c r="BJ92" s="396">
        <f t="shared" si="1041"/>
        <v>4.7139193541827051E-2</v>
      </c>
      <c r="BK92" s="396"/>
      <c r="BL92" s="396">
        <f t="shared" si="1042"/>
        <v>4.088271188447945E-2</v>
      </c>
      <c r="BM92" s="396">
        <f t="shared" si="1042"/>
        <v>4.1106522812756285E-2</v>
      </c>
      <c r="BN92" s="396">
        <f t="shared" si="1042"/>
        <v>4.0994579525085895E-2</v>
      </c>
      <c r="BO92" s="396">
        <f t="shared" si="1042"/>
        <v>4.1229443286203482E-2</v>
      </c>
      <c r="BP92" s="396">
        <f t="shared" si="1042"/>
        <v>4.1057856844103569E-2</v>
      </c>
      <c r="BQ92" s="396"/>
      <c r="BR92" s="396">
        <f t="shared" si="1043"/>
        <v>4.0951229043203474E-2</v>
      </c>
      <c r="BS92" s="396">
        <f t="shared" si="1043"/>
        <v>4.1175115343144331E-2</v>
      </c>
      <c r="BT92" s="396">
        <f t="shared" si="1043"/>
        <v>4.1063213581538971E-2</v>
      </c>
      <c r="BU92" s="396">
        <f t="shared" si="1043"/>
        <v>4.1302437546609339E-2</v>
      </c>
      <c r="BV92" s="396">
        <f t="shared" si="1043"/>
        <v>4.1127607865966365E-2</v>
      </c>
      <c r="BW92" s="396"/>
      <c r="BX92" s="396">
        <f t="shared" si="1044"/>
        <v>4.1019499669147086E-2</v>
      </c>
      <c r="BY92" s="396">
        <f t="shared" si="1044"/>
        <v>4.1243436445421944E-2</v>
      </c>
      <c r="BZ92" s="396">
        <f t="shared" si="1044"/>
        <v>4.1131574100899959E-2</v>
      </c>
      <c r="CA92" s="396">
        <f t="shared" si="1044"/>
        <v>4.1375056219449702E-2</v>
      </c>
      <c r="CB92" s="396">
        <f t="shared" si="1044"/>
        <v>4.1197066183706887E-2</v>
      </c>
      <c r="CC92" s="396"/>
      <c r="CD92" s="396">
        <f t="shared" si="1045"/>
        <v>4.1087520047069281E-2</v>
      </c>
      <c r="CE92" s="396">
        <f t="shared" si="1045"/>
        <v>4.1311482584499348E-2</v>
      </c>
      <c r="CF92" s="396">
        <f t="shared" si="1045"/>
        <v>4.1199657772132969E-2</v>
      </c>
      <c r="CG92" s="396">
        <f t="shared" si="1045"/>
        <v>4.144729636494815E-2</v>
      </c>
      <c r="CH92" s="396">
        <f t="shared" si="1045"/>
        <v>4.1266228419225781E-2</v>
      </c>
      <c r="CI92" s="396"/>
      <c r="CJ92" s="396">
        <f t="shared" si="1046"/>
        <v>4.1155286522658097E-2</v>
      </c>
      <c r="CK92" s="396">
        <f t="shared" si="1046"/>
        <v>4.1379250293559489E-2</v>
      </c>
      <c r="CL92" s="396">
        <f t="shared" si="1046"/>
        <v>4.1267461350085188E-2</v>
      </c>
      <c r="CM92" s="396">
        <f t="shared" si="1046"/>
        <v>4.1519155142908826E-2</v>
      </c>
      <c r="CN92" s="396">
        <f t="shared" si="1046"/>
        <v>4.1335091267821866E-2</v>
      </c>
      <c r="CO92" s="239"/>
    </row>
    <row r="93" spans="2:93" s="137" customFormat="1" ht="18" customHeight="1" x14ac:dyDescent="0.25">
      <c r="B93" s="136"/>
      <c r="C93" s="419"/>
      <c r="D93" s="419"/>
      <c r="E93" s="419"/>
      <c r="F93" s="419"/>
      <c r="G93" s="419"/>
      <c r="H93" s="419"/>
      <c r="I93" s="419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264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67"/>
      <c r="BP93" s="67"/>
      <c r="BQ93" s="67"/>
      <c r="BR93" s="67"/>
      <c r="BS93" s="67"/>
      <c r="BT93" s="67"/>
      <c r="BU93" s="67"/>
      <c r="BV93" s="67"/>
      <c r="BW93" s="67"/>
      <c r="BX93" s="67"/>
      <c r="BY93" s="67"/>
      <c r="BZ93" s="67"/>
      <c r="CA93" s="67"/>
      <c r="CB93" s="67"/>
      <c r="CC93" s="67"/>
      <c r="CD93" s="67"/>
      <c r="CE93" s="67"/>
      <c r="CF93" s="67"/>
      <c r="CG93" s="67"/>
      <c r="CH93" s="67"/>
      <c r="CI93" s="67"/>
      <c r="CJ93" s="67"/>
      <c r="CK93" s="67"/>
      <c r="CL93" s="67"/>
      <c r="CM93" s="67"/>
      <c r="CN93" s="67"/>
      <c r="CO93" s="239"/>
    </row>
    <row r="94" spans="2:93" s="137" customFormat="1" ht="18" customHeight="1" x14ac:dyDescent="0.25">
      <c r="B94" s="386" t="s">
        <v>391</v>
      </c>
      <c r="C94" s="419"/>
      <c r="D94" s="419"/>
      <c r="E94" s="419"/>
      <c r="F94" s="419"/>
      <c r="G94" s="419"/>
      <c r="H94" s="419"/>
      <c r="I94" s="419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264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67"/>
      <c r="BP94" s="67"/>
      <c r="BQ94" s="67"/>
      <c r="BR94" s="67"/>
      <c r="BS94" s="67"/>
      <c r="BT94" s="67"/>
      <c r="BU94" s="67"/>
      <c r="BV94" s="67"/>
      <c r="BW94" s="67"/>
      <c r="BX94" s="67"/>
      <c r="BY94" s="67"/>
      <c r="BZ94" s="67"/>
      <c r="CA94" s="67"/>
      <c r="CB94" s="67"/>
      <c r="CC94" s="67"/>
      <c r="CD94" s="67"/>
      <c r="CE94" s="67"/>
      <c r="CF94" s="67"/>
      <c r="CG94" s="67"/>
      <c r="CH94" s="67"/>
      <c r="CI94" s="67"/>
      <c r="CJ94" s="67"/>
      <c r="CK94" s="67"/>
      <c r="CL94" s="67"/>
      <c r="CM94" s="67"/>
      <c r="CN94" s="67"/>
      <c r="CO94" s="239"/>
    </row>
    <row r="95" spans="2:93" s="137" customFormat="1" ht="18" customHeight="1" x14ac:dyDescent="0.25">
      <c r="B95" s="31" t="s">
        <v>372</v>
      </c>
      <c r="C95" s="419"/>
      <c r="D95" s="67">
        <f t="shared" ref="D95:H99" si="1047">D79/D$84</f>
        <v>0.44906900328587074</v>
      </c>
      <c r="E95" s="67">
        <f t="shared" si="1047"/>
        <v>0.46611523639439795</v>
      </c>
      <c r="F95" s="67">
        <f t="shared" si="1047"/>
        <v>0.45608139643423878</v>
      </c>
      <c r="G95" s="67">
        <f t="shared" si="1047"/>
        <v>0.43422994915532231</v>
      </c>
      <c r="H95" s="67">
        <f t="shared" si="1047"/>
        <v>0.45083887899521979</v>
      </c>
      <c r="I95" s="419"/>
      <c r="J95" s="67">
        <f t="shared" ref="J95:N99" si="1048">J79/J$84</f>
        <v>0.46724279835390947</v>
      </c>
      <c r="K95" s="67">
        <f t="shared" si="1048"/>
        <v>0.46479403569545902</v>
      </c>
      <c r="L95" s="67">
        <f t="shared" si="1048"/>
        <v>0.44527148789469562</v>
      </c>
      <c r="M95" s="67">
        <f t="shared" si="1048"/>
        <v>0.41856199559794571</v>
      </c>
      <c r="N95" s="67">
        <f t="shared" si="1048"/>
        <v>0.44840029331172088</v>
      </c>
      <c r="O95" s="67"/>
      <c r="P95" s="67">
        <f t="shared" ref="P95:T99" si="1049">P79/P$84</f>
        <v>0.46156868909148069</v>
      </c>
      <c r="Q95" s="67">
        <f t="shared" si="1049"/>
        <v>0.47304513203130716</v>
      </c>
      <c r="R95" s="67">
        <f t="shared" si="1049"/>
        <v>0.4417070319024553</v>
      </c>
      <c r="S95" s="67">
        <f t="shared" si="1049"/>
        <v>0.40529630227676411</v>
      </c>
      <c r="T95" s="67">
        <f t="shared" si="1049"/>
        <v>0.44624174958132201</v>
      </c>
      <c r="U95" s="67"/>
      <c r="V95" s="67">
        <f t="shared" ref="V95:Z99" si="1050">V79/V$84</f>
        <v>0.43433528343756306</v>
      </c>
      <c r="W95" s="67">
        <f t="shared" si="1050"/>
        <v>0.43480128893662728</v>
      </c>
      <c r="X95" s="67">
        <f t="shared" si="1050"/>
        <v>0.43953185955786733</v>
      </c>
      <c r="Y95" s="67">
        <f t="shared" si="1050"/>
        <v>0.42649006622516555</v>
      </c>
      <c r="Z95" s="67">
        <f t="shared" si="1050"/>
        <v>0.43355030495617858</v>
      </c>
      <c r="AA95" s="67"/>
      <c r="AB95" s="67">
        <f t="shared" ref="AB95:AF99" si="1051">AB79/AB$84</f>
        <v>0.48780269859708697</v>
      </c>
      <c r="AC95" s="67">
        <f t="shared" si="1051"/>
        <v>0.46387271385221029</v>
      </c>
      <c r="AD95" s="67">
        <f t="shared" si="1051"/>
        <v>0.44887674041171949</v>
      </c>
      <c r="AE95" s="67">
        <f t="shared" si="1051"/>
        <v>0.4379628922654043</v>
      </c>
      <c r="AF95" s="67">
        <f t="shared" si="1051"/>
        <v>0.45874491574665893</v>
      </c>
      <c r="AG95" s="67"/>
      <c r="AH95" s="67">
        <f t="shared" ref="AH95:AL99" si="1052">AH79/AH$84</f>
        <v>0.47454601893527859</v>
      </c>
      <c r="AI95" s="67">
        <f t="shared" si="1052"/>
        <v>0.4456015953910924</v>
      </c>
      <c r="AJ95" s="67">
        <f t="shared" si="1052"/>
        <v>0.43955736097492648</v>
      </c>
      <c r="AK95" s="67">
        <f t="shared" si="1052"/>
        <v>0.43128977380127276</v>
      </c>
      <c r="AL95" s="67">
        <f t="shared" si="1052"/>
        <v>0.44665393997242547</v>
      </c>
      <c r="AM95" s="67"/>
      <c r="AN95" s="67">
        <f t="shared" ref="AN95:AR99" si="1053">AN79/AN$84</f>
        <v>0.44678455526856081</v>
      </c>
      <c r="AO95" s="67">
        <f t="shared" si="1053"/>
        <v>0.43239649440918709</v>
      </c>
      <c r="AP95" s="67">
        <f t="shared" si="1053"/>
        <v>0.43776582436827621</v>
      </c>
      <c r="AQ95" s="67">
        <f t="shared" si="1053"/>
        <v>0.40149042310771693</v>
      </c>
      <c r="AR95" s="67">
        <f t="shared" si="1053"/>
        <v>0.42928494261691902</v>
      </c>
      <c r="AS95" s="67"/>
      <c r="AT95" s="67">
        <f t="shared" ref="AT95:AX99" si="1054">AT79/AT$84</f>
        <v>0.42941176470588233</v>
      </c>
      <c r="AU95" s="67">
        <f t="shared" si="1054"/>
        <v>0.42190656565656565</v>
      </c>
      <c r="AV95" s="264">
        <f t="shared" si="1054"/>
        <v>0.41658459720307267</v>
      </c>
      <c r="AW95" s="67">
        <f t="shared" si="1054"/>
        <v>0.38199284115199278</v>
      </c>
      <c r="AX95" s="67">
        <f t="shared" si="1054"/>
        <v>0.41220595178805902</v>
      </c>
      <c r="AY95" s="67"/>
      <c r="AZ95" s="67">
        <f t="shared" ref="AZ95:BD99" si="1055">AZ79/AZ$84</f>
        <v>0.40375936223136338</v>
      </c>
      <c r="BA95" s="67">
        <f t="shared" si="1055"/>
        <v>0.38885049897954266</v>
      </c>
      <c r="BB95" s="67">
        <f t="shared" si="1055"/>
        <v>0.39235045999709101</v>
      </c>
      <c r="BC95" s="67">
        <f t="shared" si="1055"/>
        <v>0.36608955721293684</v>
      </c>
      <c r="BD95" s="67">
        <f t="shared" si="1055"/>
        <v>0.3872994987370656</v>
      </c>
      <c r="BE95" s="67"/>
      <c r="BF95" s="67">
        <f t="shared" ref="BF95:BJ99" si="1056">BF79/BF$84</f>
        <v>0.40473254040966439</v>
      </c>
      <c r="BG95" s="67">
        <f t="shared" si="1056"/>
        <v>0.38979487602540813</v>
      </c>
      <c r="BH95" s="67">
        <f t="shared" si="1056"/>
        <v>0.39334350794429151</v>
      </c>
      <c r="BI95" s="67">
        <f t="shared" si="1056"/>
        <v>0.36709264847390927</v>
      </c>
      <c r="BJ95" s="67">
        <f t="shared" si="1056"/>
        <v>0.38827980152853764</v>
      </c>
      <c r="BK95" s="67"/>
      <c r="BL95" s="67">
        <f t="shared" ref="BL95:BP99" si="1057">BL79/BL$84</f>
        <v>0.40203653518202931</v>
      </c>
      <c r="BM95" s="67">
        <f t="shared" si="1057"/>
        <v>0.38711701340046639</v>
      </c>
      <c r="BN95" s="67">
        <f t="shared" si="1057"/>
        <v>0.39073188176729501</v>
      </c>
      <c r="BO95" s="67">
        <f t="shared" si="1057"/>
        <v>0.36460761595918423</v>
      </c>
      <c r="BP95" s="67">
        <f t="shared" si="1057"/>
        <v>0.38566287919689907</v>
      </c>
      <c r="BQ95" s="67"/>
      <c r="BR95" s="67">
        <f t="shared" ref="BR95:BV99" si="1058">BR79/BR$84</f>
        <v>0.39934294983463453</v>
      </c>
      <c r="BS95" s="67">
        <f t="shared" si="1058"/>
        <v>0.38444251488486181</v>
      </c>
      <c r="BT95" s="67">
        <f t="shared" si="1058"/>
        <v>0.38812250735362991</v>
      </c>
      <c r="BU95" s="67">
        <f t="shared" si="1058"/>
        <v>0.3621239055939719</v>
      </c>
      <c r="BV95" s="67">
        <f t="shared" si="1058"/>
        <v>0.38304828025599008</v>
      </c>
      <c r="BW95" s="67"/>
      <c r="BX95" s="67">
        <f t="shared" ref="BX95:CB99" si="1059">BX79/BX$84</f>
        <v>0.39665203414446099</v>
      </c>
      <c r="BY95" s="67">
        <f t="shared" si="1059"/>
        <v>0.38177163130471675</v>
      </c>
      <c r="BZ95" s="67">
        <f t="shared" si="1059"/>
        <v>0.38551563577623432</v>
      </c>
      <c r="CA95" s="67">
        <f t="shared" si="1059"/>
        <v>0.35964181238949039</v>
      </c>
      <c r="CB95" s="67">
        <f t="shared" si="1059"/>
        <v>0.38043626785148815</v>
      </c>
      <c r="CC95" s="67"/>
      <c r="CD95" s="67">
        <f t="shared" ref="CD95:CH99" si="1060">CD79/CD$84</f>
        <v>0.39396403738412944</v>
      </c>
      <c r="CE95" s="67">
        <f t="shared" si="1060"/>
        <v>0.37910461238050658</v>
      </c>
      <c r="CF95" s="67">
        <f t="shared" si="1060"/>
        <v>0.38291151723612027</v>
      </c>
      <c r="CG95" s="67">
        <f t="shared" si="1060"/>
        <v>0.35716162936593659</v>
      </c>
      <c r="CH95" s="67">
        <f t="shared" si="1060"/>
        <v>0.37782710397505875</v>
      </c>
      <c r="CI95" s="67"/>
      <c r="CJ95" s="67">
        <f t="shared" ref="CJ95:CN99" si="1061">CJ79/CJ$84</f>
        <v>0.39127920814378225</v>
      </c>
      <c r="CK95" s="67">
        <f t="shared" si="1061"/>
        <v>0.37644170655979081</v>
      </c>
      <c r="CL95" s="67">
        <f t="shared" si="1061"/>
        <v>0.38031040089466334</v>
      </c>
      <c r="CM95" s="67">
        <f t="shared" si="1061"/>
        <v>0.35468364737986696</v>
      </c>
      <c r="CN95" s="67">
        <f t="shared" si="1061"/>
        <v>0.37522104929320488</v>
      </c>
      <c r="CO95" s="239"/>
    </row>
    <row r="96" spans="2:93" s="137" customFormat="1" ht="18" customHeight="1" x14ac:dyDescent="0.25">
      <c r="B96" s="31" t="s">
        <v>402</v>
      </c>
      <c r="C96" s="419"/>
      <c r="D96" s="67">
        <f t="shared" si="1047"/>
        <v>0.19288061336254109</v>
      </c>
      <c r="E96" s="67">
        <f t="shared" si="1047"/>
        <v>0.1725726102077263</v>
      </c>
      <c r="F96" s="67">
        <f t="shared" si="1047"/>
        <v>0.18258190982917949</v>
      </c>
      <c r="G96" s="67">
        <f t="shared" si="1047"/>
        <v>0.18927341315401017</v>
      </c>
      <c r="H96" s="67">
        <f t="shared" si="1047"/>
        <v>0.18420189333583278</v>
      </c>
      <c r="I96" s="419"/>
      <c r="J96" s="67">
        <f t="shared" si="1048"/>
        <v>0.19004115226337448</v>
      </c>
      <c r="K96" s="67">
        <f t="shared" si="1048"/>
        <v>0.19022516755779803</v>
      </c>
      <c r="L96" s="67">
        <f t="shared" si="1048"/>
        <v>0.20669121679855834</v>
      </c>
      <c r="M96" s="67">
        <f t="shared" si="1048"/>
        <v>0.20520909757887015</v>
      </c>
      <c r="N96" s="67">
        <f t="shared" si="1048"/>
        <v>0.19817837983867856</v>
      </c>
      <c r="O96" s="67"/>
      <c r="P96" s="67">
        <f t="shared" si="1049"/>
        <v>0.21628418736246463</v>
      </c>
      <c r="Q96" s="67">
        <f t="shared" si="1049"/>
        <v>0.20620291127203569</v>
      </c>
      <c r="R96" s="67">
        <f t="shared" si="1049"/>
        <v>0.19291798897611492</v>
      </c>
      <c r="S96" s="67">
        <f t="shared" si="1049"/>
        <v>0.19336347489100597</v>
      </c>
      <c r="T96" s="67">
        <f t="shared" si="1049"/>
        <v>0.20246281154566054</v>
      </c>
      <c r="U96" s="67"/>
      <c r="V96" s="67">
        <f t="shared" si="1050"/>
        <v>0.21020778696792414</v>
      </c>
      <c r="W96" s="67">
        <f t="shared" si="1050"/>
        <v>0.19613319011815253</v>
      </c>
      <c r="X96" s="67">
        <f t="shared" si="1050"/>
        <v>0.19679237104464672</v>
      </c>
      <c r="Y96" s="67">
        <f t="shared" si="1050"/>
        <v>0.20624408703878902</v>
      </c>
      <c r="Z96" s="67">
        <f t="shared" si="1050"/>
        <v>0.2026036594741428</v>
      </c>
      <c r="AA96" s="67"/>
      <c r="AB96" s="67">
        <f t="shared" si="1051"/>
        <v>0.19462067732999733</v>
      </c>
      <c r="AC96" s="67">
        <f t="shared" si="1051"/>
        <v>0.20889034692036415</v>
      </c>
      <c r="AD96" s="67">
        <f t="shared" si="1051"/>
        <v>0.20210130691039549</v>
      </c>
      <c r="AE96" s="67">
        <f t="shared" si="1051"/>
        <v>0.20760479499121937</v>
      </c>
      <c r="AF96" s="67">
        <f t="shared" si="1051"/>
        <v>0.20357765418776458</v>
      </c>
      <c r="AG96" s="67"/>
      <c r="AH96" s="67">
        <f t="shared" si="1052"/>
        <v>0.21961819028402918</v>
      </c>
      <c r="AI96" s="67">
        <f t="shared" si="1052"/>
        <v>0.21870152891646355</v>
      </c>
      <c r="AJ96" s="67">
        <f t="shared" si="1052"/>
        <v>0.21620675164588879</v>
      </c>
      <c r="AK96" s="67">
        <f t="shared" si="1052"/>
        <v>0.21649549492785583</v>
      </c>
      <c r="AL96" s="67">
        <f t="shared" si="1052"/>
        <v>0.21766182345246934</v>
      </c>
      <c r="AM96" s="67"/>
      <c r="AN96" s="67">
        <f t="shared" si="1053"/>
        <v>0.22696867342208094</v>
      </c>
      <c r="AO96" s="67">
        <f t="shared" si="1053"/>
        <v>0.21535207011181626</v>
      </c>
      <c r="AP96" s="67">
        <f t="shared" si="1053"/>
        <v>0.20959469602201652</v>
      </c>
      <c r="AQ96" s="67">
        <f t="shared" si="1053"/>
        <v>0.19966742624869127</v>
      </c>
      <c r="AR96" s="67">
        <f t="shared" si="1053"/>
        <v>0.21266968325791855</v>
      </c>
      <c r="AS96" s="67"/>
      <c r="AT96" s="67">
        <f t="shared" si="1054"/>
        <v>0.21343582887700535</v>
      </c>
      <c r="AU96" s="67">
        <f t="shared" si="1054"/>
        <v>0.20239898989898991</v>
      </c>
      <c r="AV96" s="264">
        <f t="shared" si="1054"/>
        <v>0.19880506861007158</v>
      </c>
      <c r="AW96" s="67">
        <f t="shared" si="1054"/>
        <v>0.18915927804409144</v>
      </c>
      <c r="AX96" s="67">
        <f t="shared" si="1054"/>
        <v>0.20079846580729455</v>
      </c>
      <c r="AY96" s="67"/>
      <c r="AZ96" s="67">
        <f t="shared" si="1055"/>
        <v>0.1991442214275379</v>
      </c>
      <c r="BA96" s="67">
        <f t="shared" si="1055"/>
        <v>0.19972037861378503</v>
      </c>
      <c r="BB96" s="67">
        <f t="shared" si="1055"/>
        <v>0.20289665167193643</v>
      </c>
      <c r="BC96" s="67">
        <f t="shared" si="1055"/>
        <v>0.19156989727974738</v>
      </c>
      <c r="BD96" s="67">
        <f t="shared" si="1055"/>
        <v>0.19824442603751469</v>
      </c>
      <c r="BE96" s="67"/>
      <c r="BF96" s="67">
        <f t="shared" si="1056"/>
        <v>0.1975526719641556</v>
      </c>
      <c r="BG96" s="67">
        <f t="shared" si="1056"/>
        <v>0.19814132331308143</v>
      </c>
      <c r="BH96" s="67">
        <f t="shared" si="1056"/>
        <v>0.20131279035141247</v>
      </c>
      <c r="BI96" s="67">
        <f t="shared" si="1056"/>
        <v>0.19011330294527296</v>
      </c>
      <c r="BJ96" s="67">
        <f t="shared" si="1056"/>
        <v>0.19669364611836584</v>
      </c>
      <c r="BK96" s="67"/>
      <c r="BL96" s="67">
        <f t="shared" si="1057"/>
        <v>0.19718286861573853</v>
      </c>
      <c r="BM96" s="67">
        <f t="shared" si="1057"/>
        <v>0.19774206959333357</v>
      </c>
      <c r="BN96" s="67">
        <f t="shared" si="1057"/>
        <v>0.20092812112258732</v>
      </c>
      <c r="BO96" s="67">
        <f t="shared" si="1057"/>
        <v>0.18970575494114372</v>
      </c>
      <c r="BP96" s="67">
        <f t="shared" si="1057"/>
        <v>0.19630244664406507</v>
      </c>
      <c r="BQ96" s="67"/>
      <c r="BR96" s="67">
        <f t="shared" si="1058"/>
        <v>0.19680836833502713</v>
      </c>
      <c r="BS96" s="67">
        <f t="shared" si="1058"/>
        <v>0.1973376878212719</v>
      </c>
      <c r="BT96" s="67">
        <f t="shared" si="1058"/>
        <v>0.2005381717725763</v>
      </c>
      <c r="BU96" s="67">
        <f t="shared" si="1058"/>
        <v>0.18929266698285535</v>
      </c>
      <c r="BV96" s="67">
        <f t="shared" si="1058"/>
        <v>0.19590606480855935</v>
      </c>
      <c r="BW96" s="67"/>
      <c r="BX96" s="67">
        <f t="shared" si="1059"/>
        <v>0.1964289718275988</v>
      </c>
      <c r="BY96" s="67">
        <f t="shared" si="1059"/>
        <v>0.19692800612390512</v>
      </c>
      <c r="BZ96" s="67">
        <f t="shared" si="1059"/>
        <v>0.20014276550752205</v>
      </c>
      <c r="CA96" s="67">
        <f t="shared" si="1059"/>
        <v>0.18887389725585371</v>
      </c>
      <c r="CB96" s="67">
        <f t="shared" si="1059"/>
        <v>0.19550432890775532</v>
      </c>
      <c r="CC96" s="67"/>
      <c r="CD96" s="67">
        <f t="shared" si="1060"/>
        <v>0.19604449216079636</v>
      </c>
      <c r="CE96" s="67">
        <f t="shared" si="1060"/>
        <v>0.19651286444059496</v>
      </c>
      <c r="CF96" s="67">
        <f t="shared" si="1060"/>
        <v>0.19974173744941884</v>
      </c>
      <c r="CG96" s="67">
        <f t="shared" si="1060"/>
        <v>0.18844931530602801</v>
      </c>
      <c r="CH96" s="67">
        <f t="shared" si="1060"/>
        <v>0.19509707909668339</v>
      </c>
      <c r="CI96" s="67"/>
      <c r="CJ96" s="67">
        <f t="shared" si="1061"/>
        <v>0.19565475441152824</v>
      </c>
      <c r="CK96" s="67">
        <f t="shared" si="1061"/>
        <v>0.19609211417581093</v>
      </c>
      <c r="CL96" s="67">
        <f t="shared" si="1061"/>
        <v>0.19933493428949037</v>
      </c>
      <c r="CM96" s="67">
        <f t="shared" si="1061"/>
        <v>0.18801880169250529</v>
      </c>
      <c r="CN96" s="67">
        <f t="shared" si="1061"/>
        <v>0.19468416704138025</v>
      </c>
      <c r="CO96" s="239"/>
    </row>
    <row r="97" spans="1:93" s="137" customFormat="1" ht="18" customHeight="1" x14ac:dyDescent="0.25">
      <c r="B97" s="31" t="s">
        <v>373</v>
      </c>
      <c r="C97" s="419"/>
      <c r="D97" s="67">
        <f t="shared" si="1047"/>
        <v>0.45301204819277108</v>
      </c>
      <c r="E97" s="67">
        <f t="shared" si="1047"/>
        <v>0.44816242128019551</v>
      </c>
      <c r="F97" s="67">
        <f t="shared" si="1047"/>
        <v>0.45160085876971906</v>
      </c>
      <c r="G97" s="67">
        <f t="shared" si="1047"/>
        <v>0.46252255207479087</v>
      </c>
      <c r="H97" s="67">
        <f t="shared" si="1047"/>
        <v>0.4541662761270972</v>
      </c>
      <c r="I97" s="419"/>
      <c r="J97" s="67">
        <f t="shared" si="1048"/>
        <v>0.42954732510288068</v>
      </c>
      <c r="K97" s="67">
        <f t="shared" si="1048"/>
        <v>0.43105655546351385</v>
      </c>
      <c r="L97" s="67">
        <f t="shared" si="1048"/>
        <v>0.43524249784533414</v>
      </c>
      <c r="M97" s="67">
        <f t="shared" si="1048"/>
        <v>0.46126192223037416</v>
      </c>
      <c r="N97" s="67">
        <f t="shared" si="1048"/>
        <v>0.43967812897996988</v>
      </c>
      <c r="O97" s="67"/>
      <c r="P97" s="67">
        <f t="shared" si="1049"/>
        <v>0.40946243319710784</v>
      </c>
      <c r="Q97" s="67">
        <f t="shared" si="1049"/>
        <v>0.40128739667910174</v>
      </c>
      <c r="R97" s="67">
        <f t="shared" si="1049"/>
        <v>0.45531985969600802</v>
      </c>
      <c r="S97" s="67">
        <f t="shared" si="1049"/>
        <v>0.48030033909252384</v>
      </c>
      <c r="T97" s="67">
        <f t="shared" si="1049"/>
        <v>0.43536597379568515</v>
      </c>
      <c r="U97" s="67"/>
      <c r="V97" s="67">
        <f t="shared" si="1050"/>
        <v>0.43867258422432925</v>
      </c>
      <c r="W97" s="67">
        <f t="shared" si="1050"/>
        <v>0.44564983888292159</v>
      </c>
      <c r="X97" s="67">
        <f t="shared" si="1050"/>
        <v>0.45091027308192455</v>
      </c>
      <c r="Y97" s="67">
        <f t="shared" si="1050"/>
        <v>0.45515610217596975</v>
      </c>
      <c r="Z97" s="67">
        <f t="shared" si="1050"/>
        <v>0.44769617139049767</v>
      </c>
      <c r="AA97" s="67"/>
      <c r="AB97" s="67">
        <f t="shared" si="1051"/>
        <v>0.40273434009471898</v>
      </c>
      <c r="AC97" s="67">
        <f t="shared" si="1051"/>
        <v>0.40802099565324368</v>
      </c>
      <c r="AD97" s="67">
        <f t="shared" si="1051"/>
        <v>0.43367216195438624</v>
      </c>
      <c r="AE97" s="67">
        <f t="shared" si="1051"/>
        <v>0.43735206535847904</v>
      </c>
      <c r="AF97" s="67">
        <f t="shared" si="1051"/>
        <v>0.42099692869594091</v>
      </c>
      <c r="AG97" s="67"/>
      <c r="AH97" s="67">
        <f t="shared" si="1052"/>
        <v>0.39096694086605621</v>
      </c>
      <c r="AI97" s="67">
        <f t="shared" si="1052"/>
        <v>0.42137528621020753</v>
      </c>
      <c r="AJ97" s="67">
        <f t="shared" si="1052"/>
        <v>0.43325395713685388</v>
      </c>
      <c r="AK97" s="67">
        <f t="shared" si="1052"/>
        <v>0.42990359775691511</v>
      </c>
      <c r="AL97" s="67">
        <f t="shared" si="1052"/>
        <v>0.41983950224484745</v>
      </c>
      <c r="AM97" s="67"/>
      <c r="AN97" s="67">
        <f t="shared" si="1053"/>
        <v>0.41419961586860055</v>
      </c>
      <c r="AO97" s="67">
        <f t="shared" si="1053"/>
        <v>0.4363251737685101</v>
      </c>
      <c r="AP97" s="67">
        <f t="shared" si="1053"/>
        <v>0.42900925694270703</v>
      </c>
      <c r="AQ97" s="67">
        <f t="shared" si="1053"/>
        <v>0.47231631459013362</v>
      </c>
      <c r="AR97" s="67">
        <f t="shared" si="1053"/>
        <v>0.43841300161267593</v>
      </c>
      <c r="AS97" s="67"/>
      <c r="AT97" s="67">
        <f t="shared" si="1054"/>
        <v>0.44659090909090909</v>
      </c>
      <c r="AU97" s="67">
        <f t="shared" si="1054"/>
        <v>0.46319444444444446</v>
      </c>
      <c r="AV97" s="264">
        <f t="shared" si="1054"/>
        <v>0.47186658787998159</v>
      </c>
      <c r="AW97" s="67">
        <f t="shared" si="1054"/>
        <v>0.50143054936549192</v>
      </c>
      <c r="AX97" s="67">
        <f t="shared" si="1054"/>
        <v>0.47109031015168557</v>
      </c>
      <c r="AY97" s="67"/>
      <c r="AZ97" s="67">
        <f t="shared" si="1055"/>
        <v>0.48237884194093666</v>
      </c>
      <c r="BA97" s="67">
        <f t="shared" si="1055"/>
        <v>0.49713284661256446</v>
      </c>
      <c r="BB97" s="67">
        <f t="shared" si="1055"/>
        <v>0.4908760691740196</v>
      </c>
      <c r="BC97" s="67">
        <f t="shared" si="1055"/>
        <v>0.51647962207978759</v>
      </c>
      <c r="BD97" s="67">
        <f t="shared" si="1055"/>
        <v>0.49714270575054292</v>
      </c>
      <c r="BE97" s="67"/>
      <c r="BF97" s="67">
        <f t="shared" si="1056"/>
        <v>0.48245289089118137</v>
      </c>
      <c r="BG97" s="67">
        <f t="shared" si="1056"/>
        <v>0.49724675726663181</v>
      </c>
      <c r="BH97" s="67">
        <f t="shared" si="1056"/>
        <v>0.49094816997768548</v>
      </c>
      <c r="BI97" s="67">
        <f t="shared" si="1056"/>
        <v>0.51647530457308966</v>
      </c>
      <c r="BJ97" s="67">
        <f t="shared" si="1056"/>
        <v>0.49720442483796407</v>
      </c>
      <c r="BK97" s="67"/>
      <c r="BL97" s="67">
        <f t="shared" si="1057"/>
        <v>0.48491529538341877</v>
      </c>
      <c r="BM97" s="67">
        <f t="shared" si="1057"/>
        <v>0.49971961365917206</v>
      </c>
      <c r="BN97" s="67">
        <f t="shared" si="1057"/>
        <v>0.49334786420526661</v>
      </c>
      <c r="BO97" s="67">
        <f t="shared" si="1057"/>
        <v>0.51881972726604375</v>
      </c>
      <c r="BP97" s="67">
        <f t="shared" si="1057"/>
        <v>0.49962456844820324</v>
      </c>
      <c r="BQ97" s="67"/>
      <c r="BR97" s="67">
        <f t="shared" si="1058"/>
        <v>0.4873890746733846</v>
      </c>
      <c r="BS97" s="67">
        <f t="shared" si="1058"/>
        <v>0.5022027456682443</v>
      </c>
      <c r="BT97" s="67">
        <f t="shared" si="1058"/>
        <v>0.49575912239388681</v>
      </c>
      <c r="BU97" s="67">
        <f t="shared" si="1058"/>
        <v>0.52117654771452437</v>
      </c>
      <c r="BV97" s="67">
        <f t="shared" si="1058"/>
        <v>0.50205613575404595</v>
      </c>
      <c r="BW97" s="67"/>
      <c r="BX97" s="67">
        <f t="shared" si="1059"/>
        <v>0.48987379831547506</v>
      </c>
      <c r="BY97" s="67">
        <f t="shared" si="1059"/>
        <v>0.50469572075936953</v>
      </c>
      <c r="BZ97" s="67">
        <f t="shared" si="1059"/>
        <v>0.49818151194449239</v>
      </c>
      <c r="CA97" s="67">
        <f t="shared" si="1059"/>
        <v>0.52354527953038088</v>
      </c>
      <c r="CB97" s="67">
        <f t="shared" si="1059"/>
        <v>0.50449867989095198</v>
      </c>
      <c r="CC97" s="67"/>
      <c r="CD97" s="67">
        <f t="shared" si="1060"/>
        <v>0.49236903935397108</v>
      </c>
      <c r="CE97" s="67">
        <f t="shared" si="1060"/>
        <v>0.50719811029017758</v>
      </c>
      <c r="CF97" s="67">
        <f t="shared" si="1060"/>
        <v>0.50061460389270074</v>
      </c>
      <c r="CG97" s="67">
        <f t="shared" si="1060"/>
        <v>0.52592544055148338</v>
      </c>
      <c r="CH97" s="67">
        <f t="shared" si="1060"/>
        <v>0.50695175782276392</v>
      </c>
      <c r="CI97" s="67"/>
      <c r="CJ97" s="67">
        <f t="shared" si="1061"/>
        <v>0.49487437435187975</v>
      </c>
      <c r="CK97" s="67">
        <f t="shared" si="1061"/>
        <v>0.50970948953982631</v>
      </c>
      <c r="CL97" s="67">
        <f t="shared" si="1061"/>
        <v>0.50305797293974353</v>
      </c>
      <c r="CM97" s="67">
        <f t="shared" si="1061"/>
        <v>0.52831655291621737</v>
      </c>
      <c r="CN97" s="67">
        <f t="shared" si="1061"/>
        <v>0.50941493038276042</v>
      </c>
      <c r="CO97" s="239"/>
    </row>
    <row r="98" spans="1:93" s="137" customFormat="1" ht="18" customHeight="1" x14ac:dyDescent="0.25">
      <c r="B98" s="31" t="s">
        <v>417</v>
      </c>
      <c r="C98" s="419"/>
      <c r="D98" s="67">
        <f t="shared" si="1047"/>
        <v>-9.6385542168674704E-2</v>
      </c>
      <c r="E98" s="67">
        <f t="shared" si="1047"/>
        <v>-8.7696212050004704E-2</v>
      </c>
      <c r="F98" s="67">
        <f t="shared" si="1047"/>
        <v>-9.2877812004107163E-2</v>
      </c>
      <c r="G98" s="67">
        <f t="shared" si="1047"/>
        <v>-8.8076103001476141E-2</v>
      </c>
      <c r="H98" s="67">
        <f t="shared" si="1047"/>
        <v>-9.0964476520761089E-2</v>
      </c>
      <c r="I98" s="419"/>
      <c r="J98" s="67">
        <f t="shared" si="1048"/>
        <v>-8.7407407407407406E-2</v>
      </c>
      <c r="K98" s="67">
        <f t="shared" si="1048"/>
        <v>-8.5849838090217637E-2</v>
      </c>
      <c r="L98" s="67">
        <f t="shared" si="1048"/>
        <v>-8.6735093630024296E-2</v>
      </c>
      <c r="M98" s="67">
        <f t="shared" si="1048"/>
        <v>-8.4152604548789436E-2</v>
      </c>
      <c r="N98" s="67">
        <f t="shared" si="1048"/>
        <v>-8.5986646597969979E-2</v>
      </c>
      <c r="O98" s="67"/>
      <c r="P98" s="67">
        <f t="shared" si="1049"/>
        <v>-8.6686576548255262E-2</v>
      </c>
      <c r="Q98" s="67">
        <f t="shared" si="1049"/>
        <v>-7.9803964596591323E-2</v>
      </c>
      <c r="R98" s="67">
        <f t="shared" si="1049"/>
        <v>-8.6437280775012532E-2</v>
      </c>
      <c r="S98" s="67">
        <f t="shared" si="1049"/>
        <v>-7.5811399967705473E-2</v>
      </c>
      <c r="T98" s="67">
        <f t="shared" si="1049"/>
        <v>-8.2119988178504577E-2</v>
      </c>
      <c r="U98" s="67"/>
      <c r="V98" s="67">
        <f t="shared" si="1050"/>
        <v>-8.3719991930603185E-2</v>
      </c>
      <c r="W98" s="67">
        <f t="shared" si="1050"/>
        <v>-7.9484425349087007E-2</v>
      </c>
      <c r="X98" s="67">
        <f t="shared" si="1050"/>
        <v>-8.734286952752493E-2</v>
      </c>
      <c r="Y98" s="67">
        <f t="shared" si="1050"/>
        <v>-8.8174077578051083E-2</v>
      </c>
      <c r="Z98" s="67">
        <f t="shared" si="1050"/>
        <v>-8.4772692327405058E-2</v>
      </c>
      <c r="AA98" s="67"/>
      <c r="AB98" s="67">
        <f t="shared" si="1051"/>
        <v>-8.4710928424626936E-2</v>
      </c>
      <c r="AC98" s="67">
        <f t="shared" si="1051"/>
        <v>-8.0702042155335024E-2</v>
      </c>
      <c r="AD98" s="67">
        <f t="shared" si="1051"/>
        <v>-8.5846074997864522E-2</v>
      </c>
      <c r="AE98" s="67">
        <f t="shared" si="1051"/>
        <v>-8.3988699702221878E-2</v>
      </c>
      <c r="AF98" s="67">
        <f t="shared" si="1051"/>
        <v>-8.3776043828339003E-2</v>
      </c>
      <c r="AG98" s="67"/>
      <c r="AH98" s="67">
        <f t="shared" si="1052"/>
        <v>-8.5829582492627662E-2</v>
      </c>
      <c r="AI98" s="67">
        <f t="shared" si="1052"/>
        <v>-8.6638599601152222E-2</v>
      </c>
      <c r="AJ98" s="67">
        <f t="shared" si="1052"/>
        <v>-9.1259280011206048E-2</v>
      </c>
      <c r="AK98" s="67">
        <f t="shared" si="1052"/>
        <v>-8.039821057274274E-2</v>
      </c>
      <c r="AL98" s="67">
        <f t="shared" si="1052"/>
        <v>-8.5869834199455583E-2</v>
      </c>
      <c r="AM98" s="67"/>
      <c r="AN98" s="67">
        <f t="shared" si="1053"/>
        <v>-8.6694483078349566E-2</v>
      </c>
      <c r="AO98" s="67">
        <f t="shared" si="1053"/>
        <v>-8.3711090964037477E-2</v>
      </c>
      <c r="AP98" s="67">
        <f t="shared" si="1053"/>
        <v>-7.5931948961721285E-2</v>
      </c>
      <c r="AQ98" s="67">
        <f t="shared" si="1053"/>
        <v>-7.3966865800332571E-2</v>
      </c>
      <c r="AR98" s="67">
        <f t="shared" si="1053"/>
        <v>-7.9991858335029517E-2</v>
      </c>
      <c r="AS98" s="67"/>
      <c r="AT98" s="67">
        <f t="shared" si="1054"/>
        <v>-8.6764705882352938E-2</v>
      </c>
      <c r="AU98" s="67">
        <f t="shared" si="1054"/>
        <v>-8.6363636363636365E-2</v>
      </c>
      <c r="AV98" s="264">
        <f t="shared" si="1054"/>
        <v>-8.5943142275622081E-2</v>
      </c>
      <c r="AW98" s="67">
        <f t="shared" si="1054"/>
        <v>-7.2582668561575997E-2</v>
      </c>
      <c r="AX98" s="67">
        <f t="shared" si="1054"/>
        <v>-8.2833481635881126E-2</v>
      </c>
      <c r="AY98" s="67"/>
      <c r="AZ98" s="67">
        <f t="shared" si="1055"/>
        <v>-8.5282425599837883E-2</v>
      </c>
      <c r="BA98" s="67">
        <f t="shared" si="1055"/>
        <v>-8.5703724205892076E-2</v>
      </c>
      <c r="BB98" s="67">
        <f t="shared" si="1055"/>
        <v>-8.6123180843047056E-2</v>
      </c>
      <c r="BC98" s="67">
        <f t="shared" si="1055"/>
        <v>-7.4139076572471901E-2</v>
      </c>
      <c r="BD98" s="67">
        <f t="shared" si="1055"/>
        <v>-8.2686630525123164E-2</v>
      </c>
      <c r="BE98" s="67"/>
      <c r="BF98" s="67">
        <f t="shared" si="1056"/>
        <v>-8.473810326500146E-2</v>
      </c>
      <c r="BG98" s="67">
        <f t="shared" si="1056"/>
        <v>-8.5182956605121318E-2</v>
      </c>
      <c r="BH98" s="67">
        <f t="shared" si="1056"/>
        <v>-8.5604468273389578E-2</v>
      </c>
      <c r="BI98" s="67">
        <f t="shared" si="1056"/>
        <v>-7.3681255992272099E-2</v>
      </c>
      <c r="BJ98" s="67">
        <f t="shared" si="1056"/>
        <v>-8.2177872484867492E-2</v>
      </c>
      <c r="BK98" s="67"/>
      <c r="BL98" s="67">
        <f t="shared" si="1057"/>
        <v>-8.413469918118667E-2</v>
      </c>
      <c r="BM98" s="67">
        <f t="shared" si="1057"/>
        <v>-8.4578696652972032E-2</v>
      </c>
      <c r="BN98" s="67">
        <f t="shared" si="1057"/>
        <v>-8.5007867095148917E-2</v>
      </c>
      <c r="BO98" s="67">
        <f t="shared" si="1057"/>
        <v>-7.3133098166371688E-2</v>
      </c>
      <c r="BP98" s="67">
        <f t="shared" si="1057"/>
        <v>-8.1589894289167172E-2</v>
      </c>
      <c r="BQ98" s="67"/>
      <c r="BR98" s="67">
        <f t="shared" si="1058"/>
        <v>-8.3540392843046277E-2</v>
      </c>
      <c r="BS98" s="67">
        <f t="shared" si="1058"/>
        <v>-8.3982948374378044E-2</v>
      </c>
      <c r="BT98" s="67">
        <f t="shared" si="1058"/>
        <v>-8.4419801520092777E-2</v>
      </c>
      <c r="BU98" s="67">
        <f t="shared" si="1058"/>
        <v>-7.2593120291351565E-2</v>
      </c>
      <c r="BV98" s="67">
        <f t="shared" si="1058"/>
        <v>-8.1010480818595257E-2</v>
      </c>
      <c r="BW98" s="67"/>
      <c r="BX98" s="67">
        <f t="shared" si="1059"/>
        <v>-8.2954804287534684E-2</v>
      </c>
      <c r="BY98" s="67">
        <f t="shared" si="1059"/>
        <v>-8.3395358187991236E-2</v>
      </c>
      <c r="BZ98" s="67">
        <f t="shared" si="1059"/>
        <v>-8.3839913228248658E-2</v>
      </c>
      <c r="CA98" s="67">
        <f t="shared" si="1059"/>
        <v>-7.2060989175724788E-2</v>
      </c>
      <c r="CB98" s="67">
        <f t="shared" si="1059"/>
        <v>-8.0439276650195457E-2</v>
      </c>
      <c r="CC98" s="67"/>
      <c r="CD98" s="67">
        <f t="shared" si="1060"/>
        <v>-8.2377568898897052E-2</v>
      </c>
      <c r="CE98" s="67">
        <f t="shared" si="1060"/>
        <v>-8.2815587111278982E-2</v>
      </c>
      <c r="CF98" s="67">
        <f t="shared" si="1060"/>
        <v>-8.326785857823997E-2</v>
      </c>
      <c r="CG98" s="67">
        <f t="shared" si="1060"/>
        <v>-7.153638522344781E-2</v>
      </c>
      <c r="CH98" s="67">
        <f t="shared" si="1060"/>
        <v>-7.987594089450599E-2</v>
      </c>
      <c r="CI98" s="67"/>
      <c r="CJ98" s="67">
        <f t="shared" si="1061"/>
        <v>-8.1808336907190263E-2</v>
      </c>
      <c r="CK98" s="67">
        <f t="shared" si="1061"/>
        <v>-8.2243310275428194E-2</v>
      </c>
      <c r="CL98" s="67">
        <f t="shared" si="1061"/>
        <v>-8.2703308123897201E-2</v>
      </c>
      <c r="CM98" s="67">
        <f t="shared" si="1061"/>
        <v>-7.1019001988589694E-2</v>
      </c>
      <c r="CN98" s="67">
        <f t="shared" si="1061"/>
        <v>-7.9320146717345649E-2</v>
      </c>
      <c r="CO98" s="239"/>
    </row>
    <row r="99" spans="1:93" s="137" customFormat="1" ht="18" customHeight="1" x14ac:dyDescent="0.25">
      <c r="B99" s="31" t="s">
        <v>415</v>
      </c>
      <c r="C99" s="419"/>
      <c r="D99" s="67">
        <f t="shared" si="1047"/>
        <v>1.4238773274917853E-3</v>
      </c>
      <c r="E99" s="67">
        <f t="shared" si="1047"/>
        <v>8.4594416768493284E-4</v>
      </c>
      <c r="F99" s="67">
        <f t="shared" si="1047"/>
        <v>2.6136469709698495E-3</v>
      </c>
      <c r="G99" s="67">
        <f t="shared" si="1047"/>
        <v>2.0501886173527966E-3</v>
      </c>
      <c r="H99" s="67">
        <f t="shared" si="1047"/>
        <v>1.7574280626113038E-3</v>
      </c>
      <c r="I99" s="419"/>
      <c r="J99" s="67">
        <f t="shared" si="1048"/>
        <v>5.7613168724279839E-4</v>
      </c>
      <c r="K99" s="67">
        <f t="shared" si="1048"/>
        <v>-2.2592062655320432E-4</v>
      </c>
      <c r="L99" s="67">
        <f t="shared" si="1048"/>
        <v>-4.7010890856381729E-4</v>
      </c>
      <c r="M99" s="67">
        <f t="shared" si="1048"/>
        <v>-8.8041085840058692E-4</v>
      </c>
      <c r="N99" s="67">
        <f t="shared" si="1048"/>
        <v>-2.7015553239936706E-4</v>
      </c>
      <c r="O99" s="67"/>
      <c r="P99" s="67">
        <f t="shared" si="1049"/>
        <v>-6.2873310279786226E-4</v>
      </c>
      <c r="Q99" s="67">
        <f t="shared" si="1049"/>
        <v>-7.3147538585326599E-4</v>
      </c>
      <c r="R99" s="67">
        <f t="shared" si="1049"/>
        <v>-3.5075997995657258E-3</v>
      </c>
      <c r="S99" s="67">
        <f t="shared" si="1049"/>
        <v>-3.1487162925884064E-3</v>
      </c>
      <c r="T99" s="67">
        <f t="shared" si="1049"/>
        <v>-1.9505467441631365E-3</v>
      </c>
      <c r="U99" s="67"/>
      <c r="V99" s="67">
        <f t="shared" si="1050"/>
        <v>5.0433730078676615E-4</v>
      </c>
      <c r="W99" s="67">
        <f t="shared" si="1050"/>
        <v>2.9001074113856069E-3</v>
      </c>
      <c r="X99" s="67">
        <f t="shared" si="1050"/>
        <v>1.0836584308625921E-4</v>
      </c>
      <c r="Y99" s="67">
        <f t="shared" si="1050"/>
        <v>2.8382213812677389E-4</v>
      </c>
      <c r="Z99" s="67">
        <f t="shared" si="1050"/>
        <v>9.2255650658602838E-4</v>
      </c>
      <c r="AA99" s="67"/>
      <c r="AB99" s="67">
        <f t="shared" si="1051"/>
        <v>-4.4678759717630236E-4</v>
      </c>
      <c r="AC99" s="67">
        <f t="shared" si="1051"/>
        <v>-8.2014270483064052E-5</v>
      </c>
      <c r="AD99" s="67">
        <f t="shared" si="1051"/>
        <v>1.195865721363287E-3</v>
      </c>
      <c r="AE99" s="67">
        <f t="shared" si="1051"/>
        <v>1.0689470871191875E-3</v>
      </c>
      <c r="AF99" s="67">
        <f t="shared" si="1051"/>
        <v>4.5654519797459948E-4</v>
      </c>
      <c r="AG99" s="67"/>
      <c r="AH99" s="67">
        <f t="shared" si="1052"/>
        <v>6.9843240726369707E-4</v>
      </c>
      <c r="AI99" s="67">
        <f t="shared" si="1052"/>
        <v>9.6018908338872883E-4</v>
      </c>
      <c r="AJ99" s="67">
        <f t="shared" si="1052"/>
        <v>2.2412102535369098E-3</v>
      </c>
      <c r="AK99" s="67">
        <f t="shared" si="1052"/>
        <v>2.7093440866990106E-3</v>
      </c>
      <c r="AL99" s="67">
        <f t="shared" si="1052"/>
        <v>1.7145685297132959E-3</v>
      </c>
      <c r="AM99" s="67"/>
      <c r="AN99" s="67">
        <f t="shared" si="1053"/>
        <v>-1.2583614808927743E-3</v>
      </c>
      <c r="AO99" s="67">
        <f t="shared" si="1053"/>
        <v>-3.6264732547597464E-4</v>
      </c>
      <c r="AP99" s="67">
        <f t="shared" si="1053"/>
        <v>-4.3782837127845885E-4</v>
      </c>
      <c r="AQ99" s="67">
        <f t="shared" si="1053"/>
        <v>4.9270185379072487E-4</v>
      </c>
      <c r="AR99" s="67">
        <f t="shared" si="1053"/>
        <v>-3.7576915248399068E-4</v>
      </c>
      <c r="AS99" s="67"/>
      <c r="AT99" s="67">
        <f t="shared" si="1054"/>
        <v>-2.6737967914438501E-3</v>
      </c>
      <c r="AU99" s="67">
        <f t="shared" si="1054"/>
        <v>-1.1363636363636363E-3</v>
      </c>
      <c r="AV99" s="264">
        <f t="shared" si="1054"/>
        <v>-1.3131114175037751E-3</v>
      </c>
      <c r="AW99" s="67">
        <f t="shared" si="1054"/>
        <v>0</v>
      </c>
      <c r="AX99" s="67">
        <f t="shared" si="1054"/>
        <v>-1.2612461111578242E-3</v>
      </c>
      <c r="AY99" s="67"/>
      <c r="AZ99" s="67">
        <f t="shared" si="1055"/>
        <v>0</v>
      </c>
      <c r="BA99" s="67">
        <f t="shared" si="1055"/>
        <v>0</v>
      </c>
      <c r="BB99" s="67">
        <f t="shared" si="1055"/>
        <v>0</v>
      </c>
      <c r="BC99" s="67">
        <f t="shared" si="1055"/>
        <v>0</v>
      </c>
      <c r="BD99" s="67">
        <f t="shared" si="1055"/>
        <v>0</v>
      </c>
      <c r="BE99" s="67"/>
      <c r="BF99" s="67">
        <f t="shared" si="1056"/>
        <v>0</v>
      </c>
      <c r="BG99" s="67">
        <f t="shared" si="1056"/>
        <v>0</v>
      </c>
      <c r="BH99" s="67">
        <f t="shared" si="1056"/>
        <v>0</v>
      </c>
      <c r="BI99" s="67">
        <f t="shared" si="1056"/>
        <v>0</v>
      </c>
      <c r="BJ99" s="67">
        <f t="shared" si="1056"/>
        <v>0</v>
      </c>
      <c r="BK99" s="67"/>
      <c r="BL99" s="67">
        <f t="shared" si="1057"/>
        <v>0</v>
      </c>
      <c r="BM99" s="67">
        <f t="shared" si="1057"/>
        <v>0</v>
      </c>
      <c r="BN99" s="67">
        <f t="shared" si="1057"/>
        <v>0</v>
      </c>
      <c r="BO99" s="67">
        <f t="shared" si="1057"/>
        <v>0</v>
      </c>
      <c r="BP99" s="67">
        <f t="shared" si="1057"/>
        <v>0</v>
      </c>
      <c r="BQ99" s="67"/>
      <c r="BR99" s="67">
        <f t="shared" si="1058"/>
        <v>0</v>
      </c>
      <c r="BS99" s="67">
        <f t="shared" si="1058"/>
        <v>0</v>
      </c>
      <c r="BT99" s="67">
        <f t="shared" si="1058"/>
        <v>0</v>
      </c>
      <c r="BU99" s="67">
        <f t="shared" si="1058"/>
        <v>0</v>
      </c>
      <c r="BV99" s="67">
        <f t="shared" si="1058"/>
        <v>0</v>
      </c>
      <c r="BW99" s="67"/>
      <c r="BX99" s="67">
        <f t="shared" si="1059"/>
        <v>0</v>
      </c>
      <c r="BY99" s="67">
        <f t="shared" si="1059"/>
        <v>0</v>
      </c>
      <c r="BZ99" s="67">
        <f t="shared" si="1059"/>
        <v>0</v>
      </c>
      <c r="CA99" s="67">
        <f t="shared" si="1059"/>
        <v>0</v>
      </c>
      <c r="CB99" s="67">
        <f t="shared" si="1059"/>
        <v>0</v>
      </c>
      <c r="CC99" s="67"/>
      <c r="CD99" s="67">
        <f t="shared" si="1060"/>
        <v>0</v>
      </c>
      <c r="CE99" s="67">
        <f t="shared" si="1060"/>
        <v>0</v>
      </c>
      <c r="CF99" s="67">
        <f t="shared" si="1060"/>
        <v>0</v>
      </c>
      <c r="CG99" s="67">
        <f t="shared" si="1060"/>
        <v>0</v>
      </c>
      <c r="CH99" s="67">
        <f t="shared" si="1060"/>
        <v>0</v>
      </c>
      <c r="CI99" s="67"/>
      <c r="CJ99" s="67">
        <f t="shared" si="1061"/>
        <v>0</v>
      </c>
      <c r="CK99" s="67">
        <f t="shared" si="1061"/>
        <v>0</v>
      </c>
      <c r="CL99" s="67">
        <f t="shared" si="1061"/>
        <v>0</v>
      </c>
      <c r="CM99" s="67">
        <f t="shared" si="1061"/>
        <v>0</v>
      </c>
      <c r="CN99" s="67">
        <f t="shared" si="1061"/>
        <v>0</v>
      </c>
      <c r="CO99" s="239"/>
    </row>
    <row r="100" spans="1:93" s="137" customFormat="1" ht="18" customHeight="1" x14ac:dyDescent="0.25">
      <c r="B100" s="155" t="s">
        <v>384</v>
      </c>
      <c r="C100" s="155"/>
      <c r="D100" s="396">
        <f>SUM(D95:D99)</f>
        <v>1</v>
      </c>
      <c r="E100" s="396">
        <f t="shared" ref="E100:J100" si="1062">SUM(E95:E99)</f>
        <v>1</v>
      </c>
      <c r="F100" s="396">
        <f t="shared" si="1062"/>
        <v>1</v>
      </c>
      <c r="G100" s="396">
        <f t="shared" si="1062"/>
        <v>1</v>
      </c>
      <c r="H100" s="396">
        <f t="shared" si="1062"/>
        <v>0.99999999999999989</v>
      </c>
      <c r="I100" s="155"/>
      <c r="J100" s="396">
        <f t="shared" si="1062"/>
        <v>1</v>
      </c>
      <c r="K100" s="396">
        <f t="shared" ref="K100" si="1063">SUM(K95:K99)</f>
        <v>0.99999999999999989</v>
      </c>
      <c r="L100" s="396">
        <f t="shared" ref="L100" si="1064">SUM(L95:L99)</f>
        <v>1</v>
      </c>
      <c r="M100" s="396">
        <f t="shared" ref="M100" si="1065">SUM(M95:M99)</f>
        <v>1</v>
      </c>
      <c r="N100" s="396">
        <f t="shared" ref="N100" si="1066">SUM(N95:N99)</f>
        <v>1</v>
      </c>
      <c r="O100" s="155"/>
      <c r="P100" s="396">
        <f t="shared" ref="P100" si="1067">SUM(P95:P99)</f>
        <v>1</v>
      </c>
      <c r="Q100" s="396">
        <f t="shared" ref="Q100" si="1068">SUM(Q95:Q99)</f>
        <v>0.99999999999999989</v>
      </c>
      <c r="R100" s="396">
        <f t="shared" ref="R100" si="1069">SUM(R95:R99)</f>
        <v>1</v>
      </c>
      <c r="S100" s="396">
        <f t="shared" ref="S100" si="1070">SUM(S95:S99)</f>
        <v>1</v>
      </c>
      <c r="T100" s="396">
        <f t="shared" ref="T100" si="1071">SUM(T95:T99)</f>
        <v>1</v>
      </c>
      <c r="U100" s="155"/>
      <c r="V100" s="396">
        <f t="shared" ref="V100" si="1072">SUM(V95:V99)</f>
        <v>1</v>
      </c>
      <c r="W100" s="396">
        <f t="shared" ref="W100" si="1073">SUM(W95:W99)</f>
        <v>1.0000000000000002</v>
      </c>
      <c r="X100" s="396">
        <f t="shared" ref="X100" si="1074">SUM(X95:X99)</f>
        <v>1</v>
      </c>
      <c r="Y100" s="396">
        <f t="shared" ref="Y100" si="1075">SUM(Y95:Y99)</f>
        <v>1</v>
      </c>
      <c r="Z100" s="396">
        <f t="shared" ref="Z100" si="1076">SUM(Z95:Z99)</f>
        <v>1</v>
      </c>
      <c r="AA100" s="155"/>
      <c r="AB100" s="396">
        <f t="shared" ref="AB100" si="1077">SUM(AB95:AB99)</f>
        <v>1</v>
      </c>
      <c r="AC100" s="396">
        <f t="shared" ref="AC100" si="1078">SUM(AC95:AC99)</f>
        <v>1</v>
      </c>
      <c r="AD100" s="396">
        <f t="shared" ref="AD100" si="1079">SUM(AD95:AD99)</f>
        <v>0.99999999999999989</v>
      </c>
      <c r="AE100" s="396">
        <f t="shared" ref="AE100" si="1080">SUM(AE95:AE99)</f>
        <v>1</v>
      </c>
      <c r="AF100" s="396">
        <f t="shared" ref="AF100" si="1081">SUM(AF95:AF99)</f>
        <v>1</v>
      </c>
      <c r="AG100" s="155"/>
      <c r="AH100" s="396">
        <f t="shared" ref="AH100" si="1082">SUM(AH95:AH99)</f>
        <v>1</v>
      </c>
      <c r="AI100" s="396">
        <f t="shared" ref="AI100" si="1083">SUM(AI95:AI99)</f>
        <v>0.99999999999999989</v>
      </c>
      <c r="AJ100" s="396">
        <f t="shared" ref="AJ100" si="1084">SUM(AJ95:AJ99)</f>
        <v>1</v>
      </c>
      <c r="AK100" s="396">
        <f t="shared" ref="AK100" si="1085">SUM(AK95:AK99)</f>
        <v>0.99999999999999978</v>
      </c>
      <c r="AL100" s="396">
        <f t="shared" ref="AL100" si="1086">SUM(AL95:AL99)</f>
        <v>0.99999999999999989</v>
      </c>
      <c r="AM100" s="155"/>
      <c r="AN100" s="396">
        <f t="shared" ref="AN100" si="1087">SUM(AN95:AN99)</f>
        <v>1</v>
      </c>
      <c r="AO100" s="396">
        <f t="shared" ref="AO100" si="1088">SUM(AO95:AO99)</f>
        <v>1</v>
      </c>
      <c r="AP100" s="396">
        <f t="shared" ref="AP100" si="1089">SUM(AP95:AP99)</f>
        <v>1</v>
      </c>
      <c r="AQ100" s="396">
        <f t="shared" ref="AQ100" si="1090">SUM(AQ95:AQ99)</f>
        <v>1.0000000000000002</v>
      </c>
      <c r="AR100" s="396">
        <f t="shared" ref="AR100" si="1091">SUM(AR95:AR99)</f>
        <v>1</v>
      </c>
      <c r="AS100" s="155"/>
      <c r="AT100" s="396">
        <f t="shared" ref="AT100:AX100" si="1092">SUM(AT95:AT99)</f>
        <v>1</v>
      </c>
      <c r="AU100" s="396">
        <f t="shared" si="1092"/>
        <v>0.99999999999999989</v>
      </c>
      <c r="AV100" s="398">
        <f t="shared" si="1092"/>
        <v>1</v>
      </c>
      <c r="AW100" s="396">
        <f t="shared" si="1092"/>
        <v>1</v>
      </c>
      <c r="AX100" s="396">
        <f t="shared" si="1092"/>
        <v>1</v>
      </c>
      <c r="AY100" s="396"/>
      <c r="AZ100" s="396">
        <f t="shared" ref="AZ100:BD100" si="1093">SUM(AZ95:AZ99)</f>
        <v>1</v>
      </c>
      <c r="BA100" s="396">
        <f t="shared" si="1093"/>
        <v>1.0000000000000002</v>
      </c>
      <c r="BB100" s="396">
        <f t="shared" si="1093"/>
        <v>0.99999999999999989</v>
      </c>
      <c r="BC100" s="396">
        <f t="shared" si="1093"/>
        <v>1</v>
      </c>
      <c r="BD100" s="396">
        <f t="shared" si="1093"/>
        <v>1</v>
      </c>
      <c r="BE100" s="396"/>
      <c r="BF100" s="396">
        <f t="shared" ref="BF100:BJ100" si="1094">SUM(BF95:BF99)</f>
        <v>1</v>
      </c>
      <c r="BG100" s="396">
        <f t="shared" si="1094"/>
        <v>1</v>
      </c>
      <c r="BH100" s="396">
        <f t="shared" si="1094"/>
        <v>0.99999999999999978</v>
      </c>
      <c r="BI100" s="396">
        <f t="shared" si="1094"/>
        <v>0.99999999999999978</v>
      </c>
      <c r="BJ100" s="396">
        <f t="shared" si="1094"/>
        <v>1.0000000000000002</v>
      </c>
      <c r="BK100" s="396"/>
      <c r="BL100" s="396">
        <f t="shared" ref="BL100:BP100" si="1095">SUM(BL95:BL99)</f>
        <v>1</v>
      </c>
      <c r="BM100" s="396">
        <f t="shared" si="1095"/>
        <v>1</v>
      </c>
      <c r="BN100" s="396">
        <f t="shared" si="1095"/>
        <v>0.99999999999999989</v>
      </c>
      <c r="BO100" s="396">
        <f t="shared" si="1095"/>
        <v>1.0000000000000002</v>
      </c>
      <c r="BP100" s="396">
        <f t="shared" si="1095"/>
        <v>1.0000000000000002</v>
      </c>
      <c r="BQ100" s="396"/>
      <c r="BR100" s="396">
        <f t="shared" ref="BR100:BV100" si="1096">SUM(BR95:BR99)</f>
        <v>1</v>
      </c>
      <c r="BS100" s="396">
        <f t="shared" si="1096"/>
        <v>0.99999999999999989</v>
      </c>
      <c r="BT100" s="396">
        <f t="shared" si="1096"/>
        <v>1.0000000000000002</v>
      </c>
      <c r="BU100" s="396">
        <f t="shared" si="1096"/>
        <v>0.99999999999999989</v>
      </c>
      <c r="BV100" s="396">
        <f t="shared" si="1096"/>
        <v>1.0000000000000002</v>
      </c>
      <c r="BW100" s="396"/>
      <c r="BX100" s="396">
        <f t="shared" ref="BX100:CB100" si="1097">SUM(BX95:BX99)</f>
        <v>1</v>
      </c>
      <c r="BY100" s="396">
        <f t="shared" si="1097"/>
        <v>1.0000000000000002</v>
      </c>
      <c r="BZ100" s="396">
        <f t="shared" si="1097"/>
        <v>1.0000000000000002</v>
      </c>
      <c r="CA100" s="396">
        <f t="shared" si="1097"/>
        <v>1</v>
      </c>
      <c r="CB100" s="396">
        <f t="shared" si="1097"/>
        <v>0.99999999999999989</v>
      </c>
      <c r="CC100" s="396"/>
      <c r="CD100" s="396">
        <f t="shared" ref="CD100:CH100" si="1098">SUM(CD95:CD99)</f>
        <v>0.99999999999999978</v>
      </c>
      <c r="CE100" s="396">
        <f t="shared" si="1098"/>
        <v>1.0000000000000002</v>
      </c>
      <c r="CF100" s="396">
        <f t="shared" si="1098"/>
        <v>0.99999999999999989</v>
      </c>
      <c r="CG100" s="396">
        <f t="shared" si="1098"/>
        <v>1</v>
      </c>
      <c r="CH100" s="396">
        <f t="shared" si="1098"/>
        <v>1.0000000000000002</v>
      </c>
      <c r="CI100" s="396"/>
      <c r="CJ100" s="396">
        <f t="shared" ref="CJ100:CN100" si="1099">SUM(CJ95:CJ99)</f>
        <v>1</v>
      </c>
      <c r="CK100" s="396">
        <f t="shared" si="1099"/>
        <v>0.99999999999999989</v>
      </c>
      <c r="CL100" s="396">
        <f t="shared" si="1099"/>
        <v>1</v>
      </c>
      <c r="CM100" s="396">
        <f t="shared" si="1099"/>
        <v>0.99999999999999978</v>
      </c>
      <c r="CN100" s="396">
        <f t="shared" si="1099"/>
        <v>0.99999999999999978</v>
      </c>
      <c r="CO100" s="239"/>
    </row>
    <row r="101" spans="1:93" s="379" customFormat="1" ht="18" customHeight="1" x14ac:dyDescent="0.25">
      <c r="A101" s="137"/>
      <c r="B101" s="382"/>
      <c r="J101" s="246"/>
      <c r="K101" s="246"/>
      <c r="L101" s="246"/>
      <c r="M101" s="246"/>
      <c r="N101" s="246"/>
      <c r="O101" s="380"/>
      <c r="P101" s="246"/>
      <c r="Q101" s="246"/>
      <c r="R101" s="246"/>
      <c r="S101" s="246"/>
      <c r="T101" s="246"/>
      <c r="U101" s="380"/>
      <c r="V101" s="246"/>
      <c r="W101" s="246"/>
      <c r="X101" s="246"/>
      <c r="Y101" s="246"/>
      <c r="Z101" s="246"/>
      <c r="AA101" s="380"/>
      <c r="AB101" s="246"/>
      <c r="AC101" s="246"/>
      <c r="AD101" s="246"/>
      <c r="AE101" s="246"/>
      <c r="AF101" s="246"/>
      <c r="AH101" s="246"/>
      <c r="AI101" s="246"/>
      <c r="AJ101" s="246"/>
      <c r="AK101" s="246"/>
      <c r="AL101" s="246"/>
      <c r="AN101" s="246"/>
      <c r="AO101" s="246"/>
      <c r="AP101" s="246"/>
      <c r="AQ101" s="246"/>
      <c r="AR101" s="246"/>
      <c r="AS101" s="380"/>
      <c r="AT101" s="246"/>
      <c r="AU101" s="246"/>
      <c r="AV101" s="265"/>
      <c r="AW101" s="246"/>
      <c r="AX101" s="246"/>
      <c r="AY101" s="246"/>
      <c r="AZ101" s="246"/>
      <c r="BA101" s="246"/>
      <c r="BB101" s="246"/>
      <c r="BC101" s="246"/>
      <c r="BD101" s="246"/>
      <c r="BE101" s="246"/>
      <c r="BF101" s="246"/>
      <c r="BG101" s="246"/>
      <c r="BH101" s="246"/>
      <c r="BI101" s="246"/>
      <c r="BJ101" s="246"/>
      <c r="BK101" s="246"/>
      <c r="BL101" s="246"/>
      <c r="BM101" s="246"/>
      <c r="BN101" s="246"/>
      <c r="BO101" s="246"/>
      <c r="BP101" s="246"/>
      <c r="BQ101" s="246"/>
      <c r="BR101" s="246"/>
      <c r="BS101" s="246"/>
      <c r="BT101" s="246"/>
      <c r="BU101" s="246"/>
      <c r="BV101" s="246"/>
      <c r="BW101" s="246"/>
      <c r="BX101" s="246"/>
      <c r="BY101" s="246"/>
      <c r="BZ101" s="246"/>
      <c r="CA101" s="246"/>
      <c r="CB101" s="246"/>
      <c r="CC101" s="246"/>
      <c r="CD101" s="246"/>
      <c r="CE101" s="246"/>
      <c r="CF101" s="246"/>
      <c r="CG101" s="246"/>
      <c r="CH101" s="246"/>
      <c r="CI101" s="246"/>
      <c r="CJ101" s="246"/>
      <c r="CK101" s="246"/>
      <c r="CL101" s="246"/>
      <c r="CM101" s="246"/>
      <c r="CN101" s="246"/>
    </row>
    <row r="102" spans="1:93" s="379" customFormat="1" ht="18" customHeight="1" x14ac:dyDescent="0.25">
      <c r="A102" s="137"/>
      <c r="B102" s="386" t="s">
        <v>117</v>
      </c>
      <c r="J102" s="246"/>
      <c r="K102" s="246"/>
      <c r="L102" s="246"/>
      <c r="M102" s="246"/>
      <c r="N102" s="246"/>
      <c r="O102" s="380"/>
      <c r="P102" s="246"/>
      <c r="Q102" s="246"/>
      <c r="R102" s="246"/>
      <c r="S102" s="246"/>
      <c r="T102" s="246"/>
      <c r="U102" s="380"/>
      <c r="V102" s="246"/>
      <c r="W102" s="246"/>
      <c r="X102" s="246"/>
      <c r="Y102" s="246"/>
      <c r="Z102" s="246"/>
      <c r="AA102" s="380"/>
      <c r="AB102" s="246"/>
      <c r="AC102" s="246"/>
      <c r="AD102" s="246"/>
      <c r="AE102" s="246"/>
      <c r="AF102" s="246"/>
      <c r="AH102" s="246"/>
      <c r="AI102" s="246"/>
      <c r="AJ102" s="246"/>
      <c r="AK102" s="246"/>
      <c r="AL102" s="246"/>
      <c r="AN102" s="246"/>
      <c r="AO102" s="246"/>
      <c r="AP102" s="246"/>
      <c r="AQ102" s="246"/>
      <c r="AR102" s="246"/>
      <c r="AS102" s="380"/>
      <c r="AT102" s="246"/>
      <c r="AU102" s="246"/>
      <c r="AV102" s="265"/>
      <c r="AW102" s="246"/>
      <c r="AX102" s="246"/>
      <c r="AY102" s="246"/>
      <c r="AZ102" s="246"/>
      <c r="BA102" s="246"/>
      <c r="BB102" s="246"/>
      <c r="BC102" s="246"/>
      <c r="BD102" s="246"/>
      <c r="BE102" s="246"/>
      <c r="BF102" s="246"/>
      <c r="BG102" s="246"/>
      <c r="BH102" s="246"/>
      <c r="BI102" s="246"/>
      <c r="BJ102" s="246"/>
      <c r="BK102" s="246"/>
      <c r="BL102" s="246"/>
      <c r="BM102" s="246"/>
      <c r="BN102" s="246"/>
      <c r="BO102" s="246"/>
      <c r="BP102" s="246"/>
      <c r="BQ102" s="246"/>
      <c r="BR102" s="246"/>
      <c r="BS102" s="246"/>
      <c r="BT102" s="246"/>
      <c r="BU102" s="246"/>
      <c r="BV102" s="246"/>
      <c r="BW102" s="246"/>
      <c r="BX102" s="246"/>
      <c r="BY102" s="246"/>
      <c r="BZ102" s="246"/>
      <c r="CA102" s="246"/>
      <c r="CB102" s="246"/>
      <c r="CC102" s="246"/>
      <c r="CD102" s="246"/>
      <c r="CE102" s="246"/>
      <c r="CF102" s="246"/>
      <c r="CG102" s="246"/>
      <c r="CH102" s="246"/>
      <c r="CI102" s="246"/>
      <c r="CJ102" s="246"/>
      <c r="CK102" s="246"/>
      <c r="CL102" s="246"/>
      <c r="CM102" s="246"/>
      <c r="CN102" s="246"/>
    </row>
    <row r="103" spans="1:93" s="379" customFormat="1" ht="18" customHeight="1" x14ac:dyDescent="0.25">
      <c r="A103" s="137"/>
      <c r="B103" s="31" t="s">
        <v>372</v>
      </c>
      <c r="D103" s="425">
        <f>D155</f>
        <v>0.15463414634146341</v>
      </c>
      <c r="E103" s="425">
        <f t="shared" ref="E103:H103" si="1100">E155</f>
        <v>0.18148820326678766</v>
      </c>
      <c r="F103" s="425">
        <f t="shared" si="1100"/>
        <v>0.1809250920998772</v>
      </c>
      <c r="G103" s="425">
        <f t="shared" si="1100"/>
        <v>0.15807365439093485</v>
      </c>
      <c r="H103" s="425">
        <f t="shared" si="1100"/>
        <v>0.16917879417879417</v>
      </c>
      <c r="J103" s="425">
        <f>J155</f>
        <v>0.19675885150607716</v>
      </c>
      <c r="K103" s="425">
        <f t="shared" ref="K103:N103" si="1101">K155</f>
        <v>0.18697342838626052</v>
      </c>
      <c r="L103" s="425">
        <f t="shared" si="1101"/>
        <v>0.18616927679042758</v>
      </c>
      <c r="M103" s="425">
        <f t="shared" si="1101"/>
        <v>0.1481156879929886</v>
      </c>
      <c r="N103" s="425">
        <f t="shared" si="1101"/>
        <v>0.17962731850066704</v>
      </c>
      <c r="O103" s="380"/>
      <c r="P103" s="425">
        <f>P155</f>
        <v>0.18474374255065554</v>
      </c>
      <c r="Q103" s="425">
        <f t="shared" ref="Q103:T103" si="1102">Q155</f>
        <v>0.19282511210762332</v>
      </c>
      <c r="R103" s="425">
        <f t="shared" si="1102"/>
        <v>0.17772735866893552</v>
      </c>
      <c r="S103" s="425">
        <f t="shared" si="1102"/>
        <v>0.13127490039840636</v>
      </c>
      <c r="T103" s="425">
        <f t="shared" si="1102"/>
        <v>0.17356174665548149</v>
      </c>
      <c r="U103" s="380"/>
      <c r="V103" s="425">
        <f>V155</f>
        <v>0.14862981885740828</v>
      </c>
      <c r="W103" s="425">
        <f t="shared" ref="W103:Z103" si="1103">W155</f>
        <v>0.12796442687747037</v>
      </c>
      <c r="X103" s="425">
        <f t="shared" si="1103"/>
        <v>0.14423076923076922</v>
      </c>
      <c r="Y103" s="425">
        <f t="shared" si="1103"/>
        <v>0.13975155279503104</v>
      </c>
      <c r="Z103" s="425">
        <f t="shared" si="1103"/>
        <v>0.1402648067147417</v>
      </c>
      <c r="AA103" s="380"/>
      <c r="AB103" s="425">
        <f>AB155</f>
        <v>0.19087745008243268</v>
      </c>
      <c r="AC103" s="425">
        <f t="shared" ref="AC103:AF103" si="1104">AC155</f>
        <v>0.18193069306930693</v>
      </c>
      <c r="AD103" s="425">
        <f t="shared" si="1104"/>
        <v>0.16479543292102758</v>
      </c>
      <c r="AE103" s="425">
        <f t="shared" si="1104"/>
        <v>0.13859832635983263</v>
      </c>
      <c r="AF103" s="425">
        <f t="shared" si="1104"/>
        <v>0.16882294399710485</v>
      </c>
      <c r="AH103" s="425">
        <f>AH155</f>
        <v>0.17285363859362224</v>
      </c>
      <c r="AI103" s="425">
        <f t="shared" ref="AI103:AL103" si="1105">AI155</f>
        <v>0.16393170893419526</v>
      </c>
      <c r="AJ103" s="425">
        <f t="shared" si="1105"/>
        <v>0.19263862332695986</v>
      </c>
      <c r="AK103" s="425">
        <f t="shared" si="1105"/>
        <v>0.21738495252008766</v>
      </c>
      <c r="AL103" s="425">
        <f t="shared" si="1105"/>
        <v>0.18770034429538168</v>
      </c>
      <c r="AN103" s="425">
        <f>AN155</f>
        <v>0.26534242514082418</v>
      </c>
      <c r="AO103" s="425">
        <f t="shared" ref="AO103:AR103" si="1106">AO155</f>
        <v>0.25202683813251325</v>
      </c>
      <c r="AP103" s="425">
        <f t="shared" si="1106"/>
        <v>0.2638948421203029</v>
      </c>
      <c r="AQ103" s="425">
        <f t="shared" si="1106"/>
        <v>0.23546556220279183</v>
      </c>
      <c r="AR103" s="425">
        <f t="shared" si="1106"/>
        <v>0.25439492304325628</v>
      </c>
      <c r="AS103" s="380"/>
      <c r="AT103" s="425">
        <f>AT155</f>
        <v>0.27459526774595266</v>
      </c>
      <c r="AU103" s="425">
        <f t="shared" ref="AU103:AX103" si="1107">AU155</f>
        <v>0.26051174622175671</v>
      </c>
      <c r="AV103" s="546">
        <f t="shared" si="1107"/>
        <v>0.23420015760441293</v>
      </c>
      <c r="AW103" s="425">
        <f t="shared" si="1107"/>
        <v>0.22638858997069683</v>
      </c>
      <c r="AX103" s="425">
        <f t="shared" si="1107"/>
        <v>0.24942649349019116</v>
      </c>
      <c r="AY103" s="425"/>
      <c r="AZ103" s="425">
        <f>AZ155</f>
        <v>0.26252090515034643</v>
      </c>
      <c r="BA103" s="425">
        <f t="shared" ref="BA103:BD103" si="1108">BA155</f>
        <v>0.24589825184940281</v>
      </c>
      <c r="BB103" s="425">
        <f t="shared" si="1108"/>
        <v>0.22432996576772149</v>
      </c>
      <c r="BC103" s="425">
        <f t="shared" si="1108"/>
        <v>0.22136152713991741</v>
      </c>
      <c r="BD103" s="425">
        <f t="shared" si="1108"/>
        <v>0.23850193559624822</v>
      </c>
      <c r="BE103" s="425"/>
      <c r="BF103" s="425">
        <f>BF155</f>
        <v>0.26904092308592648</v>
      </c>
      <c r="BG103" s="425">
        <f t="shared" ref="BG103:BJ103" si="1109">BG155</f>
        <v>0.25320754197036832</v>
      </c>
      <c r="BH103" s="425">
        <f t="shared" si="1109"/>
        <v>0.23266193973761964</v>
      </c>
      <c r="BI103" s="425">
        <f t="shared" si="1109"/>
        <v>0.22983361205831451</v>
      </c>
      <c r="BJ103" s="425">
        <f t="shared" si="1109"/>
        <v>0.24616149799387918</v>
      </c>
      <c r="BK103" s="425"/>
      <c r="BL103" s="425">
        <f>BL155</f>
        <v>0.27334089603690731</v>
      </c>
      <c r="BM103" s="425">
        <f t="shared" ref="BM103:BP103" si="1110">BM155</f>
        <v>0.25802808425934204</v>
      </c>
      <c r="BN103" s="425">
        <f t="shared" si="1110"/>
        <v>0.23817731604457418</v>
      </c>
      <c r="BO103" s="425">
        <f t="shared" si="1110"/>
        <v>0.23545780319980031</v>
      </c>
      <c r="BP103" s="425">
        <f t="shared" si="1110"/>
        <v>0.25122596704726519</v>
      </c>
      <c r="BQ103" s="425"/>
      <c r="BR103" s="425">
        <f>BR155</f>
        <v>0.27750297852454275</v>
      </c>
      <c r="BS103" s="425">
        <f t="shared" ref="BS103:BV103" si="1111">BS155</f>
        <v>0.26269400111708885</v>
      </c>
      <c r="BT103" s="425">
        <f t="shared" si="1111"/>
        <v>0.24351514210962097</v>
      </c>
      <c r="BU103" s="425">
        <f t="shared" si="1111"/>
        <v>0.24090045173161678</v>
      </c>
      <c r="BV103" s="425">
        <f t="shared" si="1111"/>
        <v>0.25612759766395132</v>
      </c>
      <c r="BW103" s="425"/>
      <c r="BX103" s="425">
        <f>BX155</f>
        <v>0.28153146982814831</v>
      </c>
      <c r="BY103" s="425">
        <f t="shared" ref="BY103:CB103" si="1112">BY155</f>
        <v>0.2672101161578227</v>
      </c>
      <c r="BZ103" s="425">
        <f t="shared" si="1112"/>
        <v>0.24868097515671192</v>
      </c>
      <c r="CA103" s="425">
        <f t="shared" si="1112"/>
        <v>0.24616725356718466</v>
      </c>
      <c r="CB103" s="425">
        <f t="shared" si="1112"/>
        <v>0.26087148040834351</v>
      </c>
      <c r="CC103" s="425"/>
      <c r="CD103" s="425">
        <f>CD155</f>
        <v>0.28543054000521112</v>
      </c>
      <c r="CE103" s="425">
        <f t="shared" ref="CE103:CH103" si="1113">CE155</f>
        <v>0.27158110785483236</v>
      </c>
      <c r="CF103" s="425">
        <f t="shared" si="1113"/>
        <v>0.25368020473236086</v>
      </c>
      <c r="CG103" s="425">
        <f t="shared" si="1113"/>
        <v>0.25126373245211175</v>
      </c>
      <c r="CH103" s="425">
        <f t="shared" si="1113"/>
        <v>0.26546255243790046</v>
      </c>
      <c r="CI103" s="425"/>
      <c r="CJ103" s="425">
        <f>CJ155</f>
        <v>0.28920423356409242</v>
      </c>
      <c r="CK103" s="425">
        <f t="shared" ref="CK103:CN103" si="1114">CK155</f>
        <v>0.27581151367565288</v>
      </c>
      <c r="CL103" s="425">
        <f t="shared" si="1114"/>
        <v>0.25851805749099216</v>
      </c>
      <c r="CM103" s="425">
        <f t="shared" si="1114"/>
        <v>0.25619524487990514</v>
      </c>
      <c r="CN103" s="425">
        <f t="shared" si="1114"/>
        <v>0.26990560187524598</v>
      </c>
    </row>
    <row r="104" spans="1:93" s="379" customFormat="1" ht="18" customHeight="1" x14ac:dyDescent="0.25">
      <c r="A104" s="137"/>
      <c r="B104" s="31" t="s">
        <v>402</v>
      </c>
      <c r="D104" s="425">
        <f>D196</f>
        <v>9.0857467348097673E-2</v>
      </c>
      <c r="E104" s="425">
        <f t="shared" ref="E104:H104" si="1115">E196</f>
        <v>5.3921568627450983E-2</v>
      </c>
      <c r="F104" s="425">
        <f t="shared" si="1115"/>
        <v>0.11707566462167689</v>
      </c>
      <c r="G104" s="425">
        <f t="shared" si="1115"/>
        <v>9.0987868284228765E-2</v>
      </c>
      <c r="H104" s="425">
        <f t="shared" si="1115"/>
        <v>8.879277445617606E-2</v>
      </c>
      <c r="J104" s="425">
        <f>J196</f>
        <v>0.16370723256821135</v>
      </c>
      <c r="K104" s="425">
        <f t="shared" ref="K104:N104" si="1116">K196</f>
        <v>0.16270783847980996</v>
      </c>
      <c r="L104" s="425">
        <f t="shared" si="1116"/>
        <v>0.15693707354056102</v>
      </c>
      <c r="M104" s="425">
        <f t="shared" si="1116"/>
        <v>0.14301036825169824</v>
      </c>
      <c r="N104" s="425">
        <f t="shared" si="1116"/>
        <v>0.1560856864654333</v>
      </c>
      <c r="O104" s="380"/>
      <c r="P104" s="425">
        <f>P196</f>
        <v>0.20930232558139536</v>
      </c>
      <c r="Q104" s="425">
        <f t="shared" ref="Q104:T104" si="1117">Q196</f>
        <v>0.17062788222774034</v>
      </c>
      <c r="R104" s="425">
        <f t="shared" si="1117"/>
        <v>0.13463203463203463</v>
      </c>
      <c r="S104" s="425">
        <f t="shared" si="1117"/>
        <v>0.10897703549060543</v>
      </c>
      <c r="T104" s="425">
        <f t="shared" si="1117"/>
        <v>0.15852471778902297</v>
      </c>
      <c r="U104" s="380"/>
      <c r="V104" s="425">
        <f>V196</f>
        <v>0.14587332053742802</v>
      </c>
      <c r="W104" s="425">
        <f t="shared" ref="W104:Z104" si="1118">W196</f>
        <v>8.3242059145673605E-2</v>
      </c>
      <c r="X104" s="425">
        <f t="shared" si="1118"/>
        <v>9.1960352422907496E-2</v>
      </c>
      <c r="Y104" s="425">
        <f t="shared" si="1118"/>
        <v>0.12522935779816513</v>
      </c>
      <c r="Z104" s="425">
        <f t="shared" si="1118"/>
        <v>0.1133316468504933</v>
      </c>
      <c r="AA104" s="380"/>
      <c r="AB104" s="425">
        <f>AB196</f>
        <v>0.14325068870523416</v>
      </c>
      <c r="AC104" s="425">
        <f t="shared" ref="AC104:AF104" si="1119">AC196</f>
        <v>0.13702394974479781</v>
      </c>
      <c r="AD104" s="425">
        <f t="shared" si="1119"/>
        <v>0.11834319526627218</v>
      </c>
      <c r="AE104" s="425">
        <f t="shared" si="1119"/>
        <v>0.10592129459360058</v>
      </c>
      <c r="AF104" s="425">
        <f t="shared" si="1119"/>
        <v>0.12528032619775739</v>
      </c>
      <c r="AH104" s="425">
        <f>AH196</f>
        <v>0.12756183745583038</v>
      </c>
      <c r="AI104" s="425">
        <f t="shared" ref="AI104:AL104" si="1120">AI196</f>
        <v>0.1198919284025667</v>
      </c>
      <c r="AJ104" s="425">
        <f t="shared" si="1120"/>
        <v>0.16391318432134758</v>
      </c>
      <c r="AK104" s="425">
        <f t="shared" si="1120"/>
        <v>0.1760768335273574</v>
      </c>
      <c r="AL104" s="425">
        <f t="shared" si="1120"/>
        <v>0.14836771154783174</v>
      </c>
      <c r="AN104" s="425">
        <f>AN196</f>
        <v>0.22293551210971696</v>
      </c>
      <c r="AO104" s="425">
        <f t="shared" ref="AO104:AR104" si="1121">AO196</f>
        <v>0.20769014875105249</v>
      </c>
      <c r="AP104" s="425">
        <f t="shared" si="1121"/>
        <v>0.21784541927782752</v>
      </c>
      <c r="AQ104" s="425">
        <f t="shared" si="1121"/>
        <v>0.18507094386181369</v>
      </c>
      <c r="AR104" s="425">
        <f t="shared" si="1121"/>
        <v>0.20864315688728557</v>
      </c>
      <c r="AS104" s="380"/>
      <c r="AT104" s="425">
        <f>AT196</f>
        <v>0.22862511744440964</v>
      </c>
      <c r="AU104" s="425">
        <f>AU196</f>
        <v>0.22395508421709295</v>
      </c>
      <c r="AV104" s="546">
        <f>AV196</f>
        <v>0.20442536327608982</v>
      </c>
      <c r="AW104" s="425">
        <f>AW196</f>
        <v>0.1922068804118886</v>
      </c>
      <c r="AX104" s="425">
        <f>AX196</f>
        <v>0.21274671648641902</v>
      </c>
      <c r="AY104" s="425"/>
      <c r="AZ104" s="425">
        <f>AZ196</f>
        <v>0.22114732544460591</v>
      </c>
      <c r="BA104" s="425">
        <f>BA196</f>
        <v>0.22153202446089473</v>
      </c>
      <c r="BB104" s="425">
        <f>BB196</f>
        <v>0.20654990248123895</v>
      </c>
      <c r="BC104" s="425">
        <f>BC196</f>
        <v>0.19504085795520762</v>
      </c>
      <c r="BD104" s="425">
        <f>BD196</f>
        <v>0.2109379641558842</v>
      </c>
      <c r="BE104" s="425"/>
      <c r="BF104" s="425">
        <f>BF196</f>
        <v>0.22316339662053788</v>
      </c>
      <c r="BG104" s="425">
        <f t="shared" ref="BG104:BJ104" si="1122">BG196</f>
        <v>0.22353752075537162</v>
      </c>
      <c r="BH104" s="425">
        <f t="shared" si="1122"/>
        <v>0.20911713939608523</v>
      </c>
      <c r="BI104" s="425">
        <f t="shared" si="1122"/>
        <v>0.19803912189654807</v>
      </c>
      <c r="BJ104" s="425">
        <f t="shared" si="1122"/>
        <v>0.21333950948451935</v>
      </c>
      <c r="BK104" s="425"/>
      <c r="BL104" s="425">
        <f>BL196</f>
        <v>0.22510598323266118</v>
      </c>
      <c r="BM104" s="425">
        <f t="shared" ref="BM104:BP104" si="1123">BM196</f>
        <v>0.22546963580714535</v>
      </c>
      <c r="BN104" s="425">
        <f t="shared" si="1123"/>
        <v>0.21159045673484295</v>
      </c>
      <c r="BO104" s="425">
        <f t="shared" si="1123"/>
        <v>0.20092774347162054</v>
      </c>
      <c r="BP104" s="425">
        <f t="shared" si="1123"/>
        <v>0.21565327912883345</v>
      </c>
      <c r="BQ104" s="425"/>
      <c r="BR104" s="425">
        <f>BR196</f>
        <v>0.22697761712181969</v>
      </c>
      <c r="BS104" s="425">
        <f t="shared" ref="BS104:BV104" si="1124">BS196</f>
        <v>0.22733091876024472</v>
      </c>
      <c r="BT104" s="425">
        <f t="shared" si="1124"/>
        <v>0.21397311594314072</v>
      </c>
      <c r="BU104" s="425">
        <f t="shared" si="1124"/>
        <v>0.2037105267281159</v>
      </c>
      <c r="BV104" s="425">
        <f t="shared" si="1124"/>
        <v>0.21788231511147779</v>
      </c>
      <c r="BW104" s="425"/>
      <c r="BX104" s="425">
        <f>BX196</f>
        <v>0.22878075372602541</v>
      </c>
      <c r="BY104" s="425">
        <f t="shared" ref="BY104:CB104" si="1125">BY196</f>
        <v>0.22912384025589549</v>
      </c>
      <c r="BZ104" s="425">
        <f t="shared" si="1125"/>
        <v>0.21626827811576121</v>
      </c>
      <c r="CA104" s="425">
        <f t="shared" si="1125"/>
        <v>0.20639115892256868</v>
      </c>
      <c r="CB104" s="425">
        <f t="shared" si="1125"/>
        <v>0.22002956631234596</v>
      </c>
      <c r="CC104" s="425"/>
      <c r="CD104" s="425">
        <f>CD196</f>
        <v>0.23051777356853009</v>
      </c>
      <c r="CE104" s="425">
        <f t="shared" ref="CE104:CH104" si="1126">CE196</f>
        <v>0.23085079409178452</v>
      </c>
      <c r="CF104" s="425">
        <f t="shared" si="1126"/>
        <v>0.21847900611055174</v>
      </c>
      <c r="CG104" s="425">
        <f t="shared" si="1126"/>
        <v>0.20897321295985297</v>
      </c>
      <c r="CH104" s="425">
        <f t="shared" si="1126"/>
        <v>0.22209789039352626</v>
      </c>
      <c r="CI104" s="425"/>
      <c r="CJ104" s="425">
        <f>CJ196</f>
        <v>0.23219098378426187</v>
      </c>
      <c r="CK104" s="425">
        <f t="shared" ref="CK104:CN104" si="1127">CK196</f>
        <v>0.23251409890809804</v>
      </c>
      <c r="CL104" s="425">
        <f t="shared" si="1127"/>
        <v>0.22060826669725719</v>
      </c>
      <c r="CM104" s="425">
        <f t="shared" si="1127"/>
        <v>0.21146014987534398</v>
      </c>
      <c r="CN104" s="425">
        <f t="shared" si="1127"/>
        <v>0.22409005576028496</v>
      </c>
    </row>
    <row r="105" spans="1:93" s="379" customFormat="1" ht="18" customHeight="1" x14ac:dyDescent="0.25">
      <c r="A105" s="137"/>
      <c r="B105" s="31" t="s">
        <v>373</v>
      </c>
      <c r="D105" s="425">
        <f>D262</f>
        <v>0.1317698259187621</v>
      </c>
      <c r="E105" s="425">
        <f t="shared" ref="E105:H105" si="1128">E262</f>
        <v>0.14555369127516779</v>
      </c>
      <c r="F105" s="425">
        <f t="shared" si="1128"/>
        <v>0.15357585779247623</v>
      </c>
      <c r="G105" s="425">
        <f t="shared" si="1128"/>
        <v>0.1549645390070922</v>
      </c>
      <c r="H105" s="425">
        <f t="shared" si="1128"/>
        <v>0.14735321432256734</v>
      </c>
      <c r="J105" s="425">
        <f>J262</f>
        <v>0.16746503161525197</v>
      </c>
      <c r="K105" s="425">
        <f t="shared" ref="K105:N105" si="1129">K262</f>
        <v>0.17679944095038436</v>
      </c>
      <c r="L105" s="425">
        <f t="shared" si="1129"/>
        <v>0.17515751575157515</v>
      </c>
      <c r="M105" s="425">
        <f t="shared" si="1129"/>
        <v>0.17162398600286305</v>
      </c>
      <c r="N105" s="425">
        <f t="shared" si="1129"/>
        <v>0.17283300416940969</v>
      </c>
      <c r="O105" s="380"/>
      <c r="P105" s="425">
        <f>P262</f>
        <v>0.16084452975047986</v>
      </c>
      <c r="Q105" s="425">
        <f t="shared" ref="Q105:T105" si="1130">Q262</f>
        <v>0.16150200510390084</v>
      </c>
      <c r="R105" s="425">
        <f t="shared" si="1130"/>
        <v>0.18727072633895819</v>
      </c>
      <c r="S105" s="425">
        <f t="shared" si="1130"/>
        <v>0.19583123213985543</v>
      </c>
      <c r="T105" s="425">
        <f t="shared" si="1130"/>
        <v>0.17694709689098068</v>
      </c>
      <c r="U105" s="380"/>
      <c r="V105" s="425">
        <f>V262</f>
        <v>0.13842262589100943</v>
      </c>
      <c r="W105" s="425">
        <f t="shared" ref="W105:Z105" si="1131">W262</f>
        <v>0.15039768618944324</v>
      </c>
      <c r="X105" s="425">
        <f t="shared" si="1131"/>
        <v>0.11824080749819754</v>
      </c>
      <c r="Y105" s="425">
        <f t="shared" si="1131"/>
        <v>0.14279775514446061</v>
      </c>
      <c r="Z105" s="425">
        <f t="shared" si="1131"/>
        <v>0.13766456783056669</v>
      </c>
      <c r="AA105" s="380"/>
      <c r="AB105" s="425">
        <f>AB262</f>
        <v>0.14976702906589751</v>
      </c>
      <c r="AC105" s="425">
        <f t="shared" ref="AC105:AF105" si="1132">AC262</f>
        <v>0.14834170854271356</v>
      </c>
      <c r="AD105" s="425">
        <f t="shared" si="1132"/>
        <v>0.13905849911364979</v>
      </c>
      <c r="AE105" s="425">
        <f t="shared" si="1132"/>
        <v>0.11958798882681564</v>
      </c>
      <c r="AF105" s="425">
        <f t="shared" si="1132"/>
        <v>0.1382165919061468</v>
      </c>
      <c r="AH105" s="425">
        <f>AH262</f>
        <v>0.10678840809845176</v>
      </c>
      <c r="AI105" s="425">
        <f t="shared" ref="AI105:AL105" si="1133">AI262</f>
        <v>0.11551270815074496</v>
      </c>
      <c r="AJ105" s="425">
        <f t="shared" si="1133"/>
        <v>0.151147752990624</v>
      </c>
      <c r="AK105" s="425">
        <f t="shared" si="1133"/>
        <v>0.17250476330060091</v>
      </c>
      <c r="AL105" s="425">
        <f t="shared" si="1133"/>
        <v>0.13931458403502864</v>
      </c>
      <c r="AN105" s="425">
        <f>AN262</f>
        <v>0.16901183242724657</v>
      </c>
      <c r="AO105" s="425">
        <f t="shared" ref="AO105:AR105" si="1134">AO262</f>
        <v>0.17578611996121346</v>
      </c>
      <c r="AP105" s="425">
        <f t="shared" si="1134"/>
        <v>0.17218253389706956</v>
      </c>
      <c r="AQ105" s="425">
        <f t="shared" si="1134"/>
        <v>0.18633459381927239</v>
      </c>
      <c r="AR105" s="425">
        <f t="shared" si="1134"/>
        <v>0.17627941859219315</v>
      </c>
      <c r="AS105" s="380"/>
      <c r="AT105" s="425">
        <f>AT262</f>
        <v>0.19473132764556203</v>
      </c>
      <c r="AU105" s="425">
        <f>AU262</f>
        <v>0.20785062014447322</v>
      </c>
      <c r="AV105" s="546">
        <f>AV262</f>
        <v>0.19938778349798247</v>
      </c>
      <c r="AW105" s="425">
        <f>AW262</f>
        <v>0.19825603587161764</v>
      </c>
      <c r="AX105" s="425">
        <f>AX262</f>
        <v>0.20014320924245432</v>
      </c>
      <c r="AY105" s="425"/>
      <c r="AZ105" s="425">
        <f>AZ262</f>
        <v>0.20639255708791862</v>
      </c>
      <c r="BA105" s="425">
        <f>BA262</f>
        <v>0.22027378940254727</v>
      </c>
      <c r="BB105" s="425">
        <f>BB262</f>
        <v>0.20960018205536207</v>
      </c>
      <c r="BC105" s="425">
        <f>BC262</f>
        <v>0.20898419944609428</v>
      </c>
      <c r="BD105" s="425">
        <f>BD262</f>
        <v>0.21140260863401147</v>
      </c>
      <c r="BE105" s="425"/>
      <c r="BF105" s="425">
        <f>BF262</f>
        <v>0.21515834649095389</v>
      </c>
      <c r="BG105" s="425">
        <f t="shared" ref="BG105:BJ105" si="1135">BG262</f>
        <v>0.22842201647330754</v>
      </c>
      <c r="BH105" s="425">
        <f t="shared" si="1135"/>
        <v>0.21819843873577893</v>
      </c>
      <c r="BI105" s="425">
        <f t="shared" si="1135"/>
        <v>0.21754320034233288</v>
      </c>
      <c r="BJ105" s="425">
        <f t="shared" si="1135"/>
        <v>0.21991507765467183</v>
      </c>
      <c r="BK105" s="425"/>
      <c r="BL105" s="425">
        <f>BL262</f>
        <v>0.21890457414651263</v>
      </c>
      <c r="BM105" s="425">
        <f t="shared" ref="BM105:BP105" si="1136">BM262</f>
        <v>0.23158838294589801</v>
      </c>
      <c r="BN105" s="425">
        <f t="shared" si="1136"/>
        <v>0.22180202304119059</v>
      </c>
      <c r="BO105" s="425">
        <f t="shared" si="1136"/>
        <v>0.22116608153765299</v>
      </c>
      <c r="BP105" s="425">
        <f t="shared" si="1136"/>
        <v>0.22344614036923494</v>
      </c>
      <c r="BQ105" s="425"/>
      <c r="BR105" s="425">
        <f>BR262</f>
        <v>0.22249029755516769</v>
      </c>
      <c r="BS105" s="425">
        <f t="shared" ref="BS105:BV105" si="1137">BS262</f>
        <v>0.23461872445851611</v>
      </c>
      <c r="BT105" s="425">
        <f t="shared" si="1137"/>
        <v>0.22525176281885773</v>
      </c>
      <c r="BU105" s="425">
        <f t="shared" si="1137"/>
        <v>0.22463532249363655</v>
      </c>
      <c r="BV105" s="425">
        <f t="shared" si="1137"/>
        <v>0.22682636400624878</v>
      </c>
      <c r="BW105" s="425"/>
      <c r="BX105" s="425">
        <f>BX262</f>
        <v>0.22592207926042907</v>
      </c>
      <c r="BY105" s="425">
        <f t="shared" ref="BY105:CB105" si="1138">BY262</f>
        <v>0.23751862581556338</v>
      </c>
      <c r="BZ105" s="425">
        <f t="shared" si="1138"/>
        <v>0.22855391341816608</v>
      </c>
      <c r="CA105" s="425">
        <f t="shared" si="1138"/>
        <v>0.22795708270530554</v>
      </c>
      <c r="CB105" s="425">
        <f t="shared" si="1138"/>
        <v>0.23006188146152939</v>
      </c>
      <c r="CC105" s="425"/>
      <c r="CD105" s="425">
        <f>CD262</f>
        <v>0.22920623363114581</v>
      </c>
      <c r="CE105" s="425">
        <f t="shared" ref="CE105:CH105" si="1139">CE262</f>
        <v>0.24029345912423936</v>
      </c>
      <c r="CF105" s="425">
        <f t="shared" si="1139"/>
        <v>0.23171449578486125</v>
      </c>
      <c r="CG105" s="425">
        <f t="shared" si="1139"/>
        <v>0.23113729747153505</v>
      </c>
      <c r="CH105" s="425">
        <f t="shared" si="1139"/>
        <v>0.23315859615451415</v>
      </c>
      <c r="CI105" s="425"/>
      <c r="CJ105" s="425">
        <f>CJ262</f>
        <v>0.23234883494398689</v>
      </c>
      <c r="CK105" s="425">
        <f t="shared" ref="CK105:CN105" si="1140">CK262</f>
        <v>0.24294839082215033</v>
      </c>
      <c r="CL105" s="425">
        <f t="shared" si="1140"/>
        <v>0.23473930396608086</v>
      </c>
      <c r="CM105" s="425">
        <f t="shared" si="1140"/>
        <v>0.23418168460855546</v>
      </c>
      <c r="CN105" s="425">
        <f t="shared" si="1140"/>
        <v>0.23612218933761087</v>
      </c>
    </row>
    <row r="106" spans="1:93" s="379" customFormat="1" ht="18" customHeight="1" x14ac:dyDescent="0.25">
      <c r="A106" s="137"/>
      <c r="B106" s="31" t="s">
        <v>415</v>
      </c>
      <c r="D106" s="425">
        <f>(D115-SUMPRODUCT(D95:D97,D103:D105))/SUM(D98:D99)</f>
        <v>1.2387543252595155</v>
      </c>
      <c r="E106" s="425">
        <f>(E115-SUMPRODUCT(E95:E97,E103:E105))/SUM(E98:E99)</f>
        <v>0.65800865800865815</v>
      </c>
      <c r="F106" s="425">
        <f>(F115-SUMPRODUCT(F95:F97,F103:F105))/SUM(F98:F99)</f>
        <v>0.43123061013443614</v>
      </c>
      <c r="G106" s="425">
        <f>(G115-SUMPRODUCT(G95:G97,G103:G105))/SUM(G98:G99)</f>
        <v>0.57578646329837957</v>
      </c>
      <c r="H106" s="425">
        <f>(H115-SUMPRODUCT(H95:H97,H103:H105))/SUM(H98:H99)</f>
        <v>0.71000788022064609</v>
      </c>
      <c r="J106" s="425">
        <f>(J115-SUMPRODUCT(J95:J97,J103:J105))/SUM(J98:J99)</f>
        <v>0.2976303317535548</v>
      </c>
      <c r="K106" s="425">
        <f>(K115-SUMPRODUCT(K95:K97,K103:K105))/SUM(K98:K99)</f>
        <v>0.38757655293088367</v>
      </c>
      <c r="L106" s="425">
        <f>(L115-SUMPRODUCT(L95:L97,L103:L105))/SUM(L98:L99)</f>
        <v>0.34231805929919118</v>
      </c>
      <c r="M106" s="425">
        <f>(M115-SUMPRODUCT(M95:M97,M103:M105))/SUM(M98:M99)</f>
        <v>0.36410698878343395</v>
      </c>
      <c r="N106" s="425">
        <f>(N115-SUMPRODUCT(N95:N97,N103:N105))/SUM(N98:N99)</f>
        <v>0.34899328859060424</v>
      </c>
      <c r="O106" s="380"/>
      <c r="P106" s="425">
        <f>(P115-SUMPRODUCT(P95:P97,P103:P105))/SUM(P98:P99)</f>
        <v>0.31503150315031508</v>
      </c>
      <c r="Q106" s="425">
        <f>(Q115-SUMPRODUCT(Q95:Q97,Q103:Q105))/SUM(Q98:Q99)</f>
        <v>0.39055404178019992</v>
      </c>
      <c r="R106" s="425">
        <f>(R115-SUMPRODUCT(R95:R97,R103:R105))/SUM(R98:R99)</f>
        <v>0.35654596100278546</v>
      </c>
      <c r="S106" s="425">
        <f>(S115-SUMPRODUCT(S95:S97,S103:S105))/SUM(S98:S99)</f>
        <v>0.34355828220858908</v>
      </c>
      <c r="T106" s="425">
        <f>(T115-SUMPRODUCT(T95:T97,T103:T105))/SUM(T98:T99)</f>
        <v>0.3515350363252871</v>
      </c>
      <c r="U106" s="380"/>
      <c r="V106" s="425">
        <f>(V115-SUMPRODUCT(V95:V97,V103:V105))/SUM(V98:V99)</f>
        <v>0.24848484848484861</v>
      </c>
      <c r="W106" s="425">
        <f>(W115-SUMPRODUCT(W95:W97,W103:W105))/SUM(W98:W99)</f>
        <v>0.76437587657784023</v>
      </c>
      <c r="X106" s="425">
        <f>(X115-SUMPRODUCT(X95:X97,X103:X105))/SUM(X98:X99)</f>
        <v>0.39627329192546584</v>
      </c>
      <c r="Y106" s="425">
        <f>(Y115-SUMPRODUCT(Y95:Y97,Y103:Y105))/SUM(Y98:Y99)</f>
        <v>0.30570505920344465</v>
      </c>
      <c r="Z106" s="425">
        <f>(Z115-SUMPRODUCT(Z95:Z97,Z103:Z105))/SUM(Z98:Z99)</f>
        <v>0.41350855745721271</v>
      </c>
      <c r="AA106" s="380"/>
      <c r="AB106" s="425">
        <f>(AB115-SUMPRODUCT(AB95:AB97,AB103:AB105))/SUM(AB98:AB99)</f>
        <v>0.38300104931794349</v>
      </c>
      <c r="AC106" s="425">
        <f>(AC115-SUMPRODUCT(AC95:AC97,AC103:AC105))/SUM(AC98:AC99)</f>
        <v>0.47005076142131963</v>
      </c>
      <c r="AD106" s="425">
        <f>(AD115-SUMPRODUCT(AD95:AD97,AD103:AD105))/SUM(AD98:AD99)</f>
        <v>0.28355196770938446</v>
      </c>
      <c r="AE106" s="425">
        <f>(AE115-SUMPRODUCT(AE95:AE97,AE103:AE105))/SUM(AE98:AE99)</f>
        <v>0.26979742173112337</v>
      </c>
      <c r="AF106" s="425">
        <f>(AF115-SUMPRODUCT(AF95:AF97,AF103:AF105))/SUM(AF98:AF99)</f>
        <v>0.34919053549190504</v>
      </c>
      <c r="AH106" s="425">
        <f>(AH115-SUMPRODUCT(AH95:AH97,AH103:AH105))/SUM(AH98:AH99)</f>
        <v>0.21969006381039186</v>
      </c>
      <c r="AI106" s="425">
        <f>(AI115-SUMPRODUCT(AI95:AI97,AI103:AI105))/SUM(AI98:AI99)</f>
        <v>0.17155172413793102</v>
      </c>
      <c r="AJ106" s="425">
        <f>(AJ115-SUMPRODUCT(AJ95:AJ97,AJ103:AJ105))/SUM(AJ98:AJ99)</f>
        <v>0.2871754523996855</v>
      </c>
      <c r="AK106" s="425">
        <f>(AK115-SUMPRODUCT(AK95:AK97,AK103:AK105))/SUM(AK98:AK99)</f>
        <v>1.3309002433090027</v>
      </c>
      <c r="AL106" s="425">
        <f>(AL115-SUMPRODUCT(AL95:AL97,AL103:AL105))/SUM(AL98:AL99)</f>
        <v>0.51375761394664976</v>
      </c>
      <c r="AN106" s="425">
        <f>(AN115-SUMPRODUCT(AN95:AN97,AN103:AN105))/SUM(AN98:AN99)</f>
        <v>0.75075301204819267</v>
      </c>
      <c r="AO106" s="425">
        <f>(AO115-SUMPRODUCT(AO95:AO97,AO103:AO105))/SUM(AO98:AO99)</f>
        <v>0.18835370237239368</v>
      </c>
      <c r="AP106" s="425">
        <f>(AP115-SUMPRODUCT(AP95:AP97,AP103:AP105))/SUM(AP98:AP99)</f>
        <v>0.29893529893529885</v>
      </c>
      <c r="AQ106" s="425">
        <f>(AQ115-SUMPRODUCT(AQ95:AQ97,AQ103:AQ105))/SUM(AQ98:AQ99)</f>
        <v>0.38725901089689846</v>
      </c>
      <c r="AR106" s="425">
        <f>(AR115-SUMPRODUCT(AR95:AR97,AR103:AR105))/SUM(AR98:AR99)</f>
        <v>0.40639002532632024</v>
      </c>
      <c r="AS106" s="380"/>
      <c r="AT106" s="425">
        <f>(AT115-SUMPRODUCT(AT95:AT97,AT103:AT105))/SUM(AT98:AT99)</f>
        <v>0.29222720478325848</v>
      </c>
      <c r="AU106" s="425">
        <f>(AU115-SUMPRODUCT(AU95:AU97,AU103:AU105))/SUM(AU98:AU99)</f>
        <v>0.23304473304473322</v>
      </c>
      <c r="AV106" s="546">
        <f>(AV115-SUMPRODUCT(AV95:AV97,AV103:AV105))/SUM(AV98:AV99)</f>
        <v>0.33107599699021811</v>
      </c>
      <c r="AW106" s="425">
        <f>(AW115-SUMPRODUCT(AW95:AW97,AW103:AW105))/SUM(AW98:AW99)</f>
        <v>0.38576702338032753</v>
      </c>
      <c r="AX106" s="425">
        <f>(AX115-SUMPRODUCT(AX95:AX97,AX103:AX105))/SUM(AX98:AX99)</f>
        <v>0.3070252933399345</v>
      </c>
      <c r="AY106" s="425"/>
      <c r="AZ106" s="425">
        <f>(AZ115-SUMPRODUCT(AZ95:AZ97,AZ103:AZ105))/SUM(AZ98:AZ99)</f>
        <v>0.32832086802246424</v>
      </c>
      <c r="BA106" s="425">
        <f>(BA115-SUMPRODUCT(BA95:BA97,BA103:BA105))/SUM(BA98:BA99)</f>
        <v>0.32670692270890855</v>
      </c>
      <c r="BB106" s="425">
        <f>(BB115-SUMPRODUCT(BB95:BB97,BB103:BB105))/SUM(BB98:BB99)</f>
        <v>0.32511572059824217</v>
      </c>
      <c r="BC106" s="425">
        <f>(BC115-SUMPRODUCT(BC95:BC97,BC103:BC105))/SUM(BC98:BC99)</f>
        <v>0.37766858308020074</v>
      </c>
      <c r="BD106" s="425">
        <f>(BD115-SUMPRODUCT(BD95:BD97,BD103:BD105))/SUM(BD98:BD99)</f>
        <v>0.33862789936146409</v>
      </c>
      <c r="BE106" s="425"/>
      <c r="BF106" s="425">
        <f>(BF115-SUMPRODUCT(BF95:BF97,BF103:BF105))/SUM(BF98:BF99)</f>
        <v>0.33042986473789249</v>
      </c>
      <c r="BG106" s="425">
        <f>(BG115-SUMPRODUCT(BG95:BG97,BG103:BG105))/SUM(BG98:BG99)</f>
        <v>0.3287042516004498</v>
      </c>
      <c r="BH106" s="425">
        <f>(BH115-SUMPRODUCT(BH95:BH97,BH103:BH105))/SUM(BH98:BH99)</f>
        <v>0.32708573004131242</v>
      </c>
      <c r="BI106" s="425">
        <f>(BI115-SUMPRODUCT(BI95:BI97,BI103:BI105))/SUM(BI98:BI99)</f>
        <v>0.38001523756512362</v>
      </c>
      <c r="BJ106" s="425">
        <f>(BJ115-SUMPRODUCT(BJ95:BJ97,BJ103:BJ105))/SUM(BJ98:BJ99)</f>
        <v>0.34072432338956044</v>
      </c>
      <c r="BK106" s="425"/>
      <c r="BL106" s="425">
        <f>(BL115-SUMPRODUCT(BL95:BL97,BL103:BL105))/SUM(BL98:BL99)</f>
        <v>0.33279966853748605</v>
      </c>
      <c r="BM106" s="425">
        <f>(BM115-SUMPRODUCT(BM95:BM97,BM103:BM105))/SUM(BM98:BM99)</f>
        <v>0.33105263036724858</v>
      </c>
      <c r="BN106" s="425">
        <f>(BN115-SUMPRODUCT(BN95:BN97,BN103:BN105))/SUM(BN98:BN99)</f>
        <v>0.32938127913102117</v>
      </c>
      <c r="BO106" s="425">
        <f>(BO115-SUMPRODUCT(BO95:BO97,BO103:BO105))/SUM(BO98:BO99)</f>
        <v>0.38286358300180695</v>
      </c>
      <c r="BP106" s="425">
        <f>(BP115-SUMPRODUCT(BP95:BP97,BP103:BP105))/SUM(BP98:BP99)</f>
        <v>0.34317975582568727</v>
      </c>
      <c r="BQ106" s="425"/>
      <c r="BR106" s="425">
        <f>(BR115-SUMPRODUCT(BR95:BR97,BR103:BR105))/SUM(BR98:BR99)</f>
        <v>0.33516720531355065</v>
      </c>
      <c r="BS106" s="425">
        <f>(BS115-SUMPRODUCT(BS95:BS97,BS103:BS105))/SUM(BS98:BS99)</f>
        <v>0.33340101225289148</v>
      </c>
      <c r="BT106" s="425">
        <f>(BT115-SUMPRODUCT(BT95:BT97,BT103:BT105))/SUM(BT98:BT99)</f>
        <v>0.33167573834363756</v>
      </c>
      <c r="BU106" s="425">
        <f>(BU115-SUMPRODUCT(BU95:BU97,BU103:BU105))/SUM(BU98:BU99)</f>
        <v>0.38571148185423604</v>
      </c>
      <c r="BV106" s="425">
        <f>(BV115-SUMPRODUCT(BV95:BV97,BV103:BV105))/SUM(BV98:BV99)</f>
        <v>0.34563428974949173</v>
      </c>
      <c r="BW106" s="425"/>
      <c r="BX106" s="425">
        <f>(BX115-SUMPRODUCT(BX95:BX97,BX103:BX105))/SUM(BX98:BX99)</f>
        <v>0.33753319341152987</v>
      </c>
      <c r="BY106" s="425">
        <f>(BY115-SUMPRODUCT(BY95:BY97,BY103:BY105))/SUM(BY98:BY99)</f>
        <v>0.335750101784827</v>
      </c>
      <c r="BZ106" s="425">
        <f>(BZ115-SUMPRODUCT(BZ95:BZ97,BZ103:BZ105))/SUM(BZ98:BZ99)</f>
        <v>0.33396981129705955</v>
      </c>
      <c r="CA106" s="425">
        <f>(CA115-SUMPRODUCT(CA95:CA97,CA103:CA105))/SUM(CA98:CA99)</f>
        <v>0.38855975084827837</v>
      </c>
      <c r="CB106" s="425">
        <f>(CB115-SUMPRODUCT(CB95:CB97,CB103:CB105))/SUM(CB98:CB99)</f>
        <v>0.34808865974470499</v>
      </c>
      <c r="CC106" s="425"/>
      <c r="CD106" s="425">
        <f>(CD115-SUMPRODUCT(CD95:CD97,CD103:CD105))/SUM(CD98:CD99)</f>
        <v>0.33989835308644145</v>
      </c>
      <c r="CE106" s="425">
        <f>(CE115-SUMPRODUCT(CE95:CE97,CE103:CE105))/SUM(CE98:CE99)</f>
        <v>0.33810060372302297</v>
      </c>
      <c r="CF106" s="425">
        <f>(CF115-SUMPRODUCT(CF95:CF97,CF103:CF105))/SUM(CF98:CF99)</f>
        <v>0.33626420179511002</v>
      </c>
      <c r="CG106" s="425">
        <f>(CG115-SUMPRODUCT(CG95:CG97,CG103:CG105))/SUM(CG98:CG99)</f>
        <v>0.39140920962864634</v>
      </c>
      <c r="CH106" s="425">
        <f>(CH115-SUMPRODUCT(CH95:CH97,CH103:CH105))/SUM(CH98:CH99)</f>
        <v>0.35054360157059333</v>
      </c>
      <c r="CI106" s="425"/>
      <c r="CJ106" s="425">
        <f>(CJ115-SUMPRODUCT(CJ95:CJ97,CJ103:CJ105))/SUM(CJ98:CJ99)</f>
        <v>0.34226340564489555</v>
      </c>
      <c r="CK106" s="425">
        <f>(CK115-SUMPRODUCT(CK95:CK97,CK103:CK105))/SUM(CK98:CK99)</f>
        <v>0.34045322234999481</v>
      </c>
      <c r="CL106" s="425">
        <f>(CL115-SUMPRODUCT(CL95:CL97,CL103:CL105))/SUM(CL98:CL99)</f>
        <v>0.33855961309375271</v>
      </c>
      <c r="CM106" s="425">
        <f>(CM115-SUMPRODUCT(CM95:CM97,CM103:CM105))/SUM(CM98:CM99)</f>
        <v>0.39426067976143386</v>
      </c>
      <c r="CN106" s="425">
        <f>(CN115-SUMPRODUCT(CN95:CN97,CN103:CN105))/SUM(CN98:CN99)</f>
        <v>0.35299985134642886</v>
      </c>
    </row>
    <row r="107" spans="1:93" s="137" customFormat="1" ht="18" customHeight="1" x14ac:dyDescent="0.25">
      <c r="B107" s="155" t="s">
        <v>416</v>
      </c>
      <c r="C107" s="155"/>
      <c r="D107" s="396">
        <f t="shared" ref="D107" si="1141">SUMPRODUCT(D103:D105,D95:D97)+SUM(D98:D99)*D106</f>
        <v>2.9025191675794093E-2</v>
      </c>
      <c r="E107" s="396">
        <f t="shared" ref="E107" si="1142">SUMPRODUCT(E103:E105,E95:E97)+SUM(E98:E99)*E106</f>
        <v>0.10198326910423913</v>
      </c>
      <c r="F107" s="396">
        <f t="shared" ref="F107" si="1143">SUMPRODUCT(F103:F105,F95:F97)+SUM(F98:F99)*F106</f>
        <v>0.13432278540091477</v>
      </c>
      <c r="G107" s="396">
        <f t="shared" ref="G107" si="1144">SUMPRODUCT(G103:G105,G95:G97)+SUM(G98:G99)*G106</f>
        <v>0.10800393636214532</v>
      </c>
      <c r="H107" s="396">
        <f t="shared" ref="H107" si="1145">SUMPRODUCT(H103:H105,H95:H97)+SUM(H98:H99)*H106</f>
        <v>9.6213328334426848E-2</v>
      </c>
      <c r="I107" s="155"/>
      <c r="J107" s="396">
        <f t="shared" ref="J107" si="1146">SUMPRODUCT(J103:J105,J95:J97)+SUM(J98:J99)*J106</f>
        <v>0.16913580246913582</v>
      </c>
      <c r="K107" s="396">
        <f t="shared" ref="K107" si="1147">SUMPRODUCT(K103:K105,K95:K97)+SUM(K98:K99)*K106</f>
        <v>0.16070487235484598</v>
      </c>
      <c r="L107" s="396">
        <f t="shared" ref="L107" si="1148">SUMPRODUCT(L103:L105,L95:L97)+SUM(L98:L99)*L106</f>
        <v>0.16171746454595315</v>
      </c>
      <c r="M107" s="396">
        <f t="shared" ref="M107" si="1149">SUMPRODUCT(M103:M105,M95:M97)+SUM(M98:M99)*M106</f>
        <v>0.13954512105649303</v>
      </c>
      <c r="N107" s="396">
        <f t="shared" ref="N107" si="1150">SUMPRODUCT(N103:N105,N95:N97)+SUM(N98:N99)*N106</f>
        <v>0.1573655976226313</v>
      </c>
      <c r="O107" s="155"/>
      <c r="P107" s="396">
        <f t="shared" ref="P107" si="1151">SUMPRODUCT(P103:P105,P95:P97)+SUM(P98:P99)*P106</f>
        <v>0.16889342973907576</v>
      </c>
      <c r="Q107" s="396">
        <f t="shared" ref="Q107" si="1152">SUMPRODUCT(Q103:Q105,Q95:Q97)+SUM(Q98:Q99)*Q106</f>
        <v>0.1597542242703533</v>
      </c>
      <c r="R107" s="396">
        <f t="shared" ref="R107" si="1153">SUMPRODUCT(R103:R105,R95:R97)+SUM(R98:R99)*R106</f>
        <v>0.15767496241857357</v>
      </c>
      <c r="S107" s="396">
        <f t="shared" ref="S107" si="1154">SUMPRODUCT(S103:S105,S95:S97)+SUM(S98:S99)*S106</f>
        <v>0.14120781527531084</v>
      </c>
      <c r="T107" s="396">
        <f t="shared" ref="T107" si="1155">SUMPRODUCT(T103:T105,T95:T97)+SUM(T98:T99)*T106</f>
        <v>0.15702886415131515</v>
      </c>
      <c r="U107" s="155"/>
      <c r="V107" s="396">
        <f t="shared" ref="V107" si="1156">SUMPRODUCT(V103:V105,V95:V97)+SUM(V98:V99)*V106</f>
        <v>0.13526326407101069</v>
      </c>
      <c r="W107" s="396">
        <f t="shared" ref="W107" si="1157">SUMPRODUCT(W103:W105,W95:W97)+SUM(W98:W99)*W106</f>
        <v>8.045112781954887E-2</v>
      </c>
      <c r="X107" s="396">
        <f t="shared" ref="X107" si="1158">SUMPRODUCT(X103:X105,X95:X97)+SUM(X98:X99)*X106</f>
        <v>0.10023840485478977</v>
      </c>
      <c r="Y107" s="396">
        <f t="shared" ref="Y107" si="1159">SUMPRODUCT(Y103:Y105,Y95:Y97)+SUM(Y98:Y99)*Y106</f>
        <v>0.12355723746452223</v>
      </c>
      <c r="Z107" s="396">
        <f t="shared" ref="Z107" si="1160">SUMPRODUCT(Z103:Z105,Z95:Z97)+SUM(Z98:Z99)*Z106</f>
        <v>0.1107324073599508</v>
      </c>
      <c r="AA107" s="155"/>
      <c r="AB107" s="396">
        <f t="shared" ref="AB107" si="1161">SUMPRODUCT(AB103:AB105,AB95:AB97)+SUM(AB98:AB99)*AB106</f>
        <v>0.14869091234027343</v>
      </c>
      <c r="AC107" s="396">
        <f t="shared" ref="AC107" si="1162">SUMPRODUCT(AC103:AC105,AC95:AC97)+SUM(AC98:AC99)*AC106</f>
        <v>0.13556958910850489</v>
      </c>
      <c r="AD107" s="396">
        <f t="shared" ref="AD107" si="1163">SUMPRODUCT(AD103:AD105,AD95:AD97)+SUM(AD98:AD99)*AD106</f>
        <v>0.13419321773298026</v>
      </c>
      <c r="AE107" s="396">
        <f t="shared" ref="AE107" si="1164">SUMPRODUCT(AE103:AE105,AE95:AE97)+SUM(AE98:AE99)*AE106</f>
        <v>0.11262121096434298</v>
      </c>
      <c r="AF107" s="396">
        <f t="shared" ref="AF107" si="1165">SUMPRODUCT(AF103:AF105,AF95:AF97)+SUM(AF98:AF99)*AF106</f>
        <v>0.13204532248692621</v>
      </c>
      <c r="AG107" s="155"/>
      <c r="AH107" s="396">
        <f t="shared" ref="AH107" si="1166">SUMPRODUCT(AH103:AH105,AH95:AH97)+SUM(AH98:AH99)*AH106</f>
        <v>0.13309017538413784</v>
      </c>
      <c r="AI107" s="396">
        <f t="shared" ref="AI107" si="1167">SUMPRODUCT(AI103:AI105,AI95:AI97)+SUM(AI98:AI99)*AI106</f>
        <v>0.13324470049486667</v>
      </c>
      <c r="AJ107" s="396">
        <f t="shared" ref="AJ107" si="1168">SUMPRODUCT(AJ103:AJ105,AJ95:AJ97)+SUM(AJ98:AJ99)*AJ106</f>
        <v>0.16003641966661997</v>
      </c>
      <c r="AK107" s="396">
        <f t="shared" ref="AK107" si="1169">SUMPRODUCT(AK103:AK105,AK95:AK97)+SUM(AK98:AK99)*AK106</f>
        <v>0.10264003528448112</v>
      </c>
      <c r="AL107" s="396">
        <f t="shared" ref="AL107" si="1170">SUMPRODUCT(AL103:AL105,AL95:AL97)+SUM(AL98:AL99)*AL106</f>
        <v>0.13138544207586525</v>
      </c>
      <c r="AM107" s="155"/>
      <c r="AN107" s="396">
        <f t="shared" ref="AN107:AR107" si="1171">SUMPRODUCT(AN103:AN105,AN95:AN97)+SUM(AN98:AN99)*AN106</f>
        <v>0.17312404795019537</v>
      </c>
      <c r="AO107" s="396">
        <f t="shared" si="1171"/>
        <v>0.21456633423995164</v>
      </c>
      <c r="AP107" s="396">
        <f t="shared" si="1171"/>
        <v>0.21222166624968727</v>
      </c>
      <c r="AQ107" s="396">
        <f t="shared" si="1171"/>
        <v>0.19104514380735357</v>
      </c>
      <c r="AR107" s="396">
        <f t="shared" si="1171"/>
        <v>0.19820257088728491</v>
      </c>
      <c r="AS107" s="155"/>
      <c r="AT107" s="396">
        <f t="shared" ref="AT107:AX107" si="1172">SUMPRODUCT(AT103:AT105,AT95:AT97)+SUM(AT98:AT99)*AT106</f>
        <v>0.22754010695187166</v>
      </c>
      <c r="AU107" s="396">
        <f t="shared" si="1172"/>
        <v>0.23112373737373737</v>
      </c>
      <c r="AV107" s="398">
        <f t="shared" si="1172"/>
        <v>0.20340095857133478</v>
      </c>
      <c r="AW107" s="396">
        <f t="shared" si="1172"/>
        <v>0.19424816840324974</v>
      </c>
      <c r="AX107" s="396">
        <f t="shared" si="1172"/>
        <v>0.21400061748819971</v>
      </c>
      <c r="AY107" s="396"/>
      <c r="AZ107" s="396">
        <f t="shared" ref="AZ107:BD107" si="1173">SUMPRODUCT(AZ103:AZ105,AZ95:AZ97)+SUM(AZ98:AZ99)*AZ106</f>
        <v>0.22159488785565132</v>
      </c>
      <c r="BA107" s="396">
        <f t="shared" si="1173"/>
        <v>0.22136745369007058</v>
      </c>
      <c r="BB107" s="396">
        <f t="shared" si="1173"/>
        <v>0.20481196234220062</v>
      </c>
      <c r="BC107" s="396">
        <f t="shared" si="1173"/>
        <v>0.19833818092903055</v>
      </c>
      <c r="BD107" s="396">
        <f t="shared" si="1173"/>
        <v>0.21128622059688751</v>
      </c>
      <c r="BE107" s="396"/>
      <c r="BF107" s="396">
        <f t="shared" ref="BF107:BJ107" si="1174">SUMPRODUCT(BF103:BF105,BF95:BF97)+SUM(BF98:BF99)*BF106</f>
        <v>0.2287799078256392</v>
      </c>
      <c r="BG107" s="396">
        <f t="shared" si="1174"/>
        <v>0.2285731295832901</v>
      </c>
      <c r="BH107" s="396">
        <f t="shared" si="1174"/>
        <v>0.21273814257296866</v>
      </c>
      <c r="BI107" s="396">
        <f t="shared" si="1174"/>
        <v>0.20637579158955704</v>
      </c>
      <c r="BJ107" s="396">
        <f t="shared" si="1174"/>
        <v>0.21888481326513198</v>
      </c>
      <c r="BK107" s="396"/>
      <c r="BL107" s="396">
        <f t="shared" ref="BL107:BP107" si="1175">SUMPRODUCT(BL103:BL105,BL95:BL97)+SUM(BL98:BL99)*BL106</f>
        <v>0.23243024651564964</v>
      </c>
      <c r="BM107" s="396">
        <f t="shared" si="1175"/>
        <v>0.23220115102055702</v>
      </c>
      <c r="BN107" s="396">
        <f t="shared" si="1175"/>
        <v>0.21700349815536102</v>
      </c>
      <c r="BO107" s="396">
        <f t="shared" si="1175"/>
        <v>0.21071218365143499</v>
      </c>
      <c r="BP107" s="396">
        <f t="shared" si="1175"/>
        <v>0.22286097755367468</v>
      </c>
      <c r="BQ107" s="396"/>
      <c r="BR107" s="396">
        <f t="shared" ref="BR107:BV107" si="1176">SUMPRODUCT(BR103:BR105,BR95:BR97)+SUM(BR98:BR99)*BR106</f>
        <v>0.23592929275542518</v>
      </c>
      <c r="BS107" s="396">
        <f t="shared" si="1176"/>
        <v>0.23567786792130052</v>
      </c>
      <c r="BT107" s="396">
        <f t="shared" si="1176"/>
        <v>0.22109410126663326</v>
      </c>
      <c r="BU107" s="396">
        <f t="shared" si="1176"/>
        <v>0.21487138320922478</v>
      </c>
      <c r="BV107" s="396">
        <f t="shared" si="1176"/>
        <v>0.22667327055626071</v>
      </c>
      <c r="BW107" s="396"/>
      <c r="BX107" s="396">
        <f t="shared" ref="BX107:CB107" si="1177">SUMPRODUCT(BX103:BX105,BX95:BX97)+SUM(BX98:BX99)*BX106</f>
        <v>0.23928250550199739</v>
      </c>
      <c r="BY107" s="396">
        <f t="shared" si="1177"/>
        <v>0.23900877701350107</v>
      </c>
      <c r="BZ107" s="396">
        <f t="shared" si="1177"/>
        <v>0.22501626966412466</v>
      </c>
      <c r="CA107" s="396">
        <f t="shared" si="1177"/>
        <v>0.21885979435458258</v>
      </c>
      <c r="CB107" s="396">
        <f t="shared" si="1177"/>
        <v>0.23032762058777262</v>
      </c>
      <c r="CC107" s="396"/>
      <c r="CD107" s="396">
        <f t="shared" ref="CD107:CH107" si="1178">SUMPRODUCT(CD103:CD105,CD95:CD97)+SUM(CD98:CD99)*CD106</f>
        <v>0.24249516085337436</v>
      </c>
      <c r="CE107" s="396">
        <f t="shared" si="1178"/>
        <v>0.24219918981144151</v>
      </c>
      <c r="CF107" s="396">
        <f t="shared" si="1178"/>
        <v>0.22877610888711691</v>
      </c>
      <c r="CG107" s="396">
        <f t="shared" si="1178"/>
        <v>0.22268360798334436</v>
      </c>
      <c r="CH107" s="396">
        <f t="shared" si="1178"/>
        <v>0.23382975726277028</v>
      </c>
      <c r="CI107" s="396"/>
      <c r="CJ107" s="396">
        <f t="shared" ref="CJ107:CN107" si="1179">SUMPRODUCT(CJ103:CJ105,CJ95:CJ97)+SUM(CJ98:CJ99)*CJ106</f>
        <v>0.24557235773396216</v>
      </c>
      <c r="CK107" s="396">
        <f t="shared" si="1179"/>
        <v>0.24525423839795496</v>
      </c>
      <c r="CL107" s="396">
        <f t="shared" si="1179"/>
        <v>0.23237951885118788</v>
      </c>
      <c r="CM107" s="396">
        <f t="shared" si="1179"/>
        <v>0.2263488082491675</v>
      </c>
      <c r="CN107" s="396">
        <f t="shared" si="1179"/>
        <v>0.23718521763693542</v>
      </c>
      <c r="CO107" s="239"/>
    </row>
    <row r="108" spans="1:93" s="379" customFormat="1" ht="18" customHeight="1" x14ac:dyDescent="0.25">
      <c r="A108" s="137"/>
      <c r="B108" s="377"/>
      <c r="J108" s="246"/>
      <c r="K108" s="246"/>
      <c r="L108" s="246"/>
      <c r="M108" s="246"/>
      <c r="N108" s="246"/>
      <c r="O108" s="380"/>
      <c r="P108" s="246"/>
      <c r="Q108" s="246"/>
      <c r="R108" s="246"/>
      <c r="S108" s="246"/>
      <c r="T108" s="246"/>
      <c r="U108" s="380"/>
      <c r="V108" s="246"/>
      <c r="W108" s="246"/>
      <c r="X108" s="246"/>
      <c r="Y108" s="246"/>
      <c r="Z108" s="246"/>
      <c r="AA108" s="380"/>
      <c r="AB108" s="246"/>
      <c r="AC108" s="246"/>
      <c r="AD108" s="246"/>
      <c r="AE108" s="246"/>
      <c r="AF108" s="246"/>
      <c r="AH108" s="246"/>
      <c r="AI108" s="246"/>
      <c r="AJ108" s="246"/>
      <c r="AK108" s="246"/>
      <c r="AL108" s="246"/>
      <c r="AN108" s="246"/>
      <c r="AO108" s="246"/>
      <c r="AP108" s="246"/>
      <c r="AQ108" s="246"/>
      <c r="AR108" s="246"/>
      <c r="AS108" s="380"/>
      <c r="AT108" s="246"/>
      <c r="AU108" s="246"/>
      <c r="AV108" s="265"/>
      <c r="AW108" s="246"/>
      <c r="AX108" s="246"/>
      <c r="AY108" s="246"/>
      <c r="AZ108" s="246"/>
      <c r="BA108" s="246"/>
      <c r="BB108" s="246"/>
      <c r="BC108" s="246"/>
      <c r="BD108" s="246"/>
      <c r="BE108" s="246"/>
      <c r="BF108" s="246"/>
      <c r="BG108" s="246"/>
      <c r="BH108" s="246"/>
      <c r="BI108" s="246"/>
      <c r="BJ108" s="246"/>
      <c r="BK108" s="246"/>
      <c r="BL108" s="246"/>
      <c r="BM108" s="246"/>
      <c r="BN108" s="246"/>
      <c r="BO108" s="246"/>
      <c r="BP108" s="246"/>
      <c r="BQ108" s="246"/>
      <c r="BR108" s="246"/>
      <c r="BS108" s="246"/>
      <c r="BT108" s="246"/>
      <c r="BU108" s="246"/>
      <c r="BV108" s="246"/>
      <c r="BW108" s="246"/>
      <c r="BX108" s="246"/>
      <c r="BY108" s="246"/>
      <c r="BZ108" s="246"/>
      <c r="CA108" s="246"/>
      <c r="CB108" s="246"/>
      <c r="CC108" s="246"/>
      <c r="CD108" s="246"/>
      <c r="CE108" s="246"/>
      <c r="CF108" s="246"/>
      <c r="CG108" s="246"/>
      <c r="CH108" s="246"/>
      <c r="CI108" s="246"/>
      <c r="CJ108" s="246"/>
      <c r="CK108" s="246"/>
      <c r="CL108" s="246"/>
      <c r="CM108" s="246"/>
      <c r="CN108" s="246"/>
    </row>
    <row r="109" spans="1:93" s="379" customFormat="1" ht="18" customHeight="1" x14ac:dyDescent="0.25">
      <c r="A109" s="137"/>
      <c r="B109" s="31" t="s">
        <v>372</v>
      </c>
      <c r="D109" s="246">
        <f>D154</f>
        <v>634</v>
      </c>
      <c r="E109" s="246">
        <f t="shared" ref="E109:H109" si="1180">E154</f>
        <v>900</v>
      </c>
      <c r="F109" s="246">
        <f t="shared" si="1180"/>
        <v>884</v>
      </c>
      <c r="G109" s="246">
        <f t="shared" si="1180"/>
        <v>837</v>
      </c>
      <c r="H109" s="246">
        <f t="shared" si="1180"/>
        <v>3255</v>
      </c>
      <c r="J109" s="246">
        <f>J154</f>
        <v>1117</v>
      </c>
      <c r="K109" s="246">
        <f t="shared" ref="K109:N109" si="1181">K154</f>
        <v>1154</v>
      </c>
      <c r="L109" s="246">
        <f t="shared" si="1181"/>
        <v>1058</v>
      </c>
      <c r="M109" s="246">
        <f t="shared" si="1181"/>
        <v>845</v>
      </c>
      <c r="N109" s="246">
        <f t="shared" si="1181"/>
        <v>4174</v>
      </c>
      <c r="O109" s="380"/>
      <c r="P109" s="246">
        <f>P154</f>
        <v>1085</v>
      </c>
      <c r="Q109" s="246">
        <f t="shared" ref="Q109:T109" si="1182">Q154</f>
        <v>1247</v>
      </c>
      <c r="R109" s="246">
        <f t="shared" si="1182"/>
        <v>940</v>
      </c>
      <c r="S109" s="246">
        <f t="shared" si="1182"/>
        <v>659</v>
      </c>
      <c r="T109" s="246">
        <f t="shared" si="1182"/>
        <v>3931</v>
      </c>
      <c r="U109" s="380"/>
      <c r="V109" s="246">
        <f>V154</f>
        <v>640</v>
      </c>
      <c r="W109" s="246">
        <f t="shared" ref="W109:Z109" si="1183">W154</f>
        <v>518</v>
      </c>
      <c r="X109" s="246">
        <f t="shared" si="1183"/>
        <v>585</v>
      </c>
      <c r="Y109" s="246">
        <f t="shared" si="1183"/>
        <v>630</v>
      </c>
      <c r="Z109" s="246">
        <f t="shared" si="1183"/>
        <v>2373</v>
      </c>
      <c r="AA109" s="380"/>
      <c r="AB109" s="246">
        <f>AB154</f>
        <v>1042</v>
      </c>
      <c r="AC109" s="246">
        <f t="shared" ref="AC109:AF109" si="1184">AC154</f>
        <v>1029</v>
      </c>
      <c r="AD109" s="246">
        <f t="shared" si="1184"/>
        <v>866</v>
      </c>
      <c r="AE109" s="246">
        <f t="shared" si="1184"/>
        <v>795</v>
      </c>
      <c r="AF109" s="246">
        <f t="shared" si="1184"/>
        <v>3732</v>
      </c>
      <c r="AH109" s="246">
        <f>AH154</f>
        <v>1057</v>
      </c>
      <c r="AI109" s="246">
        <f t="shared" ref="AI109:AL109" si="1185">AI154</f>
        <v>989</v>
      </c>
      <c r="AJ109" s="246">
        <f t="shared" si="1185"/>
        <v>1209</v>
      </c>
      <c r="AK109" s="246">
        <f t="shared" si="1185"/>
        <v>1488</v>
      </c>
      <c r="AL109" s="246">
        <f t="shared" si="1185"/>
        <v>4743</v>
      </c>
      <c r="AN109" s="246">
        <f>AN154</f>
        <v>1790</v>
      </c>
      <c r="AO109" s="246">
        <f t="shared" ref="AO109:AR109" si="1186">AO154</f>
        <v>1803</v>
      </c>
      <c r="AP109" s="246">
        <f t="shared" si="1186"/>
        <v>1847</v>
      </c>
      <c r="AQ109" s="246">
        <f t="shared" si="1186"/>
        <v>1535</v>
      </c>
      <c r="AR109" s="246">
        <f t="shared" si="1186"/>
        <v>6975</v>
      </c>
      <c r="AS109" s="380"/>
      <c r="AT109" s="246">
        <f>AT154</f>
        <v>1764</v>
      </c>
      <c r="AU109" s="246">
        <f t="shared" ref="AU109:AX109" si="1187">AU154</f>
        <v>1741</v>
      </c>
      <c r="AV109" s="265">
        <f t="shared" si="1187"/>
        <v>1486</v>
      </c>
      <c r="AW109" s="246">
        <f t="shared" si="1187"/>
        <v>1367.4550000000002</v>
      </c>
      <c r="AX109" s="246">
        <f t="shared" si="1187"/>
        <v>6358.4549999999999</v>
      </c>
      <c r="AY109" s="246"/>
      <c r="AZ109" s="246">
        <f>AZ154</f>
        <v>1538.3200000000002</v>
      </c>
      <c r="BA109" s="246">
        <f t="shared" ref="BA109:BD109" si="1188">BA154</f>
        <v>1487.5</v>
      </c>
      <c r="BB109" s="246">
        <f t="shared" si="1188"/>
        <v>1343.4</v>
      </c>
      <c r="BC109" s="246">
        <f t="shared" si="1188"/>
        <v>1299.463</v>
      </c>
      <c r="BD109" s="246">
        <f t="shared" si="1188"/>
        <v>5668.683</v>
      </c>
      <c r="BE109" s="246"/>
      <c r="BF109" s="246">
        <f>BF154</f>
        <v>1655.0160000000005</v>
      </c>
      <c r="BG109" s="246">
        <f t="shared" ref="BG109:BJ109" si="1189">BG154</f>
        <v>1607.9850000000001</v>
      </c>
      <c r="BH109" s="246">
        <f t="shared" si="1189"/>
        <v>1462.67</v>
      </c>
      <c r="BI109" s="246">
        <f t="shared" si="1189"/>
        <v>1416.3694000000003</v>
      </c>
      <c r="BJ109" s="246">
        <f t="shared" si="1189"/>
        <v>6142.0404000000008</v>
      </c>
      <c r="BK109" s="246"/>
      <c r="BL109" s="246">
        <f>BL154</f>
        <v>1738.5519000000006</v>
      </c>
      <c r="BM109" s="246">
        <f t="shared" ref="BM109:BP109" si="1190">BM154</f>
        <v>1694.2349399999998</v>
      </c>
      <c r="BN109" s="246">
        <f t="shared" si="1190"/>
        <v>1548.3770900000004</v>
      </c>
      <c r="BO109" s="246">
        <f t="shared" si="1190"/>
        <v>1500.6263560000002</v>
      </c>
      <c r="BP109" s="246">
        <f t="shared" si="1190"/>
        <v>6481.7902860000013</v>
      </c>
      <c r="BQ109" s="246"/>
      <c r="BR109" s="246">
        <f>BR154</f>
        <v>1824.9945738000001</v>
      </c>
      <c r="BS109" s="246">
        <f t="shared" ref="BS109:BV109" si="1191">BS154</f>
        <v>1783.4861538</v>
      </c>
      <c r="BT109" s="246">
        <f t="shared" si="1191"/>
        <v>1637.0780723000005</v>
      </c>
      <c r="BU109" s="246">
        <f t="shared" si="1191"/>
        <v>1587.8352576400002</v>
      </c>
      <c r="BV109" s="246">
        <f t="shared" si="1191"/>
        <v>6833.3940575400011</v>
      </c>
      <c r="BW109" s="246"/>
      <c r="BX109" s="246">
        <f>BX154</f>
        <v>1914.4472524860003</v>
      </c>
      <c r="BY109" s="246">
        <f t="shared" ref="BY109:CB109" si="1192">BY154</f>
        <v>1875.845230638</v>
      </c>
      <c r="BZ109" s="246">
        <f t="shared" si="1192"/>
        <v>1728.8796708530006</v>
      </c>
      <c r="CA109" s="246">
        <f t="shared" si="1192"/>
        <v>1678.1016327676002</v>
      </c>
      <c r="CB109" s="246">
        <f t="shared" si="1192"/>
        <v>7197.2737867446012</v>
      </c>
      <c r="CC109" s="246"/>
      <c r="CD109" s="246">
        <f>CD154</f>
        <v>2007.0169051914609</v>
      </c>
      <c r="CE109" s="246">
        <f t="shared" ref="CE109:CH109" si="1193">CE154</f>
        <v>1971.4226194701005</v>
      </c>
      <c r="CF109" s="246">
        <f t="shared" si="1193"/>
        <v>1823.8924876179508</v>
      </c>
      <c r="CG109" s="246">
        <f t="shared" si="1193"/>
        <v>1771.5348538449643</v>
      </c>
      <c r="CH109" s="246">
        <f t="shared" si="1193"/>
        <v>7573.8668661244765</v>
      </c>
      <c r="CI109" s="246"/>
      <c r="CJ109" s="246">
        <f>CJ154</f>
        <v>2102.8143768833197</v>
      </c>
      <c r="CK109" s="246">
        <f t="shared" ref="CK109:CN109" si="1194">CK154</f>
        <v>2070.3327712436817</v>
      </c>
      <c r="CL109" s="246">
        <f t="shared" si="1194"/>
        <v>1922.2311459514242</v>
      </c>
      <c r="CM109" s="246">
        <f t="shared" si="1194"/>
        <v>1868.2482804384231</v>
      </c>
      <c r="CN109" s="246">
        <f t="shared" si="1194"/>
        <v>7963.6265745168494</v>
      </c>
    </row>
    <row r="110" spans="1:93" s="379" customFormat="1" ht="18" customHeight="1" x14ac:dyDescent="0.25">
      <c r="A110" s="137"/>
      <c r="B110" s="31" t="s">
        <v>402</v>
      </c>
      <c r="D110" s="246">
        <f>D195</f>
        <v>160</v>
      </c>
      <c r="E110" s="246">
        <f t="shared" ref="E110:H110" si="1195">E195</f>
        <v>99</v>
      </c>
      <c r="F110" s="246">
        <f t="shared" si="1195"/>
        <v>229</v>
      </c>
      <c r="G110" s="246">
        <f t="shared" si="1195"/>
        <v>210</v>
      </c>
      <c r="H110" s="246">
        <f t="shared" si="1195"/>
        <v>698</v>
      </c>
      <c r="J110" s="246">
        <f>J195</f>
        <v>378</v>
      </c>
      <c r="K110" s="246">
        <f t="shared" ref="K110:N110" si="1196">K195</f>
        <v>411</v>
      </c>
      <c r="L110" s="246">
        <f t="shared" si="1196"/>
        <v>414</v>
      </c>
      <c r="M110" s="246">
        <f t="shared" si="1196"/>
        <v>400</v>
      </c>
      <c r="N110" s="246">
        <f t="shared" si="1196"/>
        <v>1603</v>
      </c>
      <c r="O110" s="380"/>
      <c r="P110" s="246">
        <f>P195</f>
        <v>576</v>
      </c>
      <c r="Q110" s="246">
        <f t="shared" ref="Q110:T110" si="1197">Q195</f>
        <v>481</v>
      </c>
      <c r="R110" s="246">
        <f t="shared" si="1197"/>
        <v>311</v>
      </c>
      <c r="S110" s="246">
        <f t="shared" si="1197"/>
        <v>261</v>
      </c>
      <c r="T110" s="246">
        <f t="shared" si="1197"/>
        <v>1629</v>
      </c>
      <c r="U110" s="380"/>
      <c r="V110" s="246">
        <f>V195</f>
        <v>304</v>
      </c>
      <c r="W110" s="246">
        <f t="shared" ref="W110:Z110" si="1198">W195</f>
        <v>152</v>
      </c>
      <c r="X110" s="246">
        <f t="shared" si="1198"/>
        <v>167</v>
      </c>
      <c r="Y110" s="246">
        <f t="shared" si="1198"/>
        <v>273</v>
      </c>
      <c r="Z110" s="246">
        <f t="shared" si="1198"/>
        <v>896</v>
      </c>
      <c r="AA110" s="380"/>
      <c r="AB110" s="246">
        <f>AB195</f>
        <v>312</v>
      </c>
      <c r="AC110" s="246">
        <f t="shared" ref="AC110:AF110" si="1199">AC195</f>
        <v>349</v>
      </c>
      <c r="AD110" s="246">
        <f t="shared" si="1199"/>
        <v>280</v>
      </c>
      <c r="AE110" s="246">
        <f t="shared" si="1199"/>
        <v>288</v>
      </c>
      <c r="AF110" s="246">
        <f t="shared" si="1199"/>
        <v>1229</v>
      </c>
      <c r="AH110" s="246">
        <f>AH195</f>
        <v>361</v>
      </c>
      <c r="AI110" s="246">
        <f t="shared" ref="AI110:AL110" si="1200">AI195</f>
        <v>355</v>
      </c>
      <c r="AJ110" s="246">
        <f t="shared" si="1200"/>
        <v>506</v>
      </c>
      <c r="AK110" s="246">
        <f t="shared" si="1200"/>
        <v>605</v>
      </c>
      <c r="AL110" s="246">
        <f t="shared" si="1200"/>
        <v>1827</v>
      </c>
      <c r="AN110" s="246">
        <f>AN195</f>
        <v>764</v>
      </c>
      <c r="AO110" s="246">
        <f t="shared" ref="AO110:AR110" si="1201">AO195</f>
        <v>740</v>
      </c>
      <c r="AP110" s="246">
        <f t="shared" si="1201"/>
        <v>730</v>
      </c>
      <c r="AQ110" s="246">
        <f t="shared" si="1201"/>
        <v>600</v>
      </c>
      <c r="AR110" s="246">
        <f t="shared" si="1201"/>
        <v>2834</v>
      </c>
      <c r="AS110" s="380"/>
      <c r="AT110" s="246">
        <f>AT195</f>
        <v>730</v>
      </c>
      <c r="AU110" s="246">
        <f t="shared" ref="AU110:AX110" si="1202">AU195</f>
        <v>718</v>
      </c>
      <c r="AV110" s="265">
        <f t="shared" si="1202"/>
        <v>619</v>
      </c>
      <c r="AW110" s="246">
        <f t="shared" si="1202"/>
        <v>574.91</v>
      </c>
      <c r="AX110" s="246">
        <f t="shared" si="1202"/>
        <v>2641.91</v>
      </c>
      <c r="AY110" s="246"/>
      <c r="AZ110" s="246">
        <f>AZ195</f>
        <v>639.16000000000008</v>
      </c>
      <c r="BA110" s="246">
        <f t="shared" ref="BA110:BD110" si="1203">BA195</f>
        <v>688.3</v>
      </c>
      <c r="BB110" s="246">
        <f t="shared" si="1203"/>
        <v>639.65200000000004</v>
      </c>
      <c r="BC110" s="246">
        <f t="shared" si="1203"/>
        <v>599.1386</v>
      </c>
      <c r="BD110" s="246">
        <f t="shared" si="1203"/>
        <v>2566.2506000000003</v>
      </c>
      <c r="BE110" s="246"/>
      <c r="BF110" s="246">
        <f>BF195</f>
        <v>670.07220000000018</v>
      </c>
      <c r="BG110" s="246">
        <f t="shared" ref="BG110:BJ110" si="1204">BG195</f>
        <v>721.59699999999998</v>
      </c>
      <c r="BH110" s="246">
        <f t="shared" si="1204"/>
        <v>672.83724000000007</v>
      </c>
      <c r="BI110" s="246">
        <f t="shared" si="1204"/>
        <v>632.049082</v>
      </c>
      <c r="BJ110" s="246">
        <f t="shared" si="1204"/>
        <v>2696.5555220000001</v>
      </c>
      <c r="BK110" s="246"/>
      <c r="BL110" s="246">
        <f>BL195</f>
        <v>702.22088800000006</v>
      </c>
      <c r="BM110" s="246">
        <f t="shared" ref="BM110:BP110" si="1205">BM195</f>
        <v>756.22588000000007</v>
      </c>
      <c r="BN110" s="246">
        <f t="shared" si="1205"/>
        <v>707.3498896000001</v>
      </c>
      <c r="BO110" s="246">
        <f t="shared" si="1205"/>
        <v>666.27598327999999</v>
      </c>
      <c r="BP110" s="246">
        <f t="shared" si="1205"/>
        <v>2832.0726408800001</v>
      </c>
      <c r="BQ110" s="246"/>
      <c r="BR110" s="246">
        <f>BR195</f>
        <v>735.65552352000009</v>
      </c>
      <c r="BS110" s="246">
        <f t="shared" ref="BS110:BV110" si="1206">BS195</f>
        <v>792.23991520000004</v>
      </c>
      <c r="BT110" s="246">
        <f t="shared" si="1206"/>
        <v>743.24304518400027</v>
      </c>
      <c r="BU110" s="246">
        <f t="shared" si="1206"/>
        <v>701.87196061120005</v>
      </c>
      <c r="BV110" s="246">
        <f t="shared" si="1206"/>
        <v>2973.0104445152001</v>
      </c>
      <c r="BW110" s="246"/>
      <c r="BX110" s="246">
        <f>BX195</f>
        <v>770.42754446080016</v>
      </c>
      <c r="BY110" s="246">
        <f t="shared" ref="BY110:CB110" si="1207">BY195</f>
        <v>829.69451180800013</v>
      </c>
      <c r="BZ110" s="246">
        <f t="shared" si="1207"/>
        <v>780.57192699136033</v>
      </c>
      <c r="CA110" s="246">
        <f t="shared" si="1207"/>
        <v>738.89177703564815</v>
      </c>
      <c r="CB110" s="246">
        <f t="shared" si="1207"/>
        <v>3119.5857602958085</v>
      </c>
      <c r="CC110" s="246"/>
      <c r="CD110" s="246">
        <f>CD195</f>
        <v>806.59044623923216</v>
      </c>
      <c r="CE110" s="246">
        <f t="shared" ref="CE110:CH110" si="1208">CE195</f>
        <v>868.64729228032024</v>
      </c>
      <c r="CF110" s="246">
        <f t="shared" si="1208"/>
        <v>819.39396407101469</v>
      </c>
      <c r="CG110" s="246">
        <f t="shared" si="1208"/>
        <v>777.39238611707401</v>
      </c>
      <c r="CH110" s="246">
        <f t="shared" si="1208"/>
        <v>3272.0240887076407</v>
      </c>
      <c r="CI110" s="246"/>
      <c r="CJ110" s="246">
        <f>CJ195</f>
        <v>844.19986408880163</v>
      </c>
      <c r="CK110" s="246">
        <f t="shared" ref="CK110:CN110" si="1209">CK195</f>
        <v>909.15818397153316</v>
      </c>
      <c r="CL110" s="246">
        <f t="shared" si="1209"/>
        <v>859.76888263385547</v>
      </c>
      <c r="CM110" s="246">
        <f t="shared" si="1209"/>
        <v>817.43301956175696</v>
      </c>
      <c r="CN110" s="246">
        <f t="shared" si="1209"/>
        <v>3430.5599502559471</v>
      </c>
    </row>
    <row r="111" spans="1:93" s="379" customFormat="1" ht="18" customHeight="1" x14ac:dyDescent="0.25">
      <c r="A111" s="137"/>
      <c r="B111" s="31" t="s">
        <v>373</v>
      </c>
      <c r="D111" s="246">
        <f>D261</f>
        <v>545</v>
      </c>
      <c r="E111" s="246">
        <f t="shared" ref="E111:H111" si="1210">E261</f>
        <v>694</v>
      </c>
      <c r="F111" s="246">
        <f t="shared" si="1210"/>
        <v>743</v>
      </c>
      <c r="G111" s="246">
        <f t="shared" si="1210"/>
        <v>874</v>
      </c>
      <c r="H111" s="246">
        <f t="shared" si="1210"/>
        <v>2856</v>
      </c>
      <c r="J111" s="246">
        <f>J261</f>
        <v>874</v>
      </c>
      <c r="K111" s="246">
        <f t="shared" ref="K111:N111" si="1211">K261</f>
        <v>1012</v>
      </c>
      <c r="L111" s="246">
        <f t="shared" si="1211"/>
        <v>973</v>
      </c>
      <c r="M111" s="246">
        <f t="shared" si="1211"/>
        <v>1079</v>
      </c>
      <c r="N111" s="246">
        <f t="shared" si="1211"/>
        <v>3938</v>
      </c>
      <c r="O111" s="380"/>
      <c r="P111" s="246">
        <f>P261</f>
        <v>838</v>
      </c>
      <c r="Q111" s="246">
        <f t="shared" ref="Q111:T111" si="1212">Q261</f>
        <v>886</v>
      </c>
      <c r="R111" s="246">
        <f t="shared" si="1212"/>
        <v>1021</v>
      </c>
      <c r="S111" s="246">
        <f t="shared" si="1212"/>
        <v>1165</v>
      </c>
      <c r="T111" s="246">
        <f t="shared" si="1212"/>
        <v>3910</v>
      </c>
      <c r="U111" s="380"/>
      <c r="V111" s="246">
        <f>V261</f>
        <v>602</v>
      </c>
      <c r="W111" s="246">
        <f t="shared" ref="W111:Z111" si="1213">W261</f>
        <v>624</v>
      </c>
      <c r="X111" s="246">
        <f t="shared" si="1213"/>
        <v>492</v>
      </c>
      <c r="Y111" s="246">
        <f t="shared" si="1213"/>
        <v>687</v>
      </c>
      <c r="Z111" s="246">
        <f t="shared" si="1213"/>
        <v>2405</v>
      </c>
      <c r="AA111" s="380"/>
      <c r="AB111" s="246">
        <f>AB261</f>
        <v>675</v>
      </c>
      <c r="AC111" s="246">
        <f t="shared" ref="AC111:AF111" si="1214">AC261</f>
        <v>738</v>
      </c>
      <c r="AD111" s="246">
        <f t="shared" si="1214"/>
        <v>706</v>
      </c>
      <c r="AE111" s="246">
        <f t="shared" si="1214"/>
        <v>685</v>
      </c>
      <c r="AF111" s="246">
        <f t="shared" si="1214"/>
        <v>2804</v>
      </c>
      <c r="AH111" s="246">
        <f>AH261</f>
        <v>538</v>
      </c>
      <c r="AI111" s="246">
        <f t="shared" ref="AI111:AL111" si="1215">AI261</f>
        <v>659</v>
      </c>
      <c r="AJ111" s="246">
        <f t="shared" si="1215"/>
        <v>935</v>
      </c>
      <c r="AK111" s="246">
        <f t="shared" si="1215"/>
        <v>1177</v>
      </c>
      <c r="AL111" s="246">
        <f t="shared" si="1215"/>
        <v>3309</v>
      </c>
      <c r="AN111" s="246">
        <f>AN261</f>
        <v>1057</v>
      </c>
      <c r="AO111" s="246">
        <f t="shared" ref="AO111:AR111" si="1216">AO261</f>
        <v>1269</v>
      </c>
      <c r="AP111" s="246">
        <f t="shared" si="1216"/>
        <v>1181</v>
      </c>
      <c r="AQ111" s="246">
        <f t="shared" si="1216"/>
        <v>1429</v>
      </c>
      <c r="AR111" s="246">
        <f t="shared" si="1216"/>
        <v>4936</v>
      </c>
      <c r="AS111" s="380"/>
      <c r="AT111" s="246">
        <f>AT261</f>
        <v>1301</v>
      </c>
      <c r="AU111" s="246">
        <f t="shared" ref="AU111:AX111" si="1217">AU261</f>
        <v>1525</v>
      </c>
      <c r="AV111" s="265">
        <f t="shared" si="1217"/>
        <v>1433</v>
      </c>
      <c r="AW111" s="246">
        <f t="shared" si="1217"/>
        <v>1571.956387693227</v>
      </c>
      <c r="AX111" s="246">
        <f t="shared" si="1217"/>
        <v>5830.956387693227</v>
      </c>
      <c r="AY111" s="246"/>
      <c r="AZ111" s="246">
        <f>AZ261</f>
        <v>1444.9155669378536</v>
      </c>
      <c r="BA111" s="246">
        <f t="shared" ref="BA111:BD111" si="1218">BA261</f>
        <v>1703.5471351930055</v>
      </c>
      <c r="BB111" s="246">
        <f t="shared" si="1218"/>
        <v>1570.3895749037356</v>
      </c>
      <c r="BC111" s="246">
        <f t="shared" si="1218"/>
        <v>1730.7768515095524</v>
      </c>
      <c r="BD111" s="246">
        <f t="shared" si="1218"/>
        <v>6449.6291285441466</v>
      </c>
      <c r="BE111" s="246"/>
      <c r="BF111" s="246">
        <f>BF261</f>
        <v>1577.7160385395862</v>
      </c>
      <c r="BG111" s="246">
        <f t="shared" ref="BG111:BJ111" si="1219">BG261</f>
        <v>1850.4576519838231</v>
      </c>
      <c r="BH111" s="246">
        <f t="shared" si="1219"/>
        <v>1712.1283047418842</v>
      </c>
      <c r="BI111" s="246">
        <f t="shared" si="1219"/>
        <v>1886.1767162238571</v>
      </c>
      <c r="BJ111" s="246">
        <f t="shared" si="1219"/>
        <v>7026.4787114891515</v>
      </c>
      <c r="BK111" s="246"/>
      <c r="BL111" s="246">
        <f>BL261</f>
        <v>1679.3384985915652</v>
      </c>
      <c r="BM111" s="246">
        <f t="shared" ref="BM111:BP111" si="1220">BM261</f>
        <v>1962.9424328405034</v>
      </c>
      <c r="BN111" s="246">
        <f t="shared" si="1220"/>
        <v>1820.6071596275442</v>
      </c>
      <c r="BO111" s="246">
        <f t="shared" si="1220"/>
        <v>2005.7128209489279</v>
      </c>
      <c r="BP111" s="246">
        <f t="shared" si="1220"/>
        <v>7468.60091200854</v>
      </c>
      <c r="BQ111" s="246"/>
      <c r="BR111" s="246">
        <f>BR261</f>
        <v>1785.8080389560671</v>
      </c>
      <c r="BS111" s="246">
        <f t="shared" ref="BS111:BV111" si="1221">BS261</f>
        <v>2080.7980357275851</v>
      </c>
      <c r="BT111" s="246">
        <f t="shared" si="1221"/>
        <v>1934.2540035426346</v>
      </c>
      <c r="BU111" s="246">
        <f t="shared" si="1221"/>
        <v>2130.9513913634123</v>
      </c>
      <c r="BV111" s="246">
        <f t="shared" si="1221"/>
        <v>7931.8114695896984</v>
      </c>
      <c r="BW111" s="246"/>
      <c r="BX111" s="246">
        <f>BX261</f>
        <v>1897.3596437286049</v>
      </c>
      <c r="BY111" s="246">
        <f t="shared" ref="BY111:CB111" si="1222">BY261</f>
        <v>2204.2850150201002</v>
      </c>
      <c r="BZ111" s="246">
        <f t="shared" si="1222"/>
        <v>2053.3192433908675</v>
      </c>
      <c r="CA111" s="246">
        <f t="shared" si="1222"/>
        <v>2262.1694894271118</v>
      </c>
      <c r="CB111" s="246">
        <f t="shared" si="1222"/>
        <v>8417.1333915666837</v>
      </c>
      <c r="CC111" s="246"/>
      <c r="CD111" s="246">
        <f>CD261</f>
        <v>2014.2397995446429</v>
      </c>
      <c r="CE111" s="246">
        <f t="shared" ref="CE111:CH111" si="1223">CE261</f>
        <v>2333.6766853467611</v>
      </c>
      <c r="CF111" s="246">
        <f t="shared" si="1223"/>
        <v>2178.0655402704515</v>
      </c>
      <c r="CG111" s="246">
        <f t="shared" si="1223"/>
        <v>2399.6577735726105</v>
      </c>
      <c r="CH111" s="246">
        <f t="shared" si="1223"/>
        <v>8925.6397987344662</v>
      </c>
      <c r="CI111" s="246"/>
      <c r="CJ111" s="246">
        <f>CJ261</f>
        <v>2136.7070620707846</v>
      </c>
      <c r="CK111" s="246">
        <f t="shared" ref="CK111:CN111" si="1224">CK261</f>
        <v>2469.2597502328481</v>
      </c>
      <c r="CL111" s="246">
        <f t="shared" si="1224"/>
        <v>2308.7684128854207</v>
      </c>
      <c r="CM111" s="246">
        <f t="shared" si="1224"/>
        <v>2543.7211698231022</v>
      </c>
      <c r="CN111" s="246">
        <f t="shared" si="1224"/>
        <v>9458.4563950121556</v>
      </c>
    </row>
    <row r="112" spans="1:93" s="379" customFormat="1" ht="18" customHeight="1" x14ac:dyDescent="0.25">
      <c r="A112" s="137"/>
      <c r="B112" s="31" t="s">
        <v>415</v>
      </c>
      <c r="D112" s="246">
        <f>D114-SUM(D109:D111)</f>
        <v>-1074</v>
      </c>
      <c r="E112" s="246">
        <f t="shared" ref="E112:H112" si="1225">E114-SUM(E109:E111)</f>
        <v>-608</v>
      </c>
      <c r="F112" s="246">
        <f t="shared" si="1225"/>
        <v>-417</v>
      </c>
      <c r="G112" s="246">
        <f t="shared" si="1225"/>
        <v>-604</v>
      </c>
      <c r="H112" s="246">
        <f t="shared" si="1225"/>
        <v>-2703</v>
      </c>
      <c r="J112" s="246">
        <f>J114-SUM(J109:J111)</f>
        <v>-314</v>
      </c>
      <c r="K112" s="246">
        <f t="shared" ref="K112" si="1226">K114-SUM(K109:K111)</f>
        <v>-443</v>
      </c>
      <c r="L112" s="246">
        <f t="shared" ref="L112" si="1227">L114-SUM(L109:L111)</f>
        <v>-381</v>
      </c>
      <c r="M112" s="246">
        <f t="shared" ref="M112" si="1228">M114-SUM(M109:M111)</f>
        <v>-422</v>
      </c>
      <c r="N112" s="246">
        <f t="shared" ref="N112" si="1229">N114-SUM(N109:N111)</f>
        <v>-1560</v>
      </c>
      <c r="O112" s="380"/>
      <c r="P112" s="246">
        <f>P114-SUM(P109:P111)</f>
        <v>-350</v>
      </c>
      <c r="Q112" s="246">
        <f t="shared" ref="Q112" si="1230">Q114-SUM(Q109:Q111)</f>
        <v>-430</v>
      </c>
      <c r="R112" s="246">
        <f t="shared" ref="R112" si="1231">R114-SUM(R109:R111)</f>
        <v>-384</v>
      </c>
      <c r="S112" s="246">
        <f t="shared" ref="S112" si="1232">S114-SUM(S109:S111)</f>
        <v>-336</v>
      </c>
      <c r="T112" s="246">
        <f t="shared" ref="T112" si="1233">T114-SUM(T109:T111)</f>
        <v>-1500</v>
      </c>
      <c r="U112" s="380"/>
      <c r="V112" s="246">
        <f>V114-SUM(V109:V111)</f>
        <v>-205</v>
      </c>
      <c r="W112" s="246">
        <f t="shared" ref="W112" si="1234">W114-SUM(W109:W111)</f>
        <v>-545</v>
      </c>
      <c r="X112" s="246">
        <f t="shared" ref="X112" si="1235">X114-SUM(X109:X111)</f>
        <v>-319</v>
      </c>
      <c r="Y112" s="246">
        <f t="shared" ref="Y112" si="1236">Y114-SUM(Y109:Y111)</f>
        <v>-284</v>
      </c>
      <c r="Z112" s="246">
        <f t="shared" ref="Z112" si="1237">Z114-SUM(Z109:Z111)</f>
        <v>-1353</v>
      </c>
      <c r="AA112" s="380"/>
      <c r="AB112" s="246">
        <f>AB114-SUM(AB109:AB111)</f>
        <v>-365</v>
      </c>
      <c r="AC112" s="246">
        <f t="shared" ref="AC112" si="1238">AC114-SUM(AC109:AC111)</f>
        <v>-463</v>
      </c>
      <c r="AD112" s="246">
        <f t="shared" ref="AD112" si="1239">AD114-SUM(AD109:AD111)</f>
        <v>-281</v>
      </c>
      <c r="AE112" s="246">
        <f t="shared" ref="AE112" si="1240">AE114-SUM(AE109:AE111)</f>
        <v>-293</v>
      </c>
      <c r="AF112" s="246">
        <f t="shared" ref="AF112" si="1241">AF114-SUM(AF109:AF111)</f>
        <v>-1402</v>
      </c>
      <c r="AH112" s="246">
        <f>AH114-SUM(AH109:AH111)</f>
        <v>-241</v>
      </c>
      <c r="AI112" s="246">
        <f t="shared" ref="AI112" si="1242">AI114-SUM(AI109:AI111)</f>
        <v>-199</v>
      </c>
      <c r="AJ112" s="246">
        <f t="shared" ref="AJ112" si="1243">AJ114-SUM(AJ109:AJ111)</f>
        <v>-365</v>
      </c>
      <c r="AK112" s="246">
        <f t="shared" ref="AK112" si="1244">AK114-SUM(AK109:AK111)</f>
        <v>-1641</v>
      </c>
      <c r="AL112" s="246">
        <f t="shared" ref="AL112" si="1245">AL114-SUM(AL109:AL111)</f>
        <v>-2446</v>
      </c>
      <c r="AN112" s="246">
        <f>AN114-SUM(AN109:AN111)</f>
        <v>-997</v>
      </c>
      <c r="AO112" s="246">
        <f t="shared" ref="AO112" si="1246">AO114-SUM(AO109:AO111)</f>
        <v>-262</v>
      </c>
      <c r="AP112" s="246">
        <f t="shared" ref="AP112" si="1247">AP114-SUM(AP109:AP111)</f>
        <v>-365</v>
      </c>
      <c r="AQ112" s="246">
        <f t="shared" ref="AQ112" si="1248">AQ114-SUM(AQ109:AQ111)</f>
        <v>-462</v>
      </c>
      <c r="AR112" s="246">
        <f t="shared" ref="AR112" si="1249">AR114-SUM(AR109:AR111)</f>
        <v>-2086</v>
      </c>
      <c r="AS112" s="380"/>
      <c r="AT112" s="246">
        <f>AT114-SUM(AT109:AT111)</f>
        <v>-391</v>
      </c>
      <c r="AU112" s="246">
        <f t="shared" ref="AU112" si="1250">AU114-SUM(AU109:AU111)</f>
        <v>-323</v>
      </c>
      <c r="AV112" s="265">
        <f t="shared" ref="AV112" si="1251">AV114-SUM(AV109:AV111)</f>
        <v>-440</v>
      </c>
      <c r="AW112" s="246">
        <f>AW113*AW57</f>
        <v>-442.75280000000004</v>
      </c>
      <c r="AX112" s="246">
        <f t="shared" ref="AX112" si="1252">AX114-SUM(AX109:AX111)</f>
        <v>-1596.7528000000002</v>
      </c>
      <c r="AY112" s="246"/>
      <c r="AZ112" s="246">
        <f t="shared" ref="AZ112:BC112" si="1253">AZ113*AZ57</f>
        <v>-406.36680000000007</v>
      </c>
      <c r="BA112" s="246">
        <f t="shared" si="1253"/>
        <v>-435.58900000000006</v>
      </c>
      <c r="BB112" s="246">
        <f t="shared" si="1253"/>
        <v>-427.36791999999997</v>
      </c>
      <c r="BC112" s="246">
        <f t="shared" si="1253"/>
        <v>-448.98565600000001</v>
      </c>
      <c r="BD112" s="246">
        <f t="shared" ref="BD112" si="1254">BD114-SUM(BD109:BD111)</f>
        <v>-1718.3093760000011</v>
      </c>
      <c r="BE112" s="246"/>
      <c r="BF112" s="246">
        <f t="shared" ref="BF112" si="1255">BF113*BF57</f>
        <v>-425.57270000000005</v>
      </c>
      <c r="BG112" s="246">
        <f t="shared" ref="BG112" si="1256">BG113*BG57</f>
        <v>-456.170568</v>
      </c>
      <c r="BH112" s="246">
        <f t="shared" ref="BH112" si="1257">BH113*BH57</f>
        <v>-447.51444080000005</v>
      </c>
      <c r="BI112" s="246">
        <f t="shared" ref="BI112" si="1258">BI113*BI57</f>
        <v>-470.05138544000005</v>
      </c>
      <c r="BJ112" s="246">
        <f t="shared" ref="BJ112" si="1259">BJ114-SUM(BJ109:BJ111)</f>
        <v>-1799.3090942400013</v>
      </c>
      <c r="BK112" s="246"/>
      <c r="BL112" s="246">
        <f t="shared" ref="BL112" si="1260">BL113*BL57</f>
        <v>-442.97126608000008</v>
      </c>
      <c r="BM112" s="246">
        <f t="shared" ref="BM112" si="1261">BM113*BM57</f>
        <v>-474.92215386000004</v>
      </c>
      <c r="BN112" s="246">
        <f t="shared" ref="BN112" si="1262">BN113*BN57</f>
        <v>-465.86010713200005</v>
      </c>
      <c r="BO112" s="246">
        <f t="shared" ref="BO112" si="1263">BO113*BO57</f>
        <v>-489.43134237759995</v>
      </c>
      <c r="BP112" s="246">
        <f t="shared" ref="BP112" si="1264">BP114-SUM(BP109:BP111)</f>
        <v>-1873.184869449602</v>
      </c>
      <c r="BQ112" s="246"/>
      <c r="BR112" s="246">
        <f t="shared" ref="BR112" si="1265">BR113*BR57</f>
        <v>-461.11148385680002</v>
      </c>
      <c r="BS112" s="246">
        <f t="shared" ref="BS112" si="1266">BS113*BS57</f>
        <v>-494.47712832420007</v>
      </c>
      <c r="BT112" s="246">
        <f t="shared" ref="BT112" si="1267">BT113*BT57</f>
        <v>-484.98982021028019</v>
      </c>
      <c r="BU112" s="246">
        <f t="shared" ref="BU112" si="1268">BU113*BU57</f>
        <v>-509.64604982950414</v>
      </c>
      <c r="BV112" s="246">
        <f t="shared" ref="BV112" si="1269">BV114-SUM(BV109:BV111)</f>
        <v>-1950.2244822207813</v>
      </c>
      <c r="BW112" s="246"/>
      <c r="BX112" s="246">
        <f t="shared" ref="BX112" si="1270">BX113*BX57</f>
        <v>-480.02604621630411</v>
      </c>
      <c r="BY112" s="246">
        <f t="shared" ref="BY112" si="1271">BY113*BY57</f>
        <v>-514.87106433995416</v>
      </c>
      <c r="BZ112" s="246">
        <f t="shared" ref="BZ112" si="1272">BZ113*BZ57</f>
        <v>-504.93821493844126</v>
      </c>
      <c r="CA112" s="246">
        <f t="shared" ref="CA112" si="1273">CA113*CA57</f>
        <v>-530.7326837932203</v>
      </c>
      <c r="CB112" s="246">
        <f t="shared" ref="CB112" si="1274">CB114-SUM(CB109:CB111)</f>
        <v>-2030.5680092879229</v>
      </c>
      <c r="CC112" s="246"/>
      <c r="CD112" s="246">
        <f t="shared" ref="CD112" si="1275">CD113*CD57</f>
        <v>-499.7491260133317</v>
      </c>
      <c r="CE112" s="246">
        <f t="shared" ref="CE112" si="1276">CE113*CE57</f>
        <v>-536.14115134769679</v>
      </c>
      <c r="CF112" s="246">
        <f t="shared" ref="CF112" si="1277">CF113*CF57</f>
        <v>-525.74149658997669</v>
      </c>
      <c r="CG112" s="246">
        <f t="shared" ref="CG112" si="1278">CG113*CG57</f>
        <v>-552.73011862896215</v>
      </c>
      <c r="CH112" s="246">
        <f t="shared" ref="CH112" si="1279">CH114-SUM(CH109:CH111)</f>
        <v>-2114.3618925799674</v>
      </c>
      <c r="CI112" s="246"/>
      <c r="CJ112" s="246">
        <f t="shared" ref="CJ112" si="1280">CJ113*CJ57</f>
        <v>-520.31644448385839</v>
      </c>
      <c r="CK112" s="246">
        <f t="shared" ref="CK112" si="1281">CK113*CK57</f>
        <v>-558.32627024199007</v>
      </c>
      <c r="CL112" s="246">
        <f t="shared" ref="CL112" si="1282">CL113*CL57</f>
        <v>-547.4375134806395</v>
      </c>
      <c r="CM112" s="246">
        <f t="shared" ref="CM112" si="1283">CM113*CM57</f>
        <v>-575.67900617647638</v>
      </c>
      <c r="CN112" s="246">
        <f t="shared" ref="CN112" si="1284">CN114-SUM(CN109:CN111)</f>
        <v>-2201.7592343829638</v>
      </c>
    </row>
    <row r="113" spans="1:93" s="379" customFormat="1" ht="18" customHeight="1" x14ac:dyDescent="0.25">
      <c r="A113" s="137"/>
      <c r="B113" s="136" t="s">
        <v>543</v>
      </c>
      <c r="D113" s="67">
        <f t="shared" ref="D113" si="1285">D112/D57</f>
        <v>-0.1176341730558598</v>
      </c>
      <c r="E113" s="67">
        <f t="shared" ref="E113" si="1286">E112/E57</f>
        <v>-5.7148228216937685E-2</v>
      </c>
      <c r="F113" s="67">
        <f t="shared" ref="F113" si="1287">F112/F57</f>
        <v>-3.8924670960515259E-2</v>
      </c>
      <c r="G113" s="67">
        <f t="shared" ref="G113" si="1288">G112/G57</f>
        <v>-4.953255699524356E-2</v>
      </c>
      <c r="H113" s="67">
        <f t="shared" ref="H113" si="1289">H112/H57</f>
        <v>-6.3337707376511385E-2</v>
      </c>
      <c r="J113" s="67">
        <f t="shared" ref="J113" si="1290">J112/J57</f>
        <v>-2.5843621399176956E-2</v>
      </c>
      <c r="K113" s="67">
        <f t="shared" ref="K113" si="1291">K112/K57</f>
        <v>-3.3360945854356505E-2</v>
      </c>
      <c r="L113" s="67">
        <f t="shared" ref="L113" si="1292">L112/L57</f>
        <v>-2.9851915693802397E-2</v>
      </c>
      <c r="M113" s="67">
        <f t="shared" ref="M113" si="1293">M112/M57</f>
        <v>-3.0961115187087308E-2</v>
      </c>
      <c r="N113" s="67">
        <f t="shared" ref="N113" si="1294">N112/N57</f>
        <v>-3.0103045038786615E-2</v>
      </c>
      <c r="O113" s="380"/>
      <c r="P113" s="67">
        <f t="shared" ref="P113" si="1295">P112/P57</f>
        <v>-2.7507073247406477E-2</v>
      </c>
      <c r="Q113" s="67">
        <f t="shared" ref="Q113" si="1296">Q112/Q57</f>
        <v>-3.1453441591690438E-2</v>
      </c>
      <c r="R113" s="67">
        <f t="shared" ref="R113" si="1297">R112/R57</f>
        <v>-3.2069483881743778E-2</v>
      </c>
      <c r="S113" s="67">
        <f t="shared" ref="S113" si="1298">S112/S57</f>
        <v>-2.712740190537704E-2</v>
      </c>
      <c r="T113" s="67">
        <f t="shared" ref="T113" si="1299">T112/T57</f>
        <v>-2.9553738547926311E-2</v>
      </c>
      <c r="U113" s="380"/>
      <c r="V113" s="67">
        <f t="shared" ref="V113" si="1300">V112/V57</f>
        <v>-2.0677829332257414E-2</v>
      </c>
      <c r="W113" s="67">
        <f t="shared" ref="W113" si="1301">W112/W57</f>
        <v>-5.853920515574651E-2</v>
      </c>
      <c r="X113" s="67">
        <f t="shared" ref="X113" si="1302">X112/X57</f>
        <v>-3.4568703944516686E-2</v>
      </c>
      <c r="Y113" s="67">
        <f t="shared" ref="Y113" si="1303">Y112/Y57</f>
        <v>-2.686849574266793E-2</v>
      </c>
      <c r="Z113" s="67">
        <f t="shared" ref="Z113" si="1304">Z112/Z57</f>
        <v>-3.4672748705858236E-2</v>
      </c>
      <c r="AA113" s="380"/>
      <c r="AB113" s="67">
        <f t="shared" ref="AB113" si="1305">AB112/AB57</f>
        <v>-3.2615494593870073E-2</v>
      </c>
      <c r="AC113" s="67">
        <f t="shared" ref="AC113" si="1306">AC112/AC57</f>
        <v>-3.7972607233658653E-2</v>
      </c>
      <c r="AD113" s="67">
        <f t="shared" ref="AD113" si="1307">AD112/AD57</f>
        <v>-2.4002733407363117E-2</v>
      </c>
      <c r="AE113" s="67">
        <f t="shared" ref="AE113" si="1308">AE112/AE57</f>
        <v>-2.2371535466137283E-2</v>
      </c>
      <c r="AF113" s="67">
        <f t="shared" ref="AF113" si="1309">AF112/AF57</f>
        <v>-2.9094380343654021E-2</v>
      </c>
      <c r="AH113" s="67">
        <f t="shared" ref="AH113" si="1310">AH112/AH57</f>
        <v>-1.8702467794505667E-2</v>
      </c>
      <c r="AI113" s="67">
        <f t="shared" ref="AI113" si="1311">AI112/AI57</f>
        <v>-1.4698279045719773E-2</v>
      </c>
      <c r="AJ113" s="67">
        <f t="shared" ref="AJ113" si="1312">AJ112/AJ57</f>
        <v>-2.556380445440538E-2</v>
      </c>
      <c r="AK113" s="67">
        <f t="shared" ref="AK113" si="1313">AK112/AK57</f>
        <v>-0.1033961313086762</v>
      </c>
      <c r="AL113" s="67">
        <f t="shared" ref="AL113" si="1314">AL112/AL57</f>
        <v>-4.3235408491533213E-2</v>
      </c>
      <c r="AN113" s="67">
        <f t="shared" ref="AN113:AR113" si="1315">AN112/AN57</f>
        <v>-6.6030862971057688E-2</v>
      </c>
      <c r="AO113" s="67">
        <f t="shared" si="1315"/>
        <v>-1.5835599879117559E-2</v>
      </c>
      <c r="AP113" s="67">
        <f t="shared" si="1315"/>
        <v>-2.2829622216662498E-2</v>
      </c>
      <c r="AQ113" s="67">
        <f t="shared" si="1315"/>
        <v>-2.8453532056414363E-2</v>
      </c>
      <c r="AR113" s="67">
        <f t="shared" si="1315"/>
        <v>-3.2660602170066853E-2</v>
      </c>
      <c r="AS113" s="380"/>
      <c r="AT113" s="67">
        <f>AT112/AT57</f>
        <v>-2.6136363636363635E-2</v>
      </c>
      <c r="AU113" s="67">
        <f t="shared" ref="AU113:AV113" si="1316">AU112/AU57</f>
        <v>-2.0391414141414141E-2</v>
      </c>
      <c r="AV113" s="130">
        <f t="shared" si="1316"/>
        <v>-2.8888451185083056E-2</v>
      </c>
      <c r="AW113" s="539">
        <v>-2.8000000000000001E-2</v>
      </c>
      <c r="AX113" s="67">
        <f>AX112/AX57</f>
        <v>-2.5819208454876497E-2</v>
      </c>
      <c r="AY113" s="246"/>
      <c r="AZ113" s="454">
        <v>-2.8000000000000001E-2</v>
      </c>
      <c r="BA113" s="454">
        <v>-2.8000000000000001E-2</v>
      </c>
      <c r="BB113" s="454">
        <v>-2.8000000000000001E-2</v>
      </c>
      <c r="BC113" s="454">
        <v>-2.8000000000000001E-2</v>
      </c>
      <c r="BD113" s="67">
        <f>BD112/BD57</f>
        <v>-2.8000000000000018E-2</v>
      </c>
      <c r="BE113" s="246"/>
      <c r="BF113" s="454">
        <v>-2.8000000000000001E-2</v>
      </c>
      <c r="BG113" s="454">
        <v>-2.8000000000000001E-2</v>
      </c>
      <c r="BH113" s="454">
        <v>-2.8000000000000001E-2</v>
      </c>
      <c r="BI113" s="454">
        <v>-2.8000000000000001E-2</v>
      </c>
      <c r="BJ113" s="67">
        <f>BJ112/BJ57</f>
        <v>-2.8000000000000014E-2</v>
      </c>
      <c r="BK113" s="246"/>
      <c r="BL113" s="454">
        <v>-2.8000000000000001E-2</v>
      </c>
      <c r="BM113" s="454">
        <v>-2.8000000000000001E-2</v>
      </c>
      <c r="BN113" s="454">
        <v>-2.8000000000000001E-2</v>
      </c>
      <c r="BO113" s="454">
        <v>-2.8000000000000001E-2</v>
      </c>
      <c r="BP113" s="67">
        <f>BP112/BP57</f>
        <v>-2.8000000000000028E-2</v>
      </c>
      <c r="BQ113" s="246"/>
      <c r="BR113" s="454">
        <v>-2.8000000000000001E-2</v>
      </c>
      <c r="BS113" s="454">
        <v>-2.8000000000000001E-2</v>
      </c>
      <c r="BT113" s="454">
        <v>-2.8000000000000001E-2</v>
      </c>
      <c r="BU113" s="454">
        <v>-2.8000000000000001E-2</v>
      </c>
      <c r="BV113" s="67">
        <f>BV112/BV57</f>
        <v>-2.7999999999999959E-2</v>
      </c>
      <c r="BW113" s="246"/>
      <c r="BX113" s="454">
        <v>-2.8000000000000001E-2</v>
      </c>
      <c r="BY113" s="454">
        <v>-2.8000000000000001E-2</v>
      </c>
      <c r="BZ113" s="454">
        <v>-2.8000000000000001E-2</v>
      </c>
      <c r="CA113" s="454">
        <v>-2.8000000000000001E-2</v>
      </c>
      <c r="CB113" s="67">
        <f>CB112/CB57</f>
        <v>-2.8000000000000042E-2</v>
      </c>
      <c r="CC113" s="246"/>
      <c r="CD113" s="454">
        <v>-2.8000000000000001E-2</v>
      </c>
      <c r="CE113" s="454">
        <v>-2.8000000000000001E-2</v>
      </c>
      <c r="CF113" s="454">
        <v>-2.8000000000000001E-2</v>
      </c>
      <c r="CG113" s="454">
        <v>-2.8000000000000001E-2</v>
      </c>
      <c r="CH113" s="67">
        <f>CH112/CH57</f>
        <v>-2.8000000000000001E-2</v>
      </c>
      <c r="CI113" s="246"/>
      <c r="CJ113" s="454">
        <v>-2.8000000000000001E-2</v>
      </c>
      <c r="CK113" s="454">
        <v>-2.8000000000000001E-2</v>
      </c>
      <c r="CL113" s="454">
        <v>-2.8000000000000001E-2</v>
      </c>
      <c r="CM113" s="454">
        <v>-2.8000000000000001E-2</v>
      </c>
      <c r="CN113" s="67">
        <f>CN112/CN57</f>
        <v>-2.7999999999999997E-2</v>
      </c>
    </row>
    <row r="114" spans="1:93" s="137" customFormat="1" ht="18" customHeight="1" x14ac:dyDescent="0.25">
      <c r="B114" s="547" t="s">
        <v>127</v>
      </c>
      <c r="C114" s="548"/>
      <c r="D114" s="199">
        <v>265</v>
      </c>
      <c r="E114" s="199">
        <v>1085</v>
      </c>
      <c r="F114" s="199">
        <v>1439</v>
      </c>
      <c r="G114" s="199">
        <v>1317</v>
      </c>
      <c r="H114" s="73">
        <f>SUM(D114:G114)</f>
        <v>4106</v>
      </c>
      <c r="I114" s="548"/>
      <c r="J114" s="199">
        <v>2055</v>
      </c>
      <c r="K114" s="199">
        <v>2134</v>
      </c>
      <c r="L114" s="199">
        <v>2064</v>
      </c>
      <c r="M114" s="199">
        <v>1902</v>
      </c>
      <c r="N114" s="73">
        <f>SUM(J114:M114)</f>
        <v>8155</v>
      </c>
      <c r="O114" s="549"/>
      <c r="P114" s="199">
        <v>2149</v>
      </c>
      <c r="Q114" s="199">
        <v>2184</v>
      </c>
      <c r="R114" s="199">
        <v>1888</v>
      </c>
      <c r="S114" s="199">
        <v>1749</v>
      </c>
      <c r="T114" s="73">
        <f>SUM(P114:S114)</f>
        <v>7970</v>
      </c>
      <c r="U114" s="549"/>
      <c r="V114" s="199">
        <v>1341</v>
      </c>
      <c r="W114" s="199">
        <v>749</v>
      </c>
      <c r="X114" s="199">
        <v>925</v>
      </c>
      <c r="Y114" s="199">
        <v>1306</v>
      </c>
      <c r="Z114" s="73">
        <f>SUM(V114:Y114)</f>
        <v>4321</v>
      </c>
      <c r="AA114" s="549"/>
      <c r="AB114" s="199">
        <v>1664</v>
      </c>
      <c r="AC114" s="199">
        <v>1653</v>
      </c>
      <c r="AD114" s="199">
        <v>1571</v>
      </c>
      <c r="AE114" s="199">
        <v>1475</v>
      </c>
      <c r="AF114" s="73">
        <f>SUM(AB114:AE114)</f>
        <v>6363</v>
      </c>
      <c r="AG114" s="548"/>
      <c r="AH114" s="199">
        <v>1715</v>
      </c>
      <c r="AI114" s="199">
        <v>1804</v>
      </c>
      <c r="AJ114" s="199">
        <v>2285</v>
      </c>
      <c r="AK114" s="199">
        <v>1629</v>
      </c>
      <c r="AL114" s="73">
        <f>SUM(AH114:AK114)</f>
        <v>7433</v>
      </c>
      <c r="AM114" s="548"/>
      <c r="AN114" s="199">
        <v>2614</v>
      </c>
      <c r="AO114" s="199">
        <v>3550</v>
      </c>
      <c r="AP114" s="199">
        <v>3393</v>
      </c>
      <c r="AQ114" s="199">
        <v>3102</v>
      </c>
      <c r="AR114" s="73">
        <f>SUM(AN114:AQ114)</f>
        <v>12659</v>
      </c>
      <c r="AS114" s="549"/>
      <c r="AT114" s="199">
        <v>3404</v>
      </c>
      <c r="AU114" s="199">
        <v>3661</v>
      </c>
      <c r="AV114" s="550">
        <v>3098</v>
      </c>
      <c r="AW114" s="73">
        <f>SUM(AW109:AW112)</f>
        <v>3071.5685876932271</v>
      </c>
      <c r="AX114" s="73">
        <f>SUM(AT114:AW114)</f>
        <v>13234.568587693228</v>
      </c>
      <c r="AY114" s="73"/>
      <c r="AZ114" s="73">
        <f>SUM(AZ109:AZ112)</f>
        <v>3216.0287669378536</v>
      </c>
      <c r="BA114" s="73">
        <f t="shared" ref="BA114:BC114" si="1317">SUM(BA109:BA112)</f>
        <v>3443.7581351930057</v>
      </c>
      <c r="BB114" s="73">
        <f t="shared" si="1317"/>
        <v>3126.0736549037356</v>
      </c>
      <c r="BC114" s="73">
        <f t="shared" si="1317"/>
        <v>3180.3927955095523</v>
      </c>
      <c r="BD114" s="73">
        <f>SUM(AZ114:BC114)</f>
        <v>12966.253352544147</v>
      </c>
      <c r="BE114" s="73"/>
      <c r="BF114" s="73">
        <f>SUM(BF109:BF112)</f>
        <v>3477.2315385395864</v>
      </c>
      <c r="BG114" s="73">
        <f t="shared" ref="BG114:BI114" si="1318">SUM(BG109:BG112)</f>
        <v>3723.8690839838232</v>
      </c>
      <c r="BH114" s="73">
        <f t="shared" si="1318"/>
        <v>3400.121103941884</v>
      </c>
      <c r="BI114" s="73">
        <f t="shared" si="1318"/>
        <v>3464.543812783857</v>
      </c>
      <c r="BJ114" s="73">
        <f>SUM(BF114:BI114)</f>
        <v>14065.765539249151</v>
      </c>
      <c r="BK114" s="73"/>
      <c r="BL114" s="73">
        <f>SUM(BL109:BL112)</f>
        <v>3677.1400205115656</v>
      </c>
      <c r="BM114" s="73">
        <f t="shared" ref="BM114:BO114" si="1319">SUM(BM109:BM112)</f>
        <v>3938.4810989805032</v>
      </c>
      <c r="BN114" s="73">
        <f t="shared" si="1319"/>
        <v>3610.4740320955448</v>
      </c>
      <c r="BO114" s="73">
        <f t="shared" si="1319"/>
        <v>3683.1838178513285</v>
      </c>
      <c r="BP114" s="73">
        <f>SUM(BL114:BO114)</f>
        <v>14909.278969438941</v>
      </c>
      <c r="BQ114" s="73"/>
      <c r="BR114" s="73">
        <f>SUM(BR109:BR112)</f>
        <v>3885.3466524192672</v>
      </c>
      <c r="BS114" s="73">
        <f t="shared" ref="BS114:BU114" si="1320">SUM(BS109:BS112)</f>
        <v>4162.0469764033851</v>
      </c>
      <c r="BT114" s="73">
        <f t="shared" si="1320"/>
        <v>3829.5853008163549</v>
      </c>
      <c r="BU114" s="73">
        <f t="shared" si="1320"/>
        <v>3911.0125597851088</v>
      </c>
      <c r="BV114" s="73">
        <f>SUM(BR114:BU114)</f>
        <v>15787.991489424117</v>
      </c>
      <c r="BW114" s="73"/>
      <c r="BX114" s="73">
        <f>SUM(BX109:BX112)</f>
        <v>4102.2083944591013</v>
      </c>
      <c r="BY114" s="73">
        <f t="shared" ref="BY114:CA114" si="1321">SUM(BY109:BY112)</f>
        <v>4394.9536931261455</v>
      </c>
      <c r="BZ114" s="73">
        <f t="shared" si="1321"/>
        <v>4057.8326262967871</v>
      </c>
      <c r="CA114" s="73">
        <f t="shared" si="1321"/>
        <v>4148.4302154371389</v>
      </c>
      <c r="CB114" s="73">
        <f>SUM(BX114:CA114)</f>
        <v>16703.424929319171</v>
      </c>
      <c r="CC114" s="73"/>
      <c r="CD114" s="73">
        <f>SUM(CD109:CD112)</f>
        <v>4328.0980249620043</v>
      </c>
      <c r="CE114" s="73">
        <f t="shared" ref="CE114:CG114" si="1322">SUM(CE109:CE112)</f>
        <v>4637.6054457494856</v>
      </c>
      <c r="CF114" s="73">
        <f t="shared" si="1322"/>
        <v>4295.6104953694394</v>
      </c>
      <c r="CG114" s="73">
        <f t="shared" si="1322"/>
        <v>4395.8548949056867</v>
      </c>
      <c r="CH114" s="73">
        <f>SUM(CD114:CG114)</f>
        <v>17657.168860986618</v>
      </c>
      <c r="CI114" s="73"/>
      <c r="CJ114" s="73">
        <f>SUM(CJ109:CJ112)</f>
        <v>4563.4048585590472</v>
      </c>
      <c r="CK114" s="73">
        <f t="shared" ref="CK114:CM114" si="1323">SUM(CK109:CK112)</f>
        <v>4890.4244352060732</v>
      </c>
      <c r="CL114" s="73">
        <f t="shared" si="1323"/>
        <v>4543.3309279900604</v>
      </c>
      <c r="CM114" s="73">
        <f t="shared" si="1323"/>
        <v>4653.7234636468056</v>
      </c>
      <c r="CN114" s="73">
        <f>SUM(CJ114:CM114)</f>
        <v>18650.883685401986</v>
      </c>
      <c r="CO114" s="379"/>
    </row>
    <row r="115" spans="1:93" s="137" customFormat="1" ht="18" customHeight="1" thickBot="1" x14ac:dyDescent="0.3">
      <c r="B115" s="209" t="s">
        <v>117</v>
      </c>
      <c r="C115" s="210"/>
      <c r="D115" s="180">
        <f>D114/D57</f>
        <v>2.9025191675794086E-2</v>
      </c>
      <c r="E115" s="180">
        <f>E114/E57</f>
        <v>0.10198326910423912</v>
      </c>
      <c r="F115" s="180">
        <f>F114/F57</f>
        <v>0.13432278540091477</v>
      </c>
      <c r="G115" s="180">
        <f>G114/G57</f>
        <v>0.10800393636214532</v>
      </c>
      <c r="H115" s="180">
        <f>H114/H57</f>
        <v>9.6213328334426848E-2</v>
      </c>
      <c r="I115" s="210"/>
      <c r="J115" s="180">
        <f>J114/J57</f>
        <v>0.16913580246913582</v>
      </c>
      <c r="K115" s="180">
        <f>K114/K57</f>
        <v>0.16070487235484598</v>
      </c>
      <c r="L115" s="180">
        <f>L114/L57</f>
        <v>0.16171746454595315</v>
      </c>
      <c r="M115" s="180">
        <f>M114/M57</f>
        <v>0.13954512105649303</v>
      </c>
      <c r="N115" s="180">
        <f>N114/N57</f>
        <v>0.1573655976226313</v>
      </c>
      <c r="O115" s="211"/>
      <c r="P115" s="180">
        <f>P114/P57</f>
        <v>0.16889342973907576</v>
      </c>
      <c r="Q115" s="180">
        <f>Q114/Q57</f>
        <v>0.1597542242703533</v>
      </c>
      <c r="R115" s="180">
        <f>R114/R57</f>
        <v>0.15767496241857357</v>
      </c>
      <c r="S115" s="180">
        <f>S114/S57</f>
        <v>0.14120781527531084</v>
      </c>
      <c r="T115" s="180">
        <f>T114/T57</f>
        <v>0.15702886415131515</v>
      </c>
      <c r="U115" s="211"/>
      <c r="V115" s="180">
        <f>V114/V57</f>
        <v>0.13526326407101069</v>
      </c>
      <c r="W115" s="180">
        <f>W114/W57</f>
        <v>8.045112781954887E-2</v>
      </c>
      <c r="X115" s="180">
        <f>X114/X57</f>
        <v>0.10023840485478977</v>
      </c>
      <c r="Y115" s="180">
        <f>Y114/Y57</f>
        <v>0.12355723746452223</v>
      </c>
      <c r="Z115" s="180">
        <f>Z114/Z57</f>
        <v>0.1107324073599508</v>
      </c>
      <c r="AA115" s="211"/>
      <c r="AB115" s="180">
        <f>AB114/AB57</f>
        <v>0.14869091234027343</v>
      </c>
      <c r="AC115" s="180">
        <f>AC114/AC57</f>
        <v>0.13556958910850489</v>
      </c>
      <c r="AD115" s="180">
        <f>AD114/AD57</f>
        <v>0.13419321773298026</v>
      </c>
      <c r="AE115" s="180">
        <f>AE114/AE57</f>
        <v>0.11262121096434298</v>
      </c>
      <c r="AF115" s="180">
        <f>AF114/AF57</f>
        <v>0.13204532248692621</v>
      </c>
      <c r="AG115" s="210"/>
      <c r="AH115" s="180">
        <f>AH114/AH57</f>
        <v>0.13309017538413784</v>
      </c>
      <c r="AI115" s="180">
        <f>AI114/AI57</f>
        <v>0.13324470049486667</v>
      </c>
      <c r="AJ115" s="180">
        <f>AJ114/AJ57</f>
        <v>0.16003641966661997</v>
      </c>
      <c r="AK115" s="180">
        <f>AK114/AK57</f>
        <v>0.10264003528448112</v>
      </c>
      <c r="AL115" s="180">
        <f>AL114/AL57</f>
        <v>0.13138544207586525</v>
      </c>
      <c r="AM115" s="210"/>
      <c r="AN115" s="180">
        <f>AN114/AN57</f>
        <v>0.17312404795019537</v>
      </c>
      <c r="AO115" s="180">
        <f>AO114/AO57</f>
        <v>0.21456633423995164</v>
      </c>
      <c r="AP115" s="180">
        <f>AP114/AP57</f>
        <v>0.21222166624968727</v>
      </c>
      <c r="AQ115" s="180">
        <f>AQ114/AQ57</f>
        <v>0.19104514380735357</v>
      </c>
      <c r="AR115" s="180">
        <f>AR114/AR57</f>
        <v>0.19820257088728491</v>
      </c>
      <c r="AS115" s="211"/>
      <c r="AT115" s="180">
        <f>AT114/AT57</f>
        <v>0.22754010695187166</v>
      </c>
      <c r="AU115" s="180">
        <f>AU114/AU57</f>
        <v>0.23112373737373737</v>
      </c>
      <c r="AV115" s="310">
        <f>AV114/AV57</f>
        <v>0.20340095857133478</v>
      </c>
      <c r="AW115" s="180">
        <f>AW114/AW57</f>
        <v>0.19424816840324974</v>
      </c>
      <c r="AX115" s="180">
        <f>AX114/AX57</f>
        <v>0.21400061748819971</v>
      </c>
      <c r="AY115" s="180"/>
      <c r="AZ115" s="180">
        <f>AZ114/AZ57</f>
        <v>0.22159488785565132</v>
      </c>
      <c r="BA115" s="180">
        <f>BA114/BA57</f>
        <v>0.22136745369007058</v>
      </c>
      <c r="BB115" s="180">
        <f>BB114/BB57</f>
        <v>0.20481196234220062</v>
      </c>
      <c r="BC115" s="180">
        <f>BC114/BC57</f>
        <v>0.19833818092903055</v>
      </c>
      <c r="BD115" s="180">
        <f>BD114/BD57</f>
        <v>0.21128622059688751</v>
      </c>
      <c r="BE115" s="180"/>
      <c r="BF115" s="180">
        <f>BF114/BF57</f>
        <v>0.2287799078256392</v>
      </c>
      <c r="BG115" s="180">
        <f>BG114/BG57</f>
        <v>0.2285731295832901</v>
      </c>
      <c r="BH115" s="180">
        <f>BH114/BH57</f>
        <v>0.21273814257296866</v>
      </c>
      <c r="BI115" s="180">
        <f>BI114/BI57</f>
        <v>0.20637579158955704</v>
      </c>
      <c r="BJ115" s="180">
        <f>BJ114/BJ57</f>
        <v>0.21888481326513198</v>
      </c>
      <c r="BK115" s="180"/>
      <c r="BL115" s="180">
        <f>BL114/BL57</f>
        <v>0.23243024651564964</v>
      </c>
      <c r="BM115" s="180">
        <f>BM114/BM57</f>
        <v>0.23220115102055702</v>
      </c>
      <c r="BN115" s="180">
        <f>BN114/BN57</f>
        <v>0.21700349815536102</v>
      </c>
      <c r="BO115" s="180">
        <f>BO114/BO57</f>
        <v>0.21071218365143499</v>
      </c>
      <c r="BP115" s="180">
        <f>BP114/BP57</f>
        <v>0.22286097755367468</v>
      </c>
      <c r="BQ115" s="180"/>
      <c r="BR115" s="180">
        <f>BR114/BR57</f>
        <v>0.23592929275542518</v>
      </c>
      <c r="BS115" s="180">
        <f>BS114/BS57</f>
        <v>0.23567786792130052</v>
      </c>
      <c r="BT115" s="180">
        <f>BT114/BT57</f>
        <v>0.22109410126663326</v>
      </c>
      <c r="BU115" s="180">
        <f>BU114/BU57</f>
        <v>0.21487138320922478</v>
      </c>
      <c r="BV115" s="180">
        <f>BV114/BV57</f>
        <v>0.22667327055626071</v>
      </c>
      <c r="BW115" s="180"/>
      <c r="BX115" s="180">
        <f>BX114/BX57</f>
        <v>0.23928250550199739</v>
      </c>
      <c r="BY115" s="180">
        <f>BY114/BY57</f>
        <v>0.23900877701350107</v>
      </c>
      <c r="BZ115" s="180">
        <f>BZ114/BZ57</f>
        <v>0.22501626966412466</v>
      </c>
      <c r="CA115" s="180">
        <f>CA114/CA57</f>
        <v>0.21885979435458258</v>
      </c>
      <c r="CB115" s="180">
        <f>CB114/CB57</f>
        <v>0.23032762058777262</v>
      </c>
      <c r="CC115" s="180"/>
      <c r="CD115" s="180">
        <f>CD114/CD57</f>
        <v>0.24249516085337436</v>
      </c>
      <c r="CE115" s="180">
        <f>CE114/CE57</f>
        <v>0.24219918981144151</v>
      </c>
      <c r="CF115" s="180">
        <f>CF114/CF57</f>
        <v>0.22877610888711691</v>
      </c>
      <c r="CG115" s="180">
        <f>CG114/CG57</f>
        <v>0.22268360798334436</v>
      </c>
      <c r="CH115" s="180">
        <f>CH114/CH57</f>
        <v>0.23382975726277028</v>
      </c>
      <c r="CI115" s="180"/>
      <c r="CJ115" s="180">
        <f>CJ114/CJ57</f>
        <v>0.24557235773396216</v>
      </c>
      <c r="CK115" s="180">
        <f>CK114/CK57</f>
        <v>0.24525423839795496</v>
      </c>
      <c r="CL115" s="180">
        <f>CL114/CL57</f>
        <v>0.23237951885118788</v>
      </c>
      <c r="CM115" s="180">
        <f>CM114/CM57</f>
        <v>0.2263488082491675</v>
      </c>
      <c r="CN115" s="180">
        <f>CN114/CN57</f>
        <v>0.23718521763693542</v>
      </c>
      <c r="CO115" s="379"/>
    </row>
    <row r="116" spans="1:93" s="137" customFormat="1" ht="18" customHeight="1" x14ac:dyDescent="0.25">
      <c r="B116" s="136"/>
      <c r="J116" s="104"/>
      <c r="K116" s="104"/>
      <c r="L116" s="104"/>
      <c r="M116" s="104"/>
      <c r="N116" s="104"/>
      <c r="O116" s="205"/>
      <c r="P116" s="104"/>
      <c r="Q116" s="104"/>
      <c r="R116" s="104"/>
      <c r="S116" s="104"/>
      <c r="T116" s="104"/>
      <c r="U116" s="205"/>
      <c r="V116" s="104"/>
      <c r="W116" s="104"/>
      <c r="X116" s="104"/>
      <c r="Y116" s="104"/>
      <c r="Z116" s="104"/>
      <c r="AA116" s="205"/>
      <c r="AB116" s="104"/>
      <c r="AC116" s="104"/>
      <c r="AD116" s="104"/>
      <c r="AE116" s="104"/>
      <c r="AF116" s="104"/>
      <c r="AH116" s="104"/>
      <c r="AI116" s="104"/>
      <c r="AJ116" s="104"/>
      <c r="AK116" s="104"/>
      <c r="AL116" s="104"/>
      <c r="AN116" s="104"/>
      <c r="AO116" s="246"/>
      <c r="AP116" s="104"/>
      <c r="AQ116" s="246"/>
      <c r="AR116" s="246"/>
      <c r="AS116" s="205"/>
      <c r="AT116" s="104"/>
      <c r="AU116" s="104"/>
      <c r="AV116" s="265"/>
      <c r="AW116" s="104"/>
      <c r="AX116" s="104"/>
      <c r="AZ116" s="104"/>
      <c r="BA116" s="104"/>
      <c r="BB116" s="104"/>
      <c r="BC116" s="104"/>
      <c r="BD116" s="104"/>
      <c r="BF116" s="104"/>
      <c r="BG116" s="104"/>
      <c r="BH116" s="104"/>
      <c r="BI116" s="104"/>
      <c r="BJ116" s="104"/>
      <c r="BL116" s="104"/>
      <c r="BM116" s="104"/>
      <c r="BN116" s="104"/>
      <c r="BO116" s="104"/>
      <c r="BP116" s="104"/>
      <c r="BR116" s="104"/>
      <c r="BS116" s="104"/>
      <c r="BT116" s="104"/>
      <c r="BU116" s="104"/>
      <c r="BV116" s="104"/>
      <c r="BX116" s="104"/>
      <c r="BY116" s="104"/>
      <c r="BZ116" s="104"/>
      <c r="CA116" s="104"/>
      <c r="CB116" s="104"/>
      <c r="CD116" s="104"/>
      <c r="CE116" s="104"/>
      <c r="CF116" s="104"/>
      <c r="CG116" s="104"/>
      <c r="CH116" s="104"/>
      <c r="CJ116" s="104"/>
      <c r="CK116" s="104"/>
      <c r="CL116" s="104"/>
      <c r="CM116" s="104"/>
      <c r="CN116" s="104"/>
      <c r="CO116" s="379"/>
    </row>
    <row r="117" spans="1:93" s="137" customFormat="1" ht="18" customHeight="1" x14ac:dyDescent="0.25">
      <c r="B117" s="136" t="s">
        <v>538</v>
      </c>
      <c r="D117" s="67"/>
      <c r="E117" s="67"/>
      <c r="F117" s="67"/>
      <c r="G117" s="67"/>
      <c r="H117" s="67"/>
      <c r="J117" s="67">
        <f>(J114-D114)/(J57-D57)</f>
        <v>0.5927152317880795</v>
      </c>
      <c r="K117" s="67">
        <f>(K114-E114)/(K57-E57)</f>
        <v>0.39734848484848484</v>
      </c>
      <c r="L117" s="67">
        <f>(L114-F114)/(L57-F57)</f>
        <v>0.3048780487804878</v>
      </c>
      <c r="M117" s="67">
        <f>(M114-G114)/(M57-G57)</f>
        <v>0.4073816155988858</v>
      </c>
      <c r="N117" s="67">
        <f>(N114-H114)/(N57-H57)</f>
        <v>0.44270719440192435</v>
      </c>
      <c r="O117" s="205"/>
      <c r="P117" s="67">
        <f>(P114-J114)/(P57-J57)</f>
        <v>0.16376306620209058</v>
      </c>
      <c r="Q117" s="67">
        <f>(Q114-K114)/(Q57-K57)</f>
        <v>0.12755102040816327</v>
      </c>
      <c r="R117" s="67">
        <f>(R114-L114)/(R57-L57)</f>
        <v>0.22306717363751585</v>
      </c>
      <c r="S117" s="67">
        <f>(S114-M114)/(S57-M57)</f>
        <v>0.1229903536977492</v>
      </c>
      <c r="T117" s="67">
        <f>(T114-N114)/(T57-N57)</f>
        <v>0.17338331771321461</v>
      </c>
      <c r="U117" s="205"/>
      <c r="V117" s="67">
        <f>(V114-P114)/(V57-P57)</f>
        <v>0.2875444839857651</v>
      </c>
      <c r="W117" s="67">
        <f>(W114-Q114)/(W57-Q57)</f>
        <v>0.3290529695024077</v>
      </c>
      <c r="X117" s="67">
        <f>(X114-R114)/(X57-R57)</f>
        <v>0.35069191551347412</v>
      </c>
      <c r="Y117" s="67">
        <f>(Y114-S114)/(Y57-S57)</f>
        <v>0.24394273127753305</v>
      </c>
      <c r="Z117" s="67">
        <f>(Z114-T114)/(Z57-T57)</f>
        <v>0.31100315349867896</v>
      </c>
      <c r="AA117" s="205"/>
      <c r="AB117" s="67">
        <f>(AB114-V114)/(AB57-V57)</f>
        <v>0.2529365700861394</v>
      </c>
      <c r="AC117" s="67">
        <f>(AC114-W114)/(AC57-W57)</f>
        <v>0.31356226153312522</v>
      </c>
      <c r="AD117" s="67">
        <f>(AD114-X114)/(AD57-X57)</f>
        <v>0.26058894715611136</v>
      </c>
      <c r="AE117" s="67">
        <f>(AE114-Y114)/(AE57-Y57)</f>
        <v>6.6877720617332811E-2</v>
      </c>
      <c r="AF117" s="67">
        <f>(AF114-Z114)/(AF57-Z57)</f>
        <v>0.22277983853371155</v>
      </c>
      <c r="AH117" s="67">
        <f>(AH114-AB114)/(AH57-AB57)</f>
        <v>3.0088495575221239E-2</v>
      </c>
      <c r="AI117" s="67">
        <f>(AI114-AC114)/(AI57-AC57)</f>
        <v>0.11218424962852898</v>
      </c>
      <c r="AJ117" s="67">
        <f>(AJ114-AD114)/(AJ57-AD57)</f>
        <v>0.27771295215869313</v>
      </c>
      <c r="AK117" s="67">
        <f>(AK114-AE114)/(AK57-AE57)</f>
        <v>5.5515501081470797E-2</v>
      </c>
      <c r="AL117" s="67">
        <f>(AL114-AF114)/(AL57-AF57)</f>
        <v>0.12759360839494396</v>
      </c>
      <c r="AN117" s="67">
        <f>(AN114-AH114)/(AN57-AH57)</f>
        <v>0.4062358788974243</v>
      </c>
      <c r="AO117" s="67">
        <f>(AO114-AI114)/(AO57-AI57)</f>
        <v>0.58083832335329344</v>
      </c>
      <c r="AP117" s="67">
        <f>(AP114-AJ114)/(AP57-AJ57)</f>
        <v>0.64795321637426906</v>
      </c>
      <c r="AQ117" s="67">
        <f>(AQ114-AK114)/(AQ57-AK57)</f>
        <v>4.0245901639344259</v>
      </c>
      <c r="AR117" s="67">
        <f>(AR114-AL114)/(AR57-AL57)</f>
        <v>0.7163810829335161</v>
      </c>
      <c r="AS117" s="205"/>
      <c r="AT117" s="67">
        <f>(AT114-AN114)/(AT57-AN57)</f>
        <v>-5.6834532374100721</v>
      </c>
      <c r="AU117" s="67">
        <f>(AU114-AO114)/(AU57-AO57)</f>
        <v>-0.1574468085106383</v>
      </c>
      <c r="AV117" s="264">
        <f>(AV114-AP114)/(AV57-AP57)</f>
        <v>0.38969616908850724</v>
      </c>
      <c r="AW117" s="67">
        <f>(AW114-AQ114)/(AW57-AQ57)</f>
        <v>7.1704553031981505E-2</v>
      </c>
      <c r="AX117" s="67">
        <f>(AX114-AR114)/(AX57-AR57)</f>
        <v>-0.28417526794372822</v>
      </c>
      <c r="AZ117" s="67">
        <f>(AZ114-AT114)/(AZ57-AT57)</f>
        <v>0.42061139642458573</v>
      </c>
      <c r="BA117" s="67">
        <f>(BA114-AU114)/(BA57-AU57)</f>
        <v>0.76696157036891677</v>
      </c>
      <c r="BB117" s="67">
        <f>(BB114-AV114)/(BB57-AV57)</f>
        <v>0.87348023969309574</v>
      </c>
      <c r="BC117" s="67">
        <f>(BC114-AW114)/(BC57-AW57)</f>
        <v>0.4888734504466527</v>
      </c>
      <c r="BD117" s="67">
        <f>(BD114-AX114)/(BD57-AX57)</f>
        <v>0.56438939847263614</v>
      </c>
      <c r="BF117" s="67">
        <f>(BF114-AZ114)/(BF57-AZ57)</f>
        <v>0.38080369078504661</v>
      </c>
      <c r="BG117" s="67">
        <f>(BG114-BA114)/(BG57-BA57)</f>
        <v>0.38107429745600058</v>
      </c>
      <c r="BH117" s="67">
        <f>(BH114-BB114)/(BH57-BB57)</f>
        <v>0.38087611499987351</v>
      </c>
      <c r="BI117" s="67">
        <f>(BI114-BC114)/(BI57-BC57)</f>
        <v>0.37768587631117451</v>
      </c>
      <c r="BJ117" s="67">
        <f>(BJ114-BD114)/(BJ57-BD57)</f>
        <v>0.3800796088761797</v>
      </c>
      <c r="BL117" s="67">
        <f>(BL114-BF114)/(BL57-BF57)</f>
        <v>0.32171832261796451</v>
      </c>
      <c r="BM117" s="67">
        <f>(BM114-BG114)/(BM57-BG57)</f>
        <v>0.32046017146344091</v>
      </c>
      <c r="BN117" s="67">
        <f>(BN114-BH114)/(BN57-BH57)</f>
        <v>0.32105031682762514</v>
      </c>
      <c r="BO117" s="67">
        <f>(BO114-BI114)/(BO57-BI57)</f>
        <v>0.31588925411964147</v>
      </c>
      <c r="BP117" s="67">
        <f>(BP114-BJ114)/(BP57-BJ57)</f>
        <v>0.31970393513034878</v>
      </c>
      <c r="BR117" s="67">
        <f>(BR114-BL114)/(BR57-BL57)</f>
        <v>0.32137352291721216</v>
      </c>
      <c r="BS117" s="67">
        <f>(BS114-BM114)/(BS57-BM57)</f>
        <v>0.32011520031901913</v>
      </c>
      <c r="BT117" s="67">
        <f>(BT114-BN114)/(BT57-BN57)</f>
        <v>0.32071131956226218</v>
      </c>
      <c r="BU117" s="67">
        <f>(BU114-BO114)/(BU57-BO57)</f>
        <v>0.31557245086645797</v>
      </c>
      <c r="BV117" s="67">
        <f>(BV114-BP114)/(BV57-BP57)</f>
        <v>0.31936752632261139</v>
      </c>
      <c r="BX117" s="67">
        <f>(BX114-BR114)/(BX57-BR57)</f>
        <v>0.32102930333274515</v>
      </c>
      <c r="BY117" s="67">
        <f>(BY114-BS114)/(BY57-BS57)</f>
        <v>0.31977093893006137</v>
      </c>
      <c r="BZ117" s="67">
        <f>(BZ114-BT114)/(BZ57-BT57)</f>
        <v>0.32037290220801862</v>
      </c>
      <c r="CA117" s="67">
        <f>(CA114-BU114)/(CA57-BU57)</f>
        <v>0.31525630736966143</v>
      </c>
      <c r="CB117" s="67">
        <f>(CB114-BV114)/(CB57-BV57)</f>
        <v>0.3190317534310273</v>
      </c>
      <c r="CD117" s="67">
        <f>(CD114-BX114)/(CD57-BX57)</f>
        <v>0.32068570016303904</v>
      </c>
      <c r="CE117" s="67">
        <f>(CE114-BY114)/(CE57-BY57)</f>
        <v>0.31942742269838093</v>
      </c>
      <c r="CF117" s="67">
        <f>(CF114-BZ114)/(CF57-BZ57)</f>
        <v>0.32003510049785222</v>
      </c>
      <c r="CG117" s="67">
        <f>(CG114-CA114)/(CG57-CA57)</f>
        <v>0.31494085909793262</v>
      </c>
      <c r="CH117" s="67">
        <f>(CH114-CB114)/(CH57-CB57)</f>
        <v>0.31869665227966598</v>
      </c>
      <c r="CJ117" s="67">
        <f>(CJ114-CD114)/(CJ57-CD57)</f>
        <v>0.32034274911232435</v>
      </c>
      <c r="CK117" s="67">
        <f>(CK114-CE114)/(CK57-CE57)</f>
        <v>0.31908468638432091</v>
      </c>
      <c r="CL117" s="67">
        <f>(CL114-CF114)/(CL57-CF57)</f>
        <v>0.31969794955139702</v>
      </c>
      <c r="CM117" s="67">
        <f>(CM114-CG114)/(CM57-CG57)</f>
        <v>0.31462614080103496</v>
      </c>
      <c r="CN117" s="67">
        <f>(CN114-CH114)/(CN57-CH57)</f>
        <v>0.31836225804611679</v>
      </c>
      <c r="CO117" s="379"/>
    </row>
    <row r="118" spans="1:93" s="137" customFormat="1" ht="18" customHeight="1" x14ac:dyDescent="0.25">
      <c r="B118" s="136"/>
      <c r="J118" s="104"/>
      <c r="K118" s="104"/>
      <c r="L118" s="104"/>
      <c r="M118" s="104"/>
      <c r="N118" s="104"/>
      <c r="O118" s="205"/>
      <c r="P118" s="104"/>
      <c r="Q118" s="104"/>
      <c r="R118" s="104"/>
      <c r="S118" s="104"/>
      <c r="T118" s="104"/>
      <c r="U118" s="205"/>
      <c r="V118" s="104"/>
      <c r="W118" s="104"/>
      <c r="X118" s="104"/>
      <c r="Y118" s="104"/>
      <c r="Z118" s="104"/>
      <c r="AA118" s="205"/>
      <c r="AB118" s="104"/>
      <c r="AC118" s="104"/>
      <c r="AD118" s="104"/>
      <c r="AE118" s="104"/>
      <c r="AF118" s="104"/>
      <c r="AH118" s="104"/>
      <c r="AI118" s="104"/>
      <c r="AJ118" s="104"/>
      <c r="AK118" s="104"/>
      <c r="AL118" s="104"/>
      <c r="AN118" s="104"/>
      <c r="AO118" s="246"/>
      <c r="AP118" s="104"/>
      <c r="AQ118" s="246"/>
      <c r="AR118" s="246"/>
      <c r="AS118" s="205"/>
      <c r="AT118" s="104"/>
      <c r="AU118" s="104"/>
      <c r="AV118" s="265"/>
      <c r="AW118" s="104"/>
      <c r="AX118" s="104"/>
      <c r="AZ118" s="104"/>
      <c r="BA118" s="104"/>
      <c r="BB118" s="104"/>
      <c r="BC118" s="104"/>
      <c r="BD118" s="104"/>
      <c r="BF118" s="104"/>
      <c r="BG118" s="104"/>
      <c r="BH118" s="104"/>
      <c r="BI118" s="104"/>
      <c r="BJ118" s="104"/>
      <c r="BL118" s="104"/>
      <c r="BM118" s="104"/>
      <c r="BN118" s="104"/>
      <c r="BO118" s="104"/>
      <c r="BP118" s="104"/>
      <c r="BR118" s="104"/>
      <c r="BS118" s="104"/>
      <c r="BT118" s="104"/>
      <c r="BU118" s="104"/>
      <c r="BV118" s="104"/>
      <c r="BX118" s="104"/>
      <c r="BY118" s="104"/>
      <c r="BZ118" s="104"/>
      <c r="CA118" s="104"/>
      <c r="CB118" s="104"/>
      <c r="CD118" s="104"/>
      <c r="CE118" s="104"/>
      <c r="CF118" s="104"/>
      <c r="CG118" s="104"/>
      <c r="CH118" s="104"/>
      <c r="CJ118" s="104"/>
      <c r="CK118" s="104"/>
      <c r="CL118" s="104"/>
      <c r="CM118" s="104"/>
      <c r="CN118" s="104"/>
      <c r="CO118" s="379"/>
    </row>
    <row r="119" spans="1:93" s="435" customFormat="1" ht="18" customHeight="1" x14ac:dyDescent="0.25">
      <c r="B119" s="436" t="s">
        <v>74</v>
      </c>
      <c r="D119" s="443">
        <f t="shared" ref="D119:H119" si="1324">D159+D200+D266</f>
        <v>387</v>
      </c>
      <c r="E119" s="443">
        <f t="shared" si="1324"/>
        <v>392</v>
      </c>
      <c r="F119" s="443">
        <f t="shared" si="1324"/>
        <v>393</v>
      </c>
      <c r="G119" s="443">
        <f t="shared" si="1324"/>
        <v>395</v>
      </c>
      <c r="H119" s="443">
        <f t="shared" si="1324"/>
        <v>1567</v>
      </c>
      <c r="J119" s="443">
        <f t="shared" ref="J119:N119" si="1325">J159+J200+J266</f>
        <v>363</v>
      </c>
      <c r="K119" s="443">
        <f t="shared" si="1325"/>
        <v>362</v>
      </c>
      <c r="L119" s="443">
        <f t="shared" si="1325"/>
        <v>367</v>
      </c>
      <c r="M119" s="443">
        <f t="shared" si="1325"/>
        <v>377</v>
      </c>
      <c r="N119" s="443">
        <f t="shared" si="1325"/>
        <v>1469</v>
      </c>
      <c r="O119" s="439"/>
      <c r="P119" s="443">
        <f t="shared" ref="P119:T119" si="1326">P159+P200+P266</f>
        <v>337</v>
      </c>
      <c r="Q119" s="443">
        <f t="shared" si="1326"/>
        <v>340</v>
      </c>
      <c r="R119" s="443">
        <f t="shared" si="1326"/>
        <v>344</v>
      </c>
      <c r="S119" s="443">
        <f t="shared" si="1326"/>
        <v>363</v>
      </c>
      <c r="T119" s="443">
        <f t="shared" si="1326"/>
        <v>1384</v>
      </c>
      <c r="U119" s="439"/>
      <c r="V119" s="443">
        <f t="shared" ref="V119:Z119" si="1327">V159+V200+V266</f>
        <v>310</v>
      </c>
      <c r="W119" s="443">
        <f t="shared" si="1327"/>
        <v>314</v>
      </c>
      <c r="X119" s="443">
        <f t="shared" si="1327"/>
        <v>313</v>
      </c>
      <c r="Y119" s="443">
        <f t="shared" si="1327"/>
        <v>319</v>
      </c>
      <c r="Z119" s="443">
        <f t="shared" si="1327"/>
        <v>1256</v>
      </c>
      <c r="AA119" s="440"/>
      <c r="AB119" s="443">
        <f t="shared" ref="AB119:AF119" si="1328">AB159+AB200+AB266</f>
        <v>300</v>
      </c>
      <c r="AC119" s="443">
        <f t="shared" si="1328"/>
        <v>302</v>
      </c>
      <c r="AD119" s="443">
        <f t="shared" si="1328"/>
        <v>305</v>
      </c>
      <c r="AE119" s="443">
        <f t="shared" si="1328"/>
        <v>304</v>
      </c>
      <c r="AF119" s="443">
        <f t="shared" si="1328"/>
        <v>1211</v>
      </c>
      <c r="AG119" s="443"/>
      <c r="AH119" s="443">
        <f t="shared" ref="AH119:AL119" si="1329">AH159+AH200+AH266</f>
        <v>284</v>
      </c>
      <c r="AI119" s="443">
        <f t="shared" si="1329"/>
        <v>283</v>
      </c>
      <c r="AJ119" s="443">
        <f t="shared" si="1329"/>
        <v>285</v>
      </c>
      <c r="AK119" s="443">
        <f t="shared" si="1329"/>
        <v>294</v>
      </c>
      <c r="AL119" s="443">
        <f t="shared" si="1329"/>
        <v>1146</v>
      </c>
      <c r="AM119" s="443"/>
      <c r="AN119" s="443">
        <f t="shared" ref="AN119:AR119" si="1330">AN159+AN200+AN266</f>
        <v>270</v>
      </c>
      <c r="AO119" s="443">
        <f t="shared" si="1330"/>
        <v>269</v>
      </c>
      <c r="AP119" s="443">
        <f t="shared" si="1330"/>
        <v>259</v>
      </c>
      <c r="AQ119" s="443">
        <f t="shared" si="1330"/>
        <v>276</v>
      </c>
      <c r="AR119" s="443">
        <f t="shared" si="1330"/>
        <v>1074</v>
      </c>
      <c r="AS119" s="443"/>
      <c r="AT119" s="443">
        <f>AT159+AT200+AT266</f>
        <v>256</v>
      </c>
      <c r="AU119" s="443">
        <f>AU159+AU200+AU266</f>
        <v>263</v>
      </c>
      <c r="AV119" s="444">
        <f>AV159+AV200+AV266</f>
        <v>272</v>
      </c>
      <c r="AW119" s="443">
        <f>AW159+AW200+AW266</f>
        <v>303.60000000000002</v>
      </c>
      <c r="AX119" s="443">
        <f>AX159+AX200+AX266</f>
        <v>1094.5999999999999</v>
      </c>
      <c r="AZ119" s="443">
        <f>AZ159+AZ200+AZ266</f>
        <v>268.8</v>
      </c>
      <c r="BA119" s="443">
        <f>BA159+BA200+BA266</f>
        <v>276.14999999999998</v>
      </c>
      <c r="BB119" s="443">
        <f>BB159+BB200+BB266</f>
        <v>285.60000000000002</v>
      </c>
      <c r="BC119" s="443">
        <f>BC159+BC200+BC266</f>
        <v>318.78000000000003</v>
      </c>
      <c r="BD119" s="443">
        <f>BD159+BD200+BD266</f>
        <v>1149.33</v>
      </c>
      <c r="BF119" s="443">
        <f t="shared" ref="BF119:BJ119" si="1331">BF159+BF200+BF266</f>
        <v>282.24</v>
      </c>
      <c r="BG119" s="443">
        <f t="shared" si="1331"/>
        <v>289.95749999999998</v>
      </c>
      <c r="BH119" s="443">
        <f t="shared" si="1331"/>
        <v>299.88000000000005</v>
      </c>
      <c r="BI119" s="443">
        <f t="shared" si="1331"/>
        <v>334.71900000000005</v>
      </c>
      <c r="BJ119" s="443">
        <f t="shared" si="1331"/>
        <v>1206.7964999999999</v>
      </c>
      <c r="BL119" s="443">
        <f t="shared" ref="BL119:BP119" si="1332">BL159+BL200+BL266</f>
        <v>291.82072500000004</v>
      </c>
      <c r="BM119" s="443">
        <f t="shared" si="1332"/>
        <v>299.72565000000003</v>
      </c>
      <c r="BN119" s="443">
        <f t="shared" si="1332"/>
        <v>310.04505000000006</v>
      </c>
      <c r="BO119" s="443">
        <f t="shared" si="1332"/>
        <v>345.99757500000004</v>
      </c>
      <c r="BP119" s="443">
        <f t="shared" si="1332"/>
        <v>1247.5890000000002</v>
      </c>
      <c r="BR119" s="443">
        <f t="shared" ref="BR119:BV119" si="1333">BR159+BR200+BR266</f>
        <v>297.65713950000003</v>
      </c>
      <c r="BS119" s="443">
        <f t="shared" si="1333"/>
        <v>305.72016300000007</v>
      </c>
      <c r="BT119" s="443">
        <f t="shared" si="1333"/>
        <v>316.24595100000005</v>
      </c>
      <c r="BU119" s="443">
        <f t="shared" si="1333"/>
        <v>352.91752650000001</v>
      </c>
      <c r="BV119" s="443">
        <f t="shared" si="1333"/>
        <v>1272.5407800000003</v>
      </c>
      <c r="BX119" s="443">
        <f t="shared" ref="BX119:CB119" si="1334">BX159+BX200+BX266</f>
        <v>303.61028229000004</v>
      </c>
      <c r="BY119" s="443">
        <f t="shared" si="1334"/>
        <v>311.83456626000009</v>
      </c>
      <c r="BZ119" s="443">
        <f t="shared" si="1334"/>
        <v>322.57087002000003</v>
      </c>
      <c r="CA119" s="443">
        <f t="shared" si="1334"/>
        <v>359.97587703000005</v>
      </c>
      <c r="CB119" s="443">
        <f t="shared" si="1334"/>
        <v>1297.9915956000004</v>
      </c>
      <c r="CD119" s="443">
        <f t="shared" ref="CD119:CH119" si="1335">CD159+CD200+CD266</f>
        <v>309.68248793580005</v>
      </c>
      <c r="CE119" s="443">
        <f t="shared" si="1335"/>
        <v>318.0712575852001</v>
      </c>
      <c r="CF119" s="443">
        <f t="shared" si="1335"/>
        <v>329.02228742040006</v>
      </c>
      <c r="CG119" s="443">
        <f t="shared" si="1335"/>
        <v>367.17539457060002</v>
      </c>
      <c r="CH119" s="443">
        <f t="shared" si="1335"/>
        <v>1323.9514275120002</v>
      </c>
      <c r="CJ119" s="443">
        <f t="shared" ref="CJ119:CN119" si="1336">CJ159+CJ200+CJ266</f>
        <v>315.87613769451605</v>
      </c>
      <c r="CK119" s="443">
        <f t="shared" si="1336"/>
        <v>324.4326827369041</v>
      </c>
      <c r="CL119" s="443">
        <f t="shared" si="1336"/>
        <v>335.60273316880807</v>
      </c>
      <c r="CM119" s="443">
        <f t="shared" si="1336"/>
        <v>374.51890246201208</v>
      </c>
      <c r="CN119" s="443">
        <f t="shared" si="1336"/>
        <v>1350.4304560622402</v>
      </c>
      <c r="CO119" s="437"/>
    </row>
    <row r="120" spans="1:93" s="137" customFormat="1" ht="18" customHeight="1" thickBot="1" x14ac:dyDescent="0.3">
      <c r="B120" s="136"/>
      <c r="D120" s="104"/>
      <c r="E120" s="104"/>
      <c r="F120" s="104"/>
      <c r="G120" s="104"/>
      <c r="H120" s="104"/>
      <c r="J120" s="104"/>
      <c r="K120" s="104"/>
      <c r="L120" s="104"/>
      <c r="M120" s="104"/>
      <c r="N120" s="104"/>
      <c r="O120" s="205"/>
      <c r="P120" s="104"/>
      <c r="Q120" s="104"/>
      <c r="R120" s="104"/>
      <c r="S120" s="104"/>
      <c r="T120" s="104"/>
      <c r="U120" s="205"/>
      <c r="V120" s="104"/>
      <c r="W120" s="104"/>
      <c r="X120" s="104"/>
      <c r="Y120" s="104"/>
      <c r="Z120" s="104"/>
      <c r="AA120" s="205"/>
      <c r="AB120" s="104"/>
      <c r="AC120" s="104"/>
      <c r="AD120" s="104"/>
      <c r="AE120" s="104"/>
      <c r="AF120" s="104"/>
      <c r="AH120" s="104"/>
      <c r="AI120" s="104"/>
      <c r="AJ120" s="104"/>
      <c r="AK120" s="104"/>
      <c r="AL120" s="104"/>
      <c r="AN120" s="104"/>
      <c r="AO120" s="246"/>
      <c r="AP120" s="104"/>
      <c r="AQ120" s="246"/>
      <c r="AR120" s="246"/>
      <c r="AS120" s="205"/>
      <c r="AT120" s="104"/>
      <c r="AU120" s="246"/>
      <c r="AV120" s="265"/>
      <c r="AW120" s="104"/>
      <c r="AX120" s="104"/>
      <c r="AZ120" s="104"/>
      <c r="BA120" s="104"/>
      <c r="BB120" s="104"/>
      <c r="BC120" s="104"/>
      <c r="BD120" s="104"/>
      <c r="BF120" s="104"/>
      <c r="BG120" s="104"/>
      <c r="BH120" s="104"/>
      <c r="BI120" s="104"/>
      <c r="BJ120" s="104"/>
      <c r="BL120" s="104"/>
      <c r="BM120" s="104"/>
      <c r="BN120" s="104"/>
      <c r="BO120" s="104"/>
      <c r="BP120" s="104"/>
      <c r="BR120" s="104"/>
      <c r="BS120" s="104"/>
      <c r="BT120" s="104"/>
      <c r="BU120" s="104"/>
      <c r="BV120" s="104"/>
      <c r="BX120" s="104"/>
      <c r="BY120" s="104"/>
      <c r="BZ120" s="104"/>
      <c r="CA120" s="104"/>
      <c r="CB120" s="104"/>
      <c r="CD120" s="104"/>
      <c r="CE120" s="104"/>
      <c r="CF120" s="104"/>
      <c r="CG120" s="104"/>
      <c r="CH120" s="104"/>
      <c r="CJ120" s="104"/>
      <c r="CK120" s="104"/>
      <c r="CL120" s="104"/>
      <c r="CM120" s="104"/>
      <c r="CN120" s="104"/>
      <c r="CO120" s="379"/>
    </row>
    <row r="121" spans="1:93" s="137" customFormat="1" ht="18" customHeight="1" x14ac:dyDescent="0.25">
      <c r="B121" s="212" t="s">
        <v>7</v>
      </c>
      <c r="C121" s="207"/>
      <c r="D121" s="213">
        <f t="shared" ref="D121:H121" si="1337">D114+D119</f>
        <v>652</v>
      </c>
      <c r="E121" s="213">
        <f t="shared" si="1337"/>
        <v>1477</v>
      </c>
      <c r="F121" s="213">
        <f t="shared" si="1337"/>
        <v>1832</v>
      </c>
      <c r="G121" s="213">
        <f t="shared" si="1337"/>
        <v>1712</v>
      </c>
      <c r="H121" s="213">
        <f t="shared" si="1337"/>
        <v>5673</v>
      </c>
      <c r="I121" s="207"/>
      <c r="J121" s="213">
        <f t="shared" ref="J121:N121" si="1338">J114+J119</f>
        <v>2418</v>
      </c>
      <c r="K121" s="213">
        <f t="shared" si="1338"/>
        <v>2496</v>
      </c>
      <c r="L121" s="213">
        <f t="shared" si="1338"/>
        <v>2431</v>
      </c>
      <c r="M121" s="213">
        <f t="shared" si="1338"/>
        <v>2279</v>
      </c>
      <c r="N121" s="213">
        <f t="shared" si="1338"/>
        <v>9624</v>
      </c>
      <c r="O121" s="208"/>
      <c r="P121" s="213">
        <f t="shared" ref="P121:T121" si="1339">P114+P119</f>
        <v>2486</v>
      </c>
      <c r="Q121" s="213">
        <f t="shared" si="1339"/>
        <v>2524</v>
      </c>
      <c r="R121" s="213">
        <f t="shared" si="1339"/>
        <v>2232</v>
      </c>
      <c r="S121" s="213">
        <f t="shared" si="1339"/>
        <v>2112</v>
      </c>
      <c r="T121" s="213">
        <f t="shared" si="1339"/>
        <v>9354</v>
      </c>
      <c r="U121" s="208"/>
      <c r="V121" s="213">
        <f t="shared" ref="V121:Z121" si="1340">V114+V119</f>
        <v>1651</v>
      </c>
      <c r="W121" s="213">
        <f t="shared" si="1340"/>
        <v>1063</v>
      </c>
      <c r="X121" s="213">
        <f t="shared" si="1340"/>
        <v>1238</v>
      </c>
      <c r="Y121" s="213">
        <f t="shared" si="1340"/>
        <v>1625</v>
      </c>
      <c r="Z121" s="213">
        <f t="shared" si="1340"/>
        <v>5577</v>
      </c>
      <c r="AA121" s="208"/>
      <c r="AB121" s="213">
        <f t="shared" ref="AB121:AF121" si="1341">AB114+AB119</f>
        <v>1964</v>
      </c>
      <c r="AC121" s="213">
        <f t="shared" si="1341"/>
        <v>1955</v>
      </c>
      <c r="AD121" s="213">
        <f t="shared" si="1341"/>
        <v>1876</v>
      </c>
      <c r="AE121" s="213">
        <f t="shared" si="1341"/>
        <v>1779</v>
      </c>
      <c r="AF121" s="213">
        <f t="shared" si="1341"/>
        <v>7574</v>
      </c>
      <c r="AG121" s="207"/>
      <c r="AH121" s="213">
        <f t="shared" ref="AH121:AL121" si="1342">AH114+AH119</f>
        <v>1999</v>
      </c>
      <c r="AI121" s="213">
        <f t="shared" si="1342"/>
        <v>2087</v>
      </c>
      <c r="AJ121" s="213">
        <f t="shared" si="1342"/>
        <v>2570</v>
      </c>
      <c r="AK121" s="213">
        <f t="shared" si="1342"/>
        <v>1923</v>
      </c>
      <c r="AL121" s="213">
        <f t="shared" si="1342"/>
        <v>8579</v>
      </c>
      <c r="AM121" s="207"/>
      <c r="AN121" s="213">
        <f t="shared" ref="AN121:AR121" si="1343">AN114+AN119</f>
        <v>2884</v>
      </c>
      <c r="AO121" s="213">
        <f t="shared" si="1343"/>
        <v>3819</v>
      </c>
      <c r="AP121" s="213">
        <f t="shared" si="1343"/>
        <v>3652</v>
      </c>
      <c r="AQ121" s="213">
        <f t="shared" si="1343"/>
        <v>3378</v>
      </c>
      <c r="AR121" s="213">
        <f t="shared" si="1343"/>
        <v>13733</v>
      </c>
      <c r="AS121" s="208"/>
      <c r="AT121" s="213">
        <f t="shared" ref="AT121:AX121" si="1344">AT114+AT119</f>
        <v>3660</v>
      </c>
      <c r="AU121" s="213">
        <f t="shared" si="1344"/>
        <v>3924</v>
      </c>
      <c r="AV121" s="309">
        <f t="shared" si="1344"/>
        <v>3370</v>
      </c>
      <c r="AW121" s="213">
        <f t="shared" si="1344"/>
        <v>3375.168587693227</v>
      </c>
      <c r="AX121" s="213">
        <f t="shared" si="1344"/>
        <v>14329.168587693228</v>
      </c>
      <c r="AY121" s="207"/>
      <c r="AZ121" s="213">
        <f t="shared" ref="AZ121:BD121" si="1345">AZ114+AZ119</f>
        <v>3484.8287669378537</v>
      </c>
      <c r="BA121" s="213">
        <f t="shared" si="1345"/>
        <v>3719.9081351930058</v>
      </c>
      <c r="BB121" s="213">
        <f t="shared" si="1345"/>
        <v>3411.6736549037355</v>
      </c>
      <c r="BC121" s="213">
        <f t="shared" si="1345"/>
        <v>3499.1727955095525</v>
      </c>
      <c r="BD121" s="213">
        <f t="shared" si="1345"/>
        <v>14115.583352544147</v>
      </c>
      <c r="BE121" s="207"/>
      <c r="BF121" s="213">
        <f t="shared" ref="BF121:BJ121" si="1346">BF114+BF119</f>
        <v>3759.4715385395866</v>
      </c>
      <c r="BG121" s="213">
        <f t="shared" si="1346"/>
        <v>4013.8265839838232</v>
      </c>
      <c r="BH121" s="213">
        <f t="shared" si="1346"/>
        <v>3700.0011039418841</v>
      </c>
      <c r="BI121" s="213">
        <f t="shared" si="1346"/>
        <v>3799.262812783857</v>
      </c>
      <c r="BJ121" s="213">
        <f t="shared" si="1346"/>
        <v>15272.562039249151</v>
      </c>
      <c r="BK121" s="207"/>
      <c r="BL121" s="213">
        <f t="shared" ref="BL121:BP121" si="1347">BL114+BL119</f>
        <v>3968.9607455115656</v>
      </c>
      <c r="BM121" s="213">
        <f t="shared" si="1347"/>
        <v>4238.2067489805031</v>
      </c>
      <c r="BN121" s="213">
        <f t="shared" si="1347"/>
        <v>3920.5190820955449</v>
      </c>
      <c r="BO121" s="213">
        <f t="shared" si="1347"/>
        <v>4029.1813928513284</v>
      </c>
      <c r="BP121" s="213">
        <f t="shared" si="1347"/>
        <v>16156.867969438941</v>
      </c>
      <c r="BQ121" s="207"/>
      <c r="BR121" s="213">
        <f t="shared" ref="BR121:BV121" si="1348">BR114+BR119</f>
        <v>4183.0037919192673</v>
      </c>
      <c r="BS121" s="213">
        <f t="shared" si="1348"/>
        <v>4467.767139403385</v>
      </c>
      <c r="BT121" s="213">
        <f t="shared" si="1348"/>
        <v>4145.8312518163548</v>
      </c>
      <c r="BU121" s="213">
        <f t="shared" si="1348"/>
        <v>4263.9300862851087</v>
      </c>
      <c r="BV121" s="213">
        <f t="shared" si="1348"/>
        <v>17060.532269424119</v>
      </c>
      <c r="BW121" s="207"/>
      <c r="BX121" s="213">
        <f t="shared" ref="BX121:CB121" si="1349">BX114+BX119</f>
        <v>4405.8186767491015</v>
      </c>
      <c r="BY121" s="213">
        <f t="shared" si="1349"/>
        <v>4706.7882593861459</v>
      </c>
      <c r="BZ121" s="213">
        <f t="shared" si="1349"/>
        <v>4380.4034963167869</v>
      </c>
      <c r="CA121" s="213">
        <f t="shared" si="1349"/>
        <v>4508.4060924671394</v>
      </c>
      <c r="CB121" s="213">
        <f t="shared" si="1349"/>
        <v>18001.416524919172</v>
      </c>
      <c r="CC121" s="207"/>
      <c r="CD121" s="213">
        <f t="shared" ref="CD121:CH121" si="1350">CD114+CD119</f>
        <v>4637.7805128978043</v>
      </c>
      <c r="CE121" s="213">
        <f t="shared" si="1350"/>
        <v>4955.676703334686</v>
      </c>
      <c r="CF121" s="213">
        <f t="shared" si="1350"/>
        <v>4624.6327827898394</v>
      </c>
      <c r="CG121" s="213">
        <f t="shared" si="1350"/>
        <v>4763.0302894762863</v>
      </c>
      <c r="CH121" s="213">
        <f t="shared" si="1350"/>
        <v>18981.12028849862</v>
      </c>
      <c r="CI121" s="207"/>
      <c r="CJ121" s="213">
        <f t="shared" ref="CJ121:CN121" si="1351">CJ114+CJ119</f>
        <v>4879.280996253563</v>
      </c>
      <c r="CK121" s="213">
        <f t="shared" si="1351"/>
        <v>5214.8571179429773</v>
      </c>
      <c r="CL121" s="213">
        <f t="shared" si="1351"/>
        <v>4878.9336611588687</v>
      </c>
      <c r="CM121" s="213">
        <f t="shared" si="1351"/>
        <v>5028.2423661088178</v>
      </c>
      <c r="CN121" s="213">
        <f t="shared" si="1351"/>
        <v>20001.314141464227</v>
      </c>
      <c r="CO121" s="379"/>
    </row>
    <row r="122" spans="1:93" s="137" customFormat="1" ht="18" customHeight="1" thickBot="1" x14ac:dyDescent="0.3">
      <c r="B122" s="209" t="s">
        <v>8</v>
      </c>
      <c r="C122" s="210"/>
      <c r="D122" s="180">
        <f>D121/D57</f>
        <v>7.1412924424972615E-2</v>
      </c>
      <c r="E122" s="180">
        <f>E121/E57</f>
        <v>0.13882883729673842</v>
      </c>
      <c r="F122" s="180">
        <f>F121/F57</f>
        <v>0.17100718752917016</v>
      </c>
      <c r="G122" s="180">
        <f>G121/G57</f>
        <v>0.1403969165163195</v>
      </c>
      <c r="H122" s="180">
        <f>H121/H57</f>
        <v>0.13293185865591903</v>
      </c>
      <c r="I122" s="210"/>
      <c r="J122" s="180">
        <f>J121/J57</f>
        <v>0.19901234567901235</v>
      </c>
      <c r="K122" s="180">
        <f>K121/K57</f>
        <v>0.18796596129226598</v>
      </c>
      <c r="L122" s="180">
        <f>L121/L57</f>
        <v>0.19047245945310665</v>
      </c>
      <c r="M122" s="180">
        <f>M121/M57</f>
        <v>0.16720469552457815</v>
      </c>
      <c r="N122" s="180">
        <f>N121/N57</f>
        <v>0.18571263170082206</v>
      </c>
      <c r="O122" s="211"/>
      <c r="P122" s="180">
        <f>P121/P57</f>
        <v>0.19537881169443572</v>
      </c>
      <c r="Q122" s="180">
        <f>Q121/Q57</f>
        <v>0.18462438738936435</v>
      </c>
      <c r="R122" s="180">
        <f>R121/R57</f>
        <v>0.1864038750626357</v>
      </c>
      <c r="S122" s="180">
        <f>S121/S57</f>
        <v>0.17051509769094139</v>
      </c>
      <c r="T122" s="180">
        <f>T121/T57</f>
        <v>0.1842971135848685</v>
      </c>
      <c r="U122" s="211"/>
      <c r="V122" s="180">
        <f>V121/V57</f>
        <v>0.1665321767197902</v>
      </c>
      <c r="W122" s="180">
        <f>W121/W57</f>
        <v>0.11417830290010741</v>
      </c>
      <c r="X122" s="180">
        <f>X121/X57</f>
        <v>0.13415691374078889</v>
      </c>
      <c r="Y122" s="180">
        <f>Y121/Y57</f>
        <v>0.15373699148533584</v>
      </c>
      <c r="Z122" s="180">
        <f>Z121/Z57</f>
        <v>0.14291937881195224</v>
      </c>
      <c r="AA122" s="211"/>
      <c r="AB122" s="180">
        <f>AB121/AB57</f>
        <v>0.17549816817085157</v>
      </c>
      <c r="AC122" s="180">
        <f>AC121/AC57</f>
        <v>0.16033789879439023</v>
      </c>
      <c r="AD122" s="180">
        <f>AD121/AD57</f>
        <v>0.16024600666268043</v>
      </c>
      <c r="AE122" s="180">
        <f>AE121/AE57</f>
        <v>0.13583263342750249</v>
      </c>
      <c r="AF122" s="180">
        <f>AF121/AF57</f>
        <v>0.15717606042998256</v>
      </c>
      <c r="AG122" s="210"/>
      <c r="AH122" s="180">
        <f>AH121/AH57</f>
        <v>0.15512959801334783</v>
      </c>
      <c r="AI122" s="180">
        <f>AI121/AI57</f>
        <v>0.15414727823325208</v>
      </c>
      <c r="AJ122" s="180">
        <f>AJ121/AJ57</f>
        <v>0.17999719848718307</v>
      </c>
      <c r="AK122" s="180">
        <f>AK121/AK57</f>
        <v>0.12116438787726042</v>
      </c>
      <c r="AL122" s="180">
        <f>AL121/AL57</f>
        <v>0.1516420970763955</v>
      </c>
      <c r="AM122" s="210"/>
      <c r="AN122" s="180">
        <f>AN121/AN57</f>
        <v>0.19100602688919796</v>
      </c>
      <c r="AO122" s="180">
        <f>AO121/AO57</f>
        <v>0.23082502266545785</v>
      </c>
      <c r="AP122" s="180">
        <f>AP121/AP57</f>
        <v>0.22842131598699025</v>
      </c>
      <c r="AQ122" s="180">
        <f>AQ121/AQ57</f>
        <v>0.2080433577631336</v>
      </c>
      <c r="AR122" s="180">
        <f>AR121/AR57</f>
        <v>0.2150182404609435</v>
      </c>
      <c r="AS122" s="211"/>
      <c r="AT122" s="180">
        <f>AT121/AT57</f>
        <v>0.24465240641711231</v>
      </c>
      <c r="AU122" s="180">
        <f>AU121/AU57</f>
        <v>0.24772727272727274</v>
      </c>
      <c r="AV122" s="310">
        <f>AV121/AV57</f>
        <v>0.22125927384938612</v>
      </c>
      <c r="AW122" s="180">
        <f>AW121/AW57</f>
        <v>0.21344804698109274</v>
      </c>
      <c r="AX122" s="180">
        <f>AX121/AX57</f>
        <v>0.23170010458144785</v>
      </c>
      <c r="AY122" s="210"/>
      <c r="AZ122" s="180">
        <f>AZ121/AZ57</f>
        <v>0.24011608594565276</v>
      </c>
      <c r="BA122" s="180">
        <f>BA121/BA57</f>
        <v>0.23911859065633922</v>
      </c>
      <c r="BB122" s="180">
        <f>BB121/BB57</f>
        <v>0.22352370841804081</v>
      </c>
      <c r="BC122" s="180">
        <f>BC121/BC57</f>
        <v>0.21821819241875173</v>
      </c>
      <c r="BD122" s="180">
        <f>BD121/BD57</f>
        <v>0.23001465242033117</v>
      </c>
      <c r="BE122" s="210"/>
      <c r="BF122" s="180">
        <f>BF121/BF57</f>
        <v>0.24734952002115834</v>
      </c>
      <c r="BG122" s="180">
        <f>BG121/BG57</f>
        <v>0.24637088018257908</v>
      </c>
      <c r="BH122" s="180">
        <f>BH121/BH57</f>
        <v>0.23150097843808565</v>
      </c>
      <c r="BI122" s="180">
        <f>BI121/BI57</f>
        <v>0.22631431807901106</v>
      </c>
      <c r="BJ122" s="180">
        <f>BJ121/BJ57</f>
        <v>0.23766441156103926</v>
      </c>
      <c r="BK122" s="210"/>
      <c r="BL122" s="180">
        <f>BL121/BL57</f>
        <v>0.25087609374250863</v>
      </c>
      <c r="BM122" s="180">
        <f>BM121/BM57</f>
        <v>0.24987208536588118</v>
      </c>
      <c r="BN122" s="180">
        <f>BN121/BN57</f>
        <v>0.23563840865122837</v>
      </c>
      <c r="BO122" s="180">
        <f>BO121/BO57</f>
        <v>0.2305064454020968</v>
      </c>
      <c r="BP122" s="180">
        <f>BP121/BP57</f>
        <v>0.2415096932088808</v>
      </c>
      <c r="BQ122" s="210"/>
      <c r="BR122" s="180">
        <f>BR121/BR57</f>
        <v>0.25400388035035976</v>
      </c>
      <c r="BS122" s="180">
        <f>BS121/BS57</f>
        <v>0.25298941596602137</v>
      </c>
      <c r="BT122" s="180">
        <f>BT121/BT57</f>
        <v>0.23935198268806335</v>
      </c>
      <c r="BU122" s="180">
        <f>BU121/BU57</f>
        <v>0.23426070398450755</v>
      </c>
      <c r="BV122" s="180">
        <f>BV121/BV57</f>
        <v>0.24494354772939192</v>
      </c>
      <c r="BW122" s="210"/>
      <c r="BX122" s="180">
        <f>BX121/BX57</f>
        <v>0.25699214432499023</v>
      </c>
      <c r="BY122" s="180">
        <f>BY121/BY57</f>
        <v>0.25596713505693336</v>
      </c>
      <c r="BZ122" s="180">
        <f>BZ121/BZ57</f>
        <v>0.24290357566187157</v>
      </c>
      <c r="CA122" s="180">
        <f>CA121/CA57</f>
        <v>0.23785113380781106</v>
      </c>
      <c r="CB122" s="180">
        <f>CB121/CB57</f>
        <v>0.24822594485495394</v>
      </c>
      <c r="CC122" s="210"/>
      <c r="CD122" s="180">
        <f>CD121/CD57</f>
        <v>0.2598460859692916</v>
      </c>
      <c r="CE122" s="180">
        <f>CE121/CE57</f>
        <v>0.25881047807013724</v>
      </c>
      <c r="CF122" s="180">
        <f>CF121/CF57</f>
        <v>0.24629921502868155</v>
      </c>
      <c r="CG122" s="180">
        <f>CG121/CG57</f>
        <v>0.24128384470190498</v>
      </c>
      <c r="CH122" s="180">
        <f>CH121/CH57</f>
        <v>0.25136253634871097</v>
      </c>
      <c r="CI122" s="210"/>
      <c r="CJ122" s="180">
        <f>CJ121/CJ57</f>
        <v>0.26257072853160246</v>
      </c>
      <c r="CK122" s="180">
        <f>CK121/CK57</f>
        <v>0.26152450114718234</v>
      </c>
      <c r="CL122" s="180">
        <f>CL121/CL57</f>
        <v>0.24954472272802991</v>
      </c>
      <c r="CM122" s="180">
        <f>CM121/CM57</f>
        <v>0.24456473962138373</v>
      </c>
      <c r="CN122" s="180">
        <f>CN121/CN57</f>
        <v>0.25435878147591684</v>
      </c>
      <c r="CO122" s="379"/>
    </row>
    <row r="123" spans="1:93" s="137" customFormat="1" ht="18" customHeight="1" x14ac:dyDescent="0.25">
      <c r="B123" s="382"/>
      <c r="C123" s="379"/>
      <c r="D123" s="247"/>
      <c r="E123" s="247"/>
      <c r="F123" s="247"/>
      <c r="G123" s="247"/>
      <c r="H123" s="247"/>
      <c r="I123" s="379"/>
      <c r="J123" s="247"/>
      <c r="K123" s="247"/>
      <c r="L123" s="247"/>
      <c r="M123" s="247"/>
      <c r="N123" s="247"/>
      <c r="O123" s="380"/>
      <c r="P123" s="247"/>
      <c r="Q123" s="247"/>
      <c r="R123" s="247"/>
      <c r="S123" s="247"/>
      <c r="T123" s="247"/>
      <c r="U123" s="380"/>
      <c r="V123" s="247"/>
      <c r="W123" s="247"/>
      <c r="X123" s="247"/>
      <c r="Y123" s="247"/>
      <c r="Z123" s="247"/>
      <c r="AA123" s="380"/>
      <c r="AB123" s="247"/>
      <c r="AC123" s="247"/>
      <c r="AD123" s="247"/>
      <c r="AE123" s="247"/>
      <c r="AF123" s="247"/>
      <c r="AG123" s="379"/>
      <c r="AH123" s="247"/>
      <c r="AI123" s="247"/>
      <c r="AJ123" s="247"/>
      <c r="AK123" s="247"/>
      <c r="AL123" s="247"/>
      <c r="AM123" s="379"/>
      <c r="AN123" s="247"/>
      <c r="AO123" s="247"/>
      <c r="AP123" s="247"/>
      <c r="AQ123" s="247"/>
      <c r="AR123" s="247"/>
      <c r="AS123" s="380"/>
      <c r="AT123" s="247"/>
      <c r="AU123" s="247"/>
      <c r="AV123" s="130"/>
      <c r="AW123" s="247"/>
      <c r="AX123" s="247"/>
      <c r="AY123" s="379"/>
      <c r="AZ123" s="247"/>
      <c r="BA123" s="247"/>
      <c r="BB123" s="247"/>
      <c r="BC123" s="247"/>
      <c r="BD123" s="247"/>
      <c r="BE123" s="379"/>
      <c r="BF123" s="247"/>
      <c r="BG123" s="247"/>
      <c r="BH123" s="247"/>
      <c r="BI123" s="247"/>
      <c r="BJ123" s="247"/>
      <c r="BK123" s="379"/>
      <c r="BL123" s="247"/>
      <c r="BM123" s="247"/>
      <c r="BN123" s="247"/>
      <c r="BO123" s="247"/>
      <c r="BP123" s="247"/>
      <c r="BQ123" s="379"/>
      <c r="BR123" s="247"/>
      <c r="BS123" s="247"/>
      <c r="BT123" s="247"/>
      <c r="BU123" s="247"/>
      <c r="BV123" s="247"/>
      <c r="BW123" s="379"/>
      <c r="BX123" s="247"/>
      <c r="BY123" s="247"/>
      <c r="BZ123" s="247"/>
      <c r="CA123" s="247"/>
      <c r="CB123" s="247"/>
      <c r="CC123" s="379"/>
      <c r="CD123" s="247"/>
      <c r="CE123" s="247"/>
      <c r="CF123" s="247"/>
      <c r="CG123" s="247"/>
      <c r="CH123" s="247"/>
      <c r="CI123" s="379"/>
      <c r="CJ123" s="247"/>
      <c r="CK123" s="247"/>
      <c r="CL123" s="247"/>
      <c r="CM123" s="247"/>
      <c r="CN123" s="247"/>
      <c r="CO123" s="379"/>
    </row>
    <row r="124" spans="1:93" s="435" customFormat="1" ht="18" customHeight="1" x14ac:dyDescent="0.25">
      <c r="B124" s="436" t="s">
        <v>335</v>
      </c>
      <c r="C124" s="437"/>
      <c r="D124" s="442">
        <f t="shared" ref="D124:H124" si="1352">D164+D205+D271</f>
        <v>0</v>
      </c>
      <c r="E124" s="442">
        <f t="shared" si="1352"/>
        <v>0</v>
      </c>
      <c r="F124" s="442">
        <f t="shared" si="1352"/>
        <v>0</v>
      </c>
      <c r="G124" s="442">
        <f t="shared" si="1352"/>
        <v>0</v>
      </c>
      <c r="H124" s="442">
        <f t="shared" si="1352"/>
        <v>0</v>
      </c>
      <c r="J124" s="442">
        <f t="shared" ref="J124:N124" si="1353">J164+J205+J271</f>
        <v>0</v>
      </c>
      <c r="K124" s="442">
        <f t="shared" si="1353"/>
        <v>0</v>
      </c>
      <c r="L124" s="442">
        <f t="shared" si="1353"/>
        <v>0</v>
      </c>
      <c r="M124" s="442">
        <f t="shared" si="1353"/>
        <v>0</v>
      </c>
      <c r="N124" s="442">
        <f t="shared" si="1353"/>
        <v>0</v>
      </c>
      <c r="O124" s="439"/>
      <c r="P124" s="442">
        <f t="shared" ref="P124:T124" si="1354">P164+P205+P271</f>
        <v>0</v>
      </c>
      <c r="Q124" s="442">
        <f t="shared" si="1354"/>
        <v>0</v>
      </c>
      <c r="R124" s="442">
        <f t="shared" si="1354"/>
        <v>0</v>
      </c>
      <c r="S124" s="442">
        <f t="shared" si="1354"/>
        <v>0</v>
      </c>
      <c r="T124" s="442">
        <f t="shared" si="1354"/>
        <v>0</v>
      </c>
      <c r="U124" s="439"/>
      <c r="V124" s="442">
        <f t="shared" ref="V124:Z124" si="1355">V164+V205+V271</f>
        <v>0</v>
      </c>
      <c r="W124" s="442">
        <f t="shared" si="1355"/>
        <v>0</v>
      </c>
      <c r="X124" s="442">
        <f t="shared" si="1355"/>
        <v>0</v>
      </c>
      <c r="Y124" s="442">
        <f t="shared" si="1355"/>
        <v>0</v>
      </c>
      <c r="Z124" s="442">
        <f t="shared" si="1355"/>
        <v>0</v>
      </c>
      <c r="AA124" s="440"/>
      <c r="AB124" s="442">
        <f t="shared" ref="AB124:AF124" si="1356">AB164+AB205+AB271</f>
        <v>132</v>
      </c>
      <c r="AC124" s="442">
        <f t="shared" si="1356"/>
        <v>213</v>
      </c>
      <c r="AD124" s="442">
        <f t="shared" si="1356"/>
        <v>215</v>
      </c>
      <c r="AE124" s="442">
        <f t="shared" si="1356"/>
        <v>521</v>
      </c>
      <c r="AF124" s="442">
        <f t="shared" si="1356"/>
        <v>1081</v>
      </c>
      <c r="AG124" s="443"/>
      <c r="AH124" s="442">
        <f t="shared" ref="AH124:AL124" si="1357">AH164+AH205+AH271</f>
        <v>231</v>
      </c>
      <c r="AI124" s="442">
        <f t="shared" si="1357"/>
        <v>185</v>
      </c>
      <c r="AJ124" s="442">
        <f t="shared" si="1357"/>
        <v>306</v>
      </c>
      <c r="AK124" s="442">
        <f t="shared" si="1357"/>
        <v>542</v>
      </c>
      <c r="AL124" s="442">
        <f t="shared" si="1357"/>
        <v>1264</v>
      </c>
      <c r="AM124" s="443"/>
      <c r="AN124" s="442">
        <f t="shared" ref="AN124:AR124" si="1358">AN164+AN205+AN271</f>
        <v>227</v>
      </c>
      <c r="AO124" s="442">
        <f t="shared" si="1358"/>
        <v>272</v>
      </c>
      <c r="AP124" s="442">
        <f t="shared" si="1358"/>
        <v>416</v>
      </c>
      <c r="AQ124" s="442">
        <f t="shared" si="1358"/>
        <v>650</v>
      </c>
      <c r="AR124" s="442">
        <f t="shared" si="1358"/>
        <v>1565</v>
      </c>
      <c r="AS124" s="443"/>
      <c r="AT124" s="442">
        <f>AT164+AT205+AT271</f>
        <v>214</v>
      </c>
      <c r="AU124" s="442">
        <f>AU164+AU205+AU271</f>
        <v>364</v>
      </c>
      <c r="AV124" s="444">
        <f>AV164+AV205+AV271</f>
        <v>422</v>
      </c>
      <c r="AW124" s="442">
        <f>AW164+AW205+AW271</f>
        <v>735</v>
      </c>
      <c r="AX124" s="442">
        <f>AX164+AX205+AX271</f>
        <v>1735</v>
      </c>
      <c r="AY124" s="437"/>
      <c r="AZ124" s="442">
        <f>AZ164+AZ205+AZ271</f>
        <v>244.7</v>
      </c>
      <c r="BA124" s="442">
        <f>BA164+BA205+BA271</f>
        <v>402.20000000000005</v>
      </c>
      <c r="BB124" s="442">
        <f>BB164+BB205+BB271</f>
        <v>463.1</v>
      </c>
      <c r="BC124" s="442">
        <f>BC164+BC205+BC271</f>
        <v>791.75</v>
      </c>
      <c r="BD124" s="442">
        <f>BD164+BD205+BD271</f>
        <v>1901.75</v>
      </c>
      <c r="BE124" s="437"/>
      <c r="BF124" s="442">
        <f t="shared" ref="BF124:BJ124" si="1359">BF164+BF205+BF271</f>
        <v>276.935</v>
      </c>
      <c r="BG124" s="442">
        <f t="shared" si="1359"/>
        <v>442.31000000000006</v>
      </c>
      <c r="BH124" s="442">
        <f t="shared" si="1359"/>
        <v>506.25500000000005</v>
      </c>
      <c r="BI124" s="442">
        <f t="shared" si="1359"/>
        <v>851.33750000000009</v>
      </c>
      <c r="BJ124" s="442">
        <f t="shared" si="1359"/>
        <v>2076.8375000000005</v>
      </c>
      <c r="BK124" s="437"/>
      <c r="BL124" s="442">
        <f t="shared" ref="BL124:BP124" si="1360">BL164+BL205+BL271</f>
        <v>305.51660000000004</v>
      </c>
      <c r="BM124" s="442">
        <f t="shared" si="1360"/>
        <v>474.69522500000005</v>
      </c>
      <c r="BN124" s="442">
        <f t="shared" si="1360"/>
        <v>540.6798500000001</v>
      </c>
      <c r="BO124" s="442">
        <f t="shared" si="1360"/>
        <v>899.31538250000017</v>
      </c>
      <c r="BP124" s="442">
        <f t="shared" si="1360"/>
        <v>2220.2070575000007</v>
      </c>
      <c r="BQ124" s="437"/>
      <c r="BR124" s="442">
        <f t="shared" ref="BR124:BV124" si="1361">BR164+BR205+BR271</f>
        <v>331.62693200000001</v>
      </c>
      <c r="BS124" s="442">
        <f t="shared" si="1361"/>
        <v>504.18912950000004</v>
      </c>
      <c r="BT124" s="442">
        <f t="shared" si="1361"/>
        <v>571.49344700000006</v>
      </c>
      <c r="BU124" s="442">
        <f t="shared" si="1361"/>
        <v>937.30169015000024</v>
      </c>
      <c r="BV124" s="442">
        <f t="shared" si="1361"/>
        <v>2344.61119865</v>
      </c>
      <c r="BW124" s="437"/>
      <c r="BX124" s="442">
        <f t="shared" ref="BX124:CB124" si="1362">BX164+BX205+BX271</f>
        <v>338.25947064000002</v>
      </c>
      <c r="BY124" s="442">
        <f t="shared" si="1362"/>
        <v>514.27291209000009</v>
      </c>
      <c r="BZ124" s="442">
        <f t="shared" si="1362"/>
        <v>582.92331594000007</v>
      </c>
      <c r="CA124" s="442">
        <f t="shared" si="1362"/>
        <v>956.04772395300029</v>
      </c>
      <c r="CB124" s="442">
        <f t="shared" si="1362"/>
        <v>2391.503422623</v>
      </c>
      <c r="CC124" s="437"/>
      <c r="CD124" s="442">
        <f t="shared" ref="CD124:CH124" si="1363">CD164+CD205+CD271</f>
        <v>345.02466005280002</v>
      </c>
      <c r="CE124" s="442">
        <f t="shared" si="1363"/>
        <v>524.55837033180001</v>
      </c>
      <c r="CF124" s="442">
        <f t="shared" si="1363"/>
        <v>594.5817822588001</v>
      </c>
      <c r="CG124" s="442">
        <f t="shared" si="1363"/>
        <v>975.16867843206035</v>
      </c>
      <c r="CH124" s="442">
        <f t="shared" si="1363"/>
        <v>2439.3334910754602</v>
      </c>
      <c r="CI124" s="437"/>
      <c r="CJ124" s="442">
        <f t="shared" ref="CJ124:CN124" si="1364">CJ164+CJ205+CJ271</f>
        <v>351.92515325385602</v>
      </c>
      <c r="CK124" s="442">
        <f t="shared" si="1364"/>
        <v>535.04953773843613</v>
      </c>
      <c r="CL124" s="442">
        <f t="shared" si="1364"/>
        <v>606.47341790397604</v>
      </c>
      <c r="CM124" s="442">
        <f t="shared" si="1364"/>
        <v>994.67205200070157</v>
      </c>
      <c r="CN124" s="442">
        <f t="shared" si="1364"/>
        <v>2488.12016089697</v>
      </c>
      <c r="CO124" s="437"/>
    </row>
    <row r="125" spans="1:93" ht="18" customHeight="1" thickBot="1" x14ac:dyDescent="0.3">
      <c r="A125" s="401"/>
      <c r="B125" s="402"/>
      <c r="C125" s="403"/>
      <c r="D125" s="404"/>
      <c r="E125" s="156"/>
      <c r="F125" s="156"/>
      <c r="G125" s="156"/>
      <c r="H125" s="156"/>
      <c r="J125" s="156"/>
      <c r="K125" s="156"/>
      <c r="L125" s="156"/>
      <c r="M125" s="156"/>
      <c r="N125" s="156"/>
      <c r="O125" s="120"/>
      <c r="P125" s="156"/>
      <c r="Q125" s="156"/>
      <c r="R125" s="156"/>
      <c r="S125" s="156"/>
      <c r="T125" s="156"/>
      <c r="U125" s="120"/>
      <c r="V125" s="156"/>
      <c r="W125" s="156"/>
      <c r="X125" s="156"/>
      <c r="Y125" s="156"/>
      <c r="Z125" s="156"/>
      <c r="AB125" s="156"/>
      <c r="AC125" s="156"/>
      <c r="AD125" s="156"/>
      <c r="AE125" s="156"/>
      <c r="AF125" s="156"/>
      <c r="AH125" s="245"/>
      <c r="AI125" s="156"/>
      <c r="AJ125" s="156"/>
      <c r="AK125" s="156"/>
      <c r="AL125" s="156"/>
      <c r="AN125" s="156"/>
      <c r="AO125" s="245"/>
      <c r="AP125" s="156"/>
      <c r="AQ125" s="245"/>
      <c r="AR125" s="245"/>
      <c r="AT125" s="156"/>
      <c r="AU125" s="245"/>
      <c r="AV125" s="305"/>
      <c r="AW125" s="156"/>
      <c r="AX125" s="156"/>
      <c r="AZ125" s="156"/>
      <c r="BA125" s="156"/>
      <c r="BB125" s="156"/>
      <c r="BC125" s="156"/>
      <c r="BD125" s="156"/>
      <c r="BF125" s="156"/>
      <c r="BG125" s="156"/>
      <c r="BH125" s="156"/>
      <c r="BI125" s="156"/>
      <c r="BJ125" s="156"/>
      <c r="BL125" s="156"/>
      <c r="BM125" s="156"/>
      <c r="BN125" s="156"/>
      <c r="BO125" s="156"/>
      <c r="BP125" s="156"/>
      <c r="BR125" s="156"/>
      <c r="BS125" s="156"/>
      <c r="BT125" s="156"/>
      <c r="BU125" s="156"/>
      <c r="BV125" s="156"/>
      <c r="BX125" s="156"/>
      <c r="BY125" s="156"/>
      <c r="BZ125" s="156"/>
      <c r="CA125" s="156"/>
      <c r="CB125" s="156"/>
      <c r="CD125" s="156"/>
      <c r="CE125" s="156"/>
      <c r="CF125" s="156"/>
      <c r="CG125" s="156"/>
      <c r="CH125" s="156"/>
      <c r="CJ125" s="156"/>
      <c r="CK125" s="156"/>
      <c r="CL125" s="156"/>
      <c r="CM125" s="156"/>
      <c r="CN125" s="156"/>
    </row>
    <row r="126" spans="1:93" ht="18" customHeight="1" thickBot="1" x14ac:dyDescent="0.3">
      <c r="A126" s="405" t="s">
        <v>399</v>
      </c>
      <c r="B126" s="189" t="s">
        <v>372</v>
      </c>
      <c r="C126" s="124"/>
      <c r="D126" s="124"/>
      <c r="E126" s="124"/>
      <c r="F126" s="124"/>
      <c r="G126" s="124"/>
      <c r="H126" s="124"/>
      <c r="I126" s="124"/>
      <c r="J126" s="176"/>
      <c r="K126" s="176"/>
      <c r="L126" s="176"/>
      <c r="M126" s="176"/>
      <c r="N126" s="176"/>
      <c r="O126" s="176"/>
      <c r="P126" s="177"/>
      <c r="Q126" s="177"/>
      <c r="R126" s="177"/>
      <c r="S126" s="177"/>
      <c r="T126" s="177"/>
      <c r="U126" s="176"/>
      <c r="V126" s="178"/>
      <c r="W126" s="178"/>
      <c r="X126" s="178"/>
      <c r="Y126" s="178"/>
      <c r="Z126" s="178"/>
      <c r="AA126" s="176"/>
      <c r="AB126" s="178"/>
      <c r="AC126" s="178"/>
      <c r="AD126" s="178"/>
      <c r="AE126" s="178"/>
      <c r="AF126" s="178"/>
      <c r="AG126" s="124"/>
      <c r="AH126" s="179"/>
      <c r="AI126" s="179"/>
      <c r="AJ126" s="179"/>
      <c r="AK126" s="178"/>
      <c r="AL126" s="179"/>
      <c r="AM126" s="124"/>
      <c r="AN126" s="178"/>
      <c r="AO126" s="178"/>
      <c r="AP126" s="178"/>
      <c r="AQ126" s="178"/>
      <c r="AR126" s="178"/>
      <c r="AS126" s="176"/>
      <c r="AT126" s="178"/>
      <c r="AU126" s="178"/>
      <c r="AV126" s="307"/>
      <c r="AW126" s="178"/>
      <c r="AX126" s="178"/>
      <c r="AY126" s="124"/>
      <c r="AZ126" s="178"/>
      <c r="BA126" s="178"/>
      <c r="BB126" s="178"/>
      <c r="BC126" s="178"/>
      <c r="BD126" s="178"/>
      <c r="BE126" s="124"/>
      <c r="BF126" s="178"/>
      <c r="BG126" s="178"/>
      <c r="BH126" s="178"/>
      <c r="BI126" s="178"/>
      <c r="BJ126" s="178"/>
      <c r="BK126" s="124"/>
      <c r="BL126" s="178"/>
      <c r="BM126" s="178"/>
      <c r="BN126" s="178"/>
      <c r="BO126" s="178"/>
      <c r="BP126" s="178"/>
      <c r="BQ126" s="124"/>
      <c r="BR126" s="178"/>
      <c r="BS126" s="178"/>
      <c r="BT126" s="178"/>
      <c r="BU126" s="178"/>
      <c r="BV126" s="178"/>
      <c r="BW126" s="124"/>
      <c r="BX126" s="178"/>
      <c r="BY126" s="178"/>
      <c r="BZ126" s="178"/>
      <c r="CA126" s="178"/>
      <c r="CB126" s="178"/>
      <c r="CC126" s="124"/>
      <c r="CD126" s="178"/>
      <c r="CE126" s="178"/>
      <c r="CF126" s="178"/>
      <c r="CG126" s="178"/>
      <c r="CH126" s="178"/>
      <c r="CI126" s="124"/>
      <c r="CJ126" s="178"/>
      <c r="CK126" s="178"/>
      <c r="CL126" s="178"/>
      <c r="CM126" s="178"/>
      <c r="CN126" s="178"/>
    </row>
    <row r="127" spans="1:93" ht="18" customHeight="1" x14ac:dyDescent="0.25">
      <c r="A127" s="201"/>
      <c r="B127" s="31" t="s">
        <v>374</v>
      </c>
      <c r="D127" s="121">
        <v>1913</v>
      </c>
      <c r="E127" s="121">
        <v>2318</v>
      </c>
      <c r="F127" s="121">
        <v>2165</v>
      </c>
      <c r="G127" s="121">
        <v>2346</v>
      </c>
      <c r="H127" s="153">
        <f>SUM(D127:G127)</f>
        <v>8742</v>
      </c>
      <c r="I127" s="121"/>
      <c r="J127" s="121">
        <v>2620</v>
      </c>
      <c r="K127" s="121">
        <v>2739</v>
      </c>
      <c r="L127" s="121">
        <v>2646</v>
      </c>
      <c r="M127" s="121">
        <v>2749</v>
      </c>
      <c r="N127" s="153">
        <f>SUM(J127:M127)</f>
        <v>10754</v>
      </c>
      <c r="O127" s="121"/>
      <c r="P127" s="121">
        <v>2965</v>
      </c>
      <c r="Q127" s="121">
        <v>3513</v>
      </c>
      <c r="R127" s="121">
        <v>2728</v>
      </c>
      <c r="S127" s="121">
        <v>2249</v>
      </c>
      <c r="T127" s="153">
        <f>SUM(P127:S127)</f>
        <v>11455</v>
      </c>
      <c r="U127" s="121"/>
      <c r="V127" s="121">
        <v>2085</v>
      </c>
      <c r="W127" s="121">
        <v>1604</v>
      </c>
      <c r="X127" s="121">
        <v>1781</v>
      </c>
      <c r="Y127" s="121">
        <v>1895</v>
      </c>
      <c r="Z127" s="153">
        <f>SUM(V127:Y127)</f>
        <v>7365</v>
      </c>
      <c r="AA127" s="121"/>
      <c r="AB127" s="121">
        <v>2126</v>
      </c>
      <c r="AC127" s="121">
        <v>2498</v>
      </c>
      <c r="AD127" s="121">
        <v>2417</v>
      </c>
      <c r="AE127" s="121">
        <v>2635</v>
      </c>
      <c r="AF127" s="153">
        <f>SUM(AB127:AE127)</f>
        <v>9676</v>
      </c>
      <c r="AG127" s="121"/>
      <c r="AH127" s="121">
        <v>2720</v>
      </c>
      <c r="AI127" s="121">
        <v>3006</v>
      </c>
      <c r="AJ127" s="121">
        <v>3106</v>
      </c>
      <c r="AK127" s="121">
        <v>3535</v>
      </c>
      <c r="AL127" s="153">
        <f>SUM(AH127:AK127)</f>
        <v>12367</v>
      </c>
      <c r="AM127" s="121"/>
      <c r="AN127" s="121">
        <v>3608</v>
      </c>
      <c r="AO127" s="121">
        <v>3968</v>
      </c>
      <c r="AP127" s="121">
        <v>4078</v>
      </c>
      <c r="AQ127" s="121">
        <v>3689</v>
      </c>
      <c r="AR127" s="153">
        <f>SUM(AN127:AQ127)</f>
        <v>15343</v>
      </c>
      <c r="AS127" s="121"/>
      <c r="AT127" s="121">
        <v>3833</v>
      </c>
      <c r="AU127" s="121">
        <v>3957</v>
      </c>
      <c r="AV127" s="263">
        <v>3629</v>
      </c>
      <c r="AW127" s="153">
        <f>AQ127*(1+AW139)</f>
        <v>3320.1</v>
      </c>
      <c r="AX127" s="153">
        <f>SUM(AT127:AW127)</f>
        <v>14739.1</v>
      </c>
      <c r="AY127" s="121"/>
      <c r="AZ127" s="153">
        <f>AT127*(1+AZ139)</f>
        <v>3449.7000000000003</v>
      </c>
      <c r="BA127" s="153">
        <f t="shared" ref="BA127:BC130" si="1365">AU127*(1+BA139)</f>
        <v>3561.3</v>
      </c>
      <c r="BB127" s="153">
        <f t="shared" si="1365"/>
        <v>3447.5499999999997</v>
      </c>
      <c r="BC127" s="153">
        <f t="shared" si="1365"/>
        <v>3320.1</v>
      </c>
      <c r="BD127" s="153">
        <f>SUM(AZ127:BC127)</f>
        <v>13778.65</v>
      </c>
      <c r="BE127" s="121"/>
      <c r="BF127" s="153">
        <f>AZ127*(1+BF139)</f>
        <v>3622.1850000000004</v>
      </c>
      <c r="BG127" s="153">
        <f t="shared" ref="BG127:BG130" si="1366">BA127*(1+BG139)</f>
        <v>3739.3650000000002</v>
      </c>
      <c r="BH127" s="153">
        <f t="shared" ref="BH127:BH130" si="1367">BB127*(1+BH139)</f>
        <v>3619.9274999999998</v>
      </c>
      <c r="BI127" s="153">
        <f t="shared" ref="BI127:BI130" si="1368">BC127*(1+BI139)</f>
        <v>3486.105</v>
      </c>
      <c r="BJ127" s="153">
        <f>SUM(BF127:BI127)</f>
        <v>14467.5825</v>
      </c>
      <c r="BK127" s="27"/>
      <c r="BL127" s="153">
        <f>BF127*(1+BL139)</f>
        <v>3730.8505500000006</v>
      </c>
      <c r="BM127" s="153">
        <f t="shared" ref="BM127:BM130" si="1369">BG127*(1+BM139)</f>
        <v>3851.5459500000002</v>
      </c>
      <c r="BN127" s="153">
        <f t="shared" ref="BN127:BN130" si="1370">BH127*(1+BN139)</f>
        <v>3728.5253250000001</v>
      </c>
      <c r="BO127" s="153">
        <f t="shared" ref="BO127:BO130" si="1371">BI127*(1+BO139)</f>
        <v>3590.68815</v>
      </c>
      <c r="BP127" s="153">
        <f>SUM(BL127:BO127)</f>
        <v>14901.609975000001</v>
      </c>
      <c r="BQ127" s="27"/>
      <c r="BR127" s="153">
        <f>BL127*(1+BR139)</f>
        <v>3842.7760665000005</v>
      </c>
      <c r="BS127" s="153">
        <f t="shared" ref="BS127:BS130" si="1372">BM127*(1+BS139)</f>
        <v>3967.0923285000003</v>
      </c>
      <c r="BT127" s="153">
        <f t="shared" ref="BT127:BT130" si="1373">BN127*(1+BT139)</f>
        <v>3840.3810847500004</v>
      </c>
      <c r="BU127" s="153">
        <f t="shared" ref="BU127:BU130" si="1374">BO127*(1+BU139)</f>
        <v>3698.4087945000001</v>
      </c>
      <c r="BV127" s="153">
        <f>SUM(BR127:BU127)</f>
        <v>15348.658274250003</v>
      </c>
      <c r="BW127" s="27"/>
      <c r="BX127" s="153">
        <f>BR127*(1+BX139)</f>
        <v>3958.0593484950004</v>
      </c>
      <c r="BY127" s="153">
        <f t="shared" ref="BY127:BY130" si="1375">BS127*(1+BY139)</f>
        <v>4086.1050983550003</v>
      </c>
      <c r="BZ127" s="153">
        <f t="shared" ref="BZ127:BZ130" si="1376">BT127*(1+BZ139)</f>
        <v>3955.5925172925004</v>
      </c>
      <c r="CA127" s="153">
        <f t="shared" ref="CA127:CA130" si="1377">BU127*(1+CA139)</f>
        <v>3809.3610583350001</v>
      </c>
      <c r="CB127" s="153">
        <f>SUM(BX127:CA127)</f>
        <v>15809.118022477502</v>
      </c>
      <c r="CC127" s="27"/>
      <c r="CD127" s="153">
        <f>BX127*(1+CD139)</f>
        <v>4076.8011289498504</v>
      </c>
      <c r="CE127" s="153">
        <f t="shared" ref="CE127:CE130" si="1378">BY127*(1+CE139)</f>
        <v>4208.6882513056507</v>
      </c>
      <c r="CF127" s="153">
        <f t="shared" ref="CF127:CF130" si="1379">BZ127*(1+CF139)</f>
        <v>4074.2602928112756</v>
      </c>
      <c r="CG127" s="153">
        <f t="shared" ref="CG127:CG130" si="1380">CA127*(1+CG139)</f>
        <v>3923.6418900850504</v>
      </c>
      <c r="CH127" s="153">
        <f>SUM(CD127:CG127)</f>
        <v>16283.391563151828</v>
      </c>
      <c r="CI127" s="27"/>
      <c r="CJ127" s="153">
        <f>CD127*(1+CJ139)</f>
        <v>4199.1051628183459</v>
      </c>
      <c r="CK127" s="153">
        <f t="shared" ref="CK127:CK130" si="1381">CE127*(1+CK139)</f>
        <v>4334.9488988448202</v>
      </c>
      <c r="CL127" s="153">
        <f t="shared" ref="CL127:CL130" si="1382">CF127*(1+CL139)</f>
        <v>4196.4881015956144</v>
      </c>
      <c r="CM127" s="153">
        <f t="shared" ref="CM127:CM130" si="1383">CG127*(1+CM139)</f>
        <v>4041.3511467876019</v>
      </c>
      <c r="CN127" s="153">
        <f>SUM(CJ127:CM127)</f>
        <v>16771.893310046384</v>
      </c>
    </row>
    <row r="128" spans="1:93" ht="18" customHeight="1" x14ac:dyDescent="0.25">
      <c r="A128" s="201"/>
      <c r="B128" s="31" t="s">
        <v>375</v>
      </c>
      <c r="D128" s="121">
        <v>250</v>
      </c>
      <c r="E128" s="121">
        <v>364</v>
      </c>
      <c r="F128" s="121">
        <v>390</v>
      </c>
      <c r="G128" s="121">
        <v>392</v>
      </c>
      <c r="H128" s="153">
        <f>SUM(D128:G128)</f>
        <v>1396</v>
      </c>
      <c r="I128" s="121"/>
      <c r="J128" s="121">
        <v>344</v>
      </c>
      <c r="K128" s="121">
        <v>392</v>
      </c>
      <c r="L128" s="121">
        <v>369</v>
      </c>
      <c r="M128" s="121">
        <v>374</v>
      </c>
      <c r="N128" s="153">
        <f t="shared" ref="N128:N131" si="1384">SUM(J128:M128)</f>
        <v>1479</v>
      </c>
      <c r="O128" s="121"/>
      <c r="P128" s="121">
        <v>319</v>
      </c>
      <c r="Q128" s="121">
        <v>392</v>
      </c>
      <c r="R128" s="121">
        <v>413</v>
      </c>
      <c r="S128" s="121">
        <v>409</v>
      </c>
      <c r="T128" s="153">
        <f t="shared" ref="T128:T131" si="1385">SUM(P128:S128)</f>
        <v>1533</v>
      </c>
      <c r="U128" s="121"/>
      <c r="V128" s="121">
        <v>265</v>
      </c>
      <c r="W128" s="121">
        <v>212</v>
      </c>
      <c r="X128" s="121">
        <v>230</v>
      </c>
      <c r="Y128" s="121">
        <v>324</v>
      </c>
      <c r="Z128" s="153">
        <f t="shared" ref="Z128:Z131" si="1386">SUM(V128:Y128)</f>
        <v>1031</v>
      </c>
      <c r="AA128" s="121"/>
      <c r="AB128" s="121">
        <v>392</v>
      </c>
      <c r="AC128" s="121">
        <v>430</v>
      </c>
      <c r="AD128" s="121">
        <v>528</v>
      </c>
      <c r="AE128" s="121">
        <v>563</v>
      </c>
      <c r="AF128" s="153">
        <f t="shared" ref="AF128:AF131" si="1387">SUM(AB128:AE128)</f>
        <v>1913</v>
      </c>
      <c r="AG128" s="121"/>
      <c r="AH128" s="121">
        <v>627</v>
      </c>
      <c r="AI128" s="121">
        <v>635</v>
      </c>
      <c r="AJ128" s="121">
        <v>799</v>
      </c>
      <c r="AK128" s="121">
        <v>782</v>
      </c>
      <c r="AL128" s="153">
        <f t="shared" ref="AL128:AL131" si="1388">SUM(AH128:AK128)</f>
        <v>2843</v>
      </c>
      <c r="AM128" s="121"/>
      <c r="AN128" s="121">
        <v>599</v>
      </c>
      <c r="AO128" s="121">
        <v>566</v>
      </c>
      <c r="AP128" s="121">
        <v>555</v>
      </c>
      <c r="AQ128" s="121">
        <v>587</v>
      </c>
      <c r="AR128" s="153">
        <f t="shared" ref="AR128:AR131" si="1389">SUM(AN128:AQ128)</f>
        <v>2307</v>
      </c>
      <c r="AS128" s="121"/>
      <c r="AT128" s="121">
        <v>595</v>
      </c>
      <c r="AU128" s="121">
        <v>677</v>
      </c>
      <c r="AV128" s="263">
        <v>658</v>
      </c>
      <c r="AW128" s="153">
        <f t="shared" ref="AW128:AW130" si="1390">AQ128*(1+AW140)</f>
        <v>704.4</v>
      </c>
      <c r="AX128" s="153">
        <f t="shared" ref="AX128:AX131" si="1391">SUM(AT128:AW128)</f>
        <v>2634.4</v>
      </c>
      <c r="AY128" s="121"/>
      <c r="AZ128" s="153">
        <f t="shared" ref="AZ128:AZ130" si="1392">AT128*(1+AZ140)</f>
        <v>595</v>
      </c>
      <c r="BA128" s="153">
        <f t="shared" si="1365"/>
        <v>643.15</v>
      </c>
      <c r="BB128" s="153">
        <f t="shared" si="1365"/>
        <v>592.20000000000005</v>
      </c>
      <c r="BC128" s="153">
        <f t="shared" si="1365"/>
        <v>633.96</v>
      </c>
      <c r="BD128" s="153">
        <f t="shared" ref="BD128:BD131" si="1393">SUM(AZ128:BC128)</f>
        <v>2464.3100000000004</v>
      </c>
      <c r="BE128" s="121"/>
      <c r="BF128" s="153">
        <f t="shared" ref="BF128:BF130" si="1394">AZ128*(1+BF140)</f>
        <v>624.75</v>
      </c>
      <c r="BG128" s="153">
        <f t="shared" si="1366"/>
        <v>675.3075</v>
      </c>
      <c r="BH128" s="153">
        <f t="shared" si="1367"/>
        <v>621.81000000000006</v>
      </c>
      <c r="BI128" s="153">
        <f t="shared" si="1368"/>
        <v>665.65800000000002</v>
      </c>
      <c r="BJ128" s="153">
        <f t="shared" ref="BJ128:BJ131" si="1395">SUM(BF128:BI128)</f>
        <v>2587.5254999999997</v>
      </c>
      <c r="BK128" s="27"/>
      <c r="BL128" s="153">
        <f t="shared" ref="BL128:BL130" si="1396">BF128*(1+BL140)</f>
        <v>649.74</v>
      </c>
      <c r="BM128" s="153">
        <f t="shared" si="1369"/>
        <v>702.31979999999999</v>
      </c>
      <c r="BN128" s="153">
        <f t="shared" si="1370"/>
        <v>646.68240000000003</v>
      </c>
      <c r="BO128" s="153">
        <f t="shared" si="1371"/>
        <v>692.28432000000009</v>
      </c>
      <c r="BP128" s="153">
        <f t="shared" ref="BP128:BP131" si="1397">SUM(BL128:BO128)</f>
        <v>2691.0265200000003</v>
      </c>
      <c r="BQ128" s="27"/>
      <c r="BR128" s="153">
        <f t="shared" ref="BR128:BR130" si="1398">BL128*(1+BR140)</f>
        <v>675.7296</v>
      </c>
      <c r="BS128" s="153">
        <f t="shared" si="1372"/>
        <v>730.41259200000002</v>
      </c>
      <c r="BT128" s="153">
        <f t="shared" si="1373"/>
        <v>672.54969600000004</v>
      </c>
      <c r="BU128" s="153">
        <f t="shared" si="1374"/>
        <v>719.97569280000016</v>
      </c>
      <c r="BV128" s="153">
        <f t="shared" ref="BV128:BV131" si="1399">SUM(BR128:BU128)</f>
        <v>2798.6675808000005</v>
      </c>
      <c r="BW128" s="27"/>
      <c r="BX128" s="153">
        <f t="shared" ref="BX128:BX130" si="1400">BR128*(1+BX140)</f>
        <v>702.75878399999999</v>
      </c>
      <c r="BY128" s="153">
        <f t="shared" si="1375"/>
        <v>759.62909568000009</v>
      </c>
      <c r="BZ128" s="153">
        <f t="shared" si="1376"/>
        <v>699.4516838400001</v>
      </c>
      <c r="CA128" s="153">
        <f t="shared" si="1377"/>
        <v>748.77472051200016</v>
      </c>
      <c r="CB128" s="153">
        <f t="shared" ref="CB128:CB131" si="1401">SUM(BX128:CA128)</f>
        <v>2910.6142840319999</v>
      </c>
      <c r="CC128" s="27"/>
      <c r="CD128" s="153">
        <f t="shared" ref="CD128:CD130" si="1402">BX128*(1+CD140)</f>
        <v>730.86913535999997</v>
      </c>
      <c r="CE128" s="153">
        <f t="shared" si="1378"/>
        <v>790.01425950720011</v>
      </c>
      <c r="CF128" s="153">
        <f t="shared" si="1379"/>
        <v>727.42975119360017</v>
      </c>
      <c r="CG128" s="153">
        <f t="shared" si="1380"/>
        <v>778.72570933248016</v>
      </c>
      <c r="CH128" s="153">
        <f t="shared" ref="CH128:CH131" si="1403">SUM(CD128:CG128)</f>
        <v>3027.0388553932803</v>
      </c>
      <c r="CI128" s="27"/>
      <c r="CJ128" s="153">
        <f t="shared" ref="CJ128:CJ130" si="1404">CD128*(1+CJ140)</f>
        <v>760.10390077440002</v>
      </c>
      <c r="CK128" s="153">
        <f t="shared" si="1381"/>
        <v>821.6148298874881</v>
      </c>
      <c r="CL128" s="153">
        <f t="shared" si="1382"/>
        <v>756.52694124134416</v>
      </c>
      <c r="CM128" s="153">
        <f t="shared" si="1383"/>
        <v>809.87473770577935</v>
      </c>
      <c r="CN128" s="153">
        <f t="shared" ref="CN128:CN131" si="1405">SUM(CJ128:CM128)</f>
        <v>3148.1204096090114</v>
      </c>
    </row>
    <row r="129" spans="1:93" ht="18" customHeight="1" x14ac:dyDescent="0.25">
      <c r="A129" s="201"/>
      <c r="B129" s="31" t="s">
        <v>376</v>
      </c>
      <c r="D129" s="121">
        <v>812</v>
      </c>
      <c r="E129" s="121">
        <v>964</v>
      </c>
      <c r="F129" s="121">
        <v>1008</v>
      </c>
      <c r="G129" s="121">
        <v>976</v>
      </c>
      <c r="H129" s="153">
        <f>SUM(D129:G129)</f>
        <v>3760</v>
      </c>
      <c r="I129" s="121"/>
      <c r="J129" s="121">
        <v>1067</v>
      </c>
      <c r="K129" s="121">
        <v>1171</v>
      </c>
      <c r="L129" s="121">
        <v>1109</v>
      </c>
      <c r="M129" s="121">
        <v>1063</v>
      </c>
      <c r="N129" s="153">
        <f t="shared" si="1384"/>
        <v>4410</v>
      </c>
      <c r="O129" s="121"/>
      <c r="P129" s="121">
        <v>1006</v>
      </c>
      <c r="Q129" s="121">
        <v>1108</v>
      </c>
      <c r="R129" s="121">
        <v>1048</v>
      </c>
      <c r="S129" s="121">
        <v>850</v>
      </c>
      <c r="T129" s="153">
        <f t="shared" si="1385"/>
        <v>4012</v>
      </c>
      <c r="U129" s="121"/>
      <c r="V129" s="121">
        <v>889</v>
      </c>
      <c r="W129" s="121">
        <v>933</v>
      </c>
      <c r="X129" s="121">
        <v>796</v>
      </c>
      <c r="Y129" s="121">
        <v>848</v>
      </c>
      <c r="Z129" s="153">
        <f t="shared" si="1386"/>
        <v>3466</v>
      </c>
      <c r="AA129" s="121"/>
      <c r="AB129" s="121">
        <v>1081</v>
      </c>
      <c r="AC129" s="121">
        <v>1291</v>
      </c>
      <c r="AD129" s="121">
        <v>1240</v>
      </c>
      <c r="AE129" s="121">
        <v>1246</v>
      </c>
      <c r="AF129" s="153">
        <f t="shared" si="1387"/>
        <v>4858</v>
      </c>
      <c r="AG129" s="121"/>
      <c r="AH129" s="121">
        <v>1277</v>
      </c>
      <c r="AI129" s="121">
        <v>1202</v>
      </c>
      <c r="AJ129" s="121">
        <v>1247</v>
      </c>
      <c r="AK129" s="121">
        <v>1373</v>
      </c>
      <c r="AL129" s="153">
        <f t="shared" si="1388"/>
        <v>5099</v>
      </c>
      <c r="AM129" s="121"/>
      <c r="AN129" s="121">
        <v>1336</v>
      </c>
      <c r="AO129" s="121">
        <v>1438</v>
      </c>
      <c r="AP129" s="121">
        <v>1351</v>
      </c>
      <c r="AQ129" s="121">
        <v>1129</v>
      </c>
      <c r="AR129" s="153">
        <f t="shared" si="1389"/>
        <v>5254</v>
      </c>
      <c r="AS129" s="121"/>
      <c r="AT129" s="121">
        <v>996</v>
      </c>
      <c r="AU129" s="121">
        <v>1047</v>
      </c>
      <c r="AV129" s="263">
        <v>1150</v>
      </c>
      <c r="AW129" s="153">
        <f t="shared" si="1390"/>
        <v>1016.1</v>
      </c>
      <c r="AX129" s="153">
        <f t="shared" si="1391"/>
        <v>4209.1000000000004</v>
      </c>
      <c r="AY129" s="121"/>
      <c r="AZ129" s="153">
        <f t="shared" si="1392"/>
        <v>896.4</v>
      </c>
      <c r="BA129" s="153">
        <f t="shared" si="1365"/>
        <v>942.30000000000007</v>
      </c>
      <c r="BB129" s="153">
        <f t="shared" si="1365"/>
        <v>1092.5</v>
      </c>
      <c r="BC129" s="153">
        <f t="shared" si="1365"/>
        <v>965.29499999999996</v>
      </c>
      <c r="BD129" s="153">
        <f t="shared" si="1393"/>
        <v>3896.4949999999999</v>
      </c>
      <c r="BE129" s="121"/>
      <c r="BF129" s="153">
        <f t="shared" si="1394"/>
        <v>941.22</v>
      </c>
      <c r="BG129" s="153">
        <f t="shared" si="1366"/>
        <v>989.41500000000008</v>
      </c>
      <c r="BH129" s="153">
        <f t="shared" si="1367"/>
        <v>1147.125</v>
      </c>
      <c r="BI129" s="153">
        <f t="shared" si="1368"/>
        <v>1013.55975</v>
      </c>
      <c r="BJ129" s="153">
        <f t="shared" si="1395"/>
        <v>4091.3197500000001</v>
      </c>
      <c r="BK129" s="27"/>
      <c r="BL129" s="153">
        <f t="shared" si="1396"/>
        <v>978.86880000000008</v>
      </c>
      <c r="BM129" s="153">
        <f t="shared" si="1369"/>
        <v>1028.9916000000001</v>
      </c>
      <c r="BN129" s="153">
        <f t="shared" si="1370"/>
        <v>1193.01</v>
      </c>
      <c r="BO129" s="153">
        <f t="shared" si="1371"/>
        <v>1054.10214</v>
      </c>
      <c r="BP129" s="153">
        <f t="shared" si="1397"/>
        <v>4254.9725399999998</v>
      </c>
      <c r="BQ129" s="27"/>
      <c r="BR129" s="153">
        <f t="shared" si="1398"/>
        <v>1018.0235520000001</v>
      </c>
      <c r="BS129" s="153">
        <f t="shared" si="1372"/>
        <v>1070.1512640000001</v>
      </c>
      <c r="BT129" s="153">
        <f t="shared" si="1373"/>
        <v>1240.7304000000001</v>
      </c>
      <c r="BU129" s="153">
        <f t="shared" si="1374"/>
        <v>1096.2662256000001</v>
      </c>
      <c r="BV129" s="153">
        <f t="shared" si="1399"/>
        <v>4425.1714416000004</v>
      </c>
      <c r="BW129" s="27"/>
      <c r="BX129" s="153">
        <f t="shared" si="1400"/>
        <v>1058.7444940800001</v>
      </c>
      <c r="BY129" s="153">
        <f t="shared" si="1375"/>
        <v>1112.9573145600002</v>
      </c>
      <c r="BZ129" s="153">
        <f t="shared" si="1376"/>
        <v>1290.3596160000002</v>
      </c>
      <c r="CA129" s="153">
        <f t="shared" si="1377"/>
        <v>1140.116874624</v>
      </c>
      <c r="CB129" s="153">
        <f t="shared" si="1401"/>
        <v>4602.1782992640001</v>
      </c>
      <c r="CC129" s="27"/>
      <c r="CD129" s="153">
        <f t="shared" si="1402"/>
        <v>1101.0942738432002</v>
      </c>
      <c r="CE129" s="153">
        <f t="shared" si="1378"/>
        <v>1157.4756071424003</v>
      </c>
      <c r="CF129" s="153">
        <f t="shared" si="1379"/>
        <v>1341.9740006400002</v>
      </c>
      <c r="CG129" s="153">
        <f t="shared" si="1380"/>
        <v>1185.72154960896</v>
      </c>
      <c r="CH129" s="153">
        <f t="shared" si="1403"/>
        <v>4786.2654312345603</v>
      </c>
      <c r="CI129" s="27"/>
      <c r="CJ129" s="153">
        <f t="shared" si="1404"/>
        <v>1145.1380447969282</v>
      </c>
      <c r="CK129" s="153">
        <f t="shared" si="1381"/>
        <v>1203.7746314280964</v>
      </c>
      <c r="CL129" s="153">
        <f t="shared" si="1382"/>
        <v>1395.6529606656002</v>
      </c>
      <c r="CM129" s="153">
        <f t="shared" si="1383"/>
        <v>1233.1504115933185</v>
      </c>
      <c r="CN129" s="153">
        <f t="shared" si="1405"/>
        <v>4977.7160484839433</v>
      </c>
    </row>
    <row r="130" spans="1:93" ht="18" customHeight="1" x14ac:dyDescent="0.25">
      <c r="A130" s="201"/>
      <c r="B130" s="31" t="s">
        <v>377</v>
      </c>
      <c r="D130" s="121">
        <v>1116</v>
      </c>
      <c r="E130" s="121">
        <v>1284</v>
      </c>
      <c r="F130" s="121">
        <v>1291</v>
      </c>
      <c r="G130" s="121">
        <v>1544</v>
      </c>
      <c r="H130" s="153">
        <f>SUM(D130:G130)</f>
        <v>5235</v>
      </c>
      <c r="I130" s="121"/>
      <c r="J130" s="121">
        <v>1628</v>
      </c>
      <c r="K130" s="121">
        <v>1835</v>
      </c>
      <c r="L130" s="121">
        <v>1530</v>
      </c>
      <c r="M130" s="121">
        <v>1480</v>
      </c>
      <c r="N130" s="153">
        <f t="shared" si="1384"/>
        <v>6473</v>
      </c>
      <c r="O130" s="121"/>
      <c r="P130" s="121">
        <v>1562</v>
      </c>
      <c r="Q130" s="121">
        <v>1433</v>
      </c>
      <c r="R130" s="121">
        <v>1086</v>
      </c>
      <c r="S130" s="121">
        <v>1475</v>
      </c>
      <c r="T130" s="153">
        <f t="shared" si="1385"/>
        <v>5556</v>
      </c>
      <c r="U130" s="121"/>
      <c r="V130" s="121">
        <v>1073</v>
      </c>
      <c r="W130" s="121">
        <v>1283</v>
      </c>
      <c r="X130" s="121">
        <v>1241</v>
      </c>
      <c r="Y130" s="121">
        <v>1417</v>
      </c>
      <c r="Z130" s="153">
        <f t="shared" si="1386"/>
        <v>5014</v>
      </c>
      <c r="AA130" s="121"/>
      <c r="AB130" s="121">
        <v>1842</v>
      </c>
      <c r="AC130" s="121">
        <v>1384</v>
      </c>
      <c r="AD130" s="121">
        <v>1076</v>
      </c>
      <c r="AE130" s="121">
        <v>1245</v>
      </c>
      <c r="AF130" s="153">
        <f t="shared" si="1387"/>
        <v>5547</v>
      </c>
      <c r="AG130" s="121"/>
      <c r="AH130" s="121">
        <v>1462</v>
      </c>
      <c r="AI130" s="121">
        <v>1148</v>
      </c>
      <c r="AJ130" s="121">
        <v>1084</v>
      </c>
      <c r="AK130" s="121">
        <v>1124</v>
      </c>
      <c r="AL130" s="153">
        <f t="shared" si="1388"/>
        <v>4818</v>
      </c>
      <c r="AM130" s="121"/>
      <c r="AN130" s="121">
        <v>1161</v>
      </c>
      <c r="AO130" s="121">
        <v>1149</v>
      </c>
      <c r="AP130" s="121">
        <v>997</v>
      </c>
      <c r="AQ130" s="121">
        <v>1083</v>
      </c>
      <c r="AR130" s="153">
        <f t="shared" si="1389"/>
        <v>4390</v>
      </c>
      <c r="AS130" s="121"/>
      <c r="AT130" s="121">
        <v>993</v>
      </c>
      <c r="AU130" s="121">
        <v>975</v>
      </c>
      <c r="AV130" s="263">
        <v>875</v>
      </c>
      <c r="AW130" s="153">
        <f t="shared" si="1390"/>
        <v>974.7</v>
      </c>
      <c r="AX130" s="153">
        <f t="shared" si="1391"/>
        <v>3817.7</v>
      </c>
      <c r="AY130" s="121"/>
      <c r="AZ130" s="153">
        <f t="shared" si="1392"/>
        <v>893.7</v>
      </c>
      <c r="BA130" s="153">
        <f t="shared" si="1365"/>
        <v>877.5</v>
      </c>
      <c r="BB130" s="153">
        <f t="shared" si="1365"/>
        <v>831.25</v>
      </c>
      <c r="BC130" s="153">
        <f t="shared" si="1365"/>
        <v>925.96500000000003</v>
      </c>
      <c r="BD130" s="153">
        <f t="shared" si="1393"/>
        <v>3528.415</v>
      </c>
      <c r="BE130" s="121"/>
      <c r="BF130" s="153">
        <f t="shared" si="1394"/>
        <v>938.3850000000001</v>
      </c>
      <c r="BG130" s="153">
        <f t="shared" si="1366"/>
        <v>921.375</v>
      </c>
      <c r="BH130" s="153">
        <f t="shared" si="1367"/>
        <v>872.8125</v>
      </c>
      <c r="BI130" s="153">
        <f t="shared" si="1368"/>
        <v>972.26325000000008</v>
      </c>
      <c r="BJ130" s="153">
        <f t="shared" si="1395"/>
        <v>3704.8357500000002</v>
      </c>
      <c r="BK130" s="27"/>
      <c r="BL130" s="153">
        <f t="shared" si="1396"/>
        <v>975.92040000000009</v>
      </c>
      <c r="BM130" s="153">
        <f t="shared" si="1369"/>
        <v>958.23</v>
      </c>
      <c r="BN130" s="153">
        <f t="shared" si="1370"/>
        <v>907.72500000000002</v>
      </c>
      <c r="BO130" s="153">
        <f t="shared" si="1371"/>
        <v>1011.1537800000001</v>
      </c>
      <c r="BP130" s="153">
        <f t="shared" si="1397"/>
        <v>3853.02918</v>
      </c>
      <c r="BQ130" s="27"/>
      <c r="BR130" s="153">
        <f t="shared" si="1398"/>
        <v>1014.9572160000001</v>
      </c>
      <c r="BS130" s="153">
        <f t="shared" si="1372"/>
        <v>996.55920000000003</v>
      </c>
      <c r="BT130" s="153">
        <f t="shared" si="1373"/>
        <v>944.03400000000011</v>
      </c>
      <c r="BU130" s="153">
        <f t="shared" si="1374"/>
        <v>1051.5999312000001</v>
      </c>
      <c r="BV130" s="153">
        <f t="shared" si="1399"/>
        <v>4007.1503472000004</v>
      </c>
      <c r="BW130" s="27"/>
      <c r="BX130" s="153">
        <f t="shared" si="1400"/>
        <v>1055.5555046400002</v>
      </c>
      <c r="BY130" s="153">
        <f t="shared" si="1375"/>
        <v>1036.421568</v>
      </c>
      <c r="BZ130" s="153">
        <f t="shared" si="1376"/>
        <v>981.79536000000019</v>
      </c>
      <c r="CA130" s="153">
        <f t="shared" si="1377"/>
        <v>1093.6639284480002</v>
      </c>
      <c r="CB130" s="153">
        <f t="shared" si="1401"/>
        <v>4167.4363610880009</v>
      </c>
      <c r="CC130" s="27"/>
      <c r="CD130" s="153">
        <f t="shared" si="1402"/>
        <v>1097.7777248256002</v>
      </c>
      <c r="CE130" s="153">
        <f t="shared" si="1378"/>
        <v>1077.8784307200001</v>
      </c>
      <c r="CF130" s="153">
        <f t="shared" si="1379"/>
        <v>1021.0671744000002</v>
      </c>
      <c r="CG130" s="153">
        <f t="shared" si="1380"/>
        <v>1137.4104855859202</v>
      </c>
      <c r="CH130" s="153">
        <f t="shared" si="1403"/>
        <v>4334.1338155315207</v>
      </c>
      <c r="CI130" s="27"/>
      <c r="CJ130" s="153">
        <f t="shared" si="1404"/>
        <v>1141.6888338186243</v>
      </c>
      <c r="CK130" s="153">
        <f t="shared" si="1381"/>
        <v>1120.9935679488001</v>
      </c>
      <c r="CL130" s="153">
        <f t="shared" si="1382"/>
        <v>1061.9098613760002</v>
      </c>
      <c r="CM130" s="153">
        <f t="shared" si="1383"/>
        <v>1182.9069050093572</v>
      </c>
      <c r="CN130" s="153">
        <f t="shared" si="1405"/>
        <v>4507.4991681527817</v>
      </c>
    </row>
    <row r="131" spans="1:93" ht="18" customHeight="1" x14ac:dyDescent="0.25">
      <c r="A131" s="201"/>
      <c r="B131" s="31" t="s">
        <v>378</v>
      </c>
      <c r="D131" s="121">
        <v>9</v>
      </c>
      <c r="E131" s="121">
        <v>29</v>
      </c>
      <c r="F131" s="121">
        <v>32</v>
      </c>
      <c r="G131" s="121">
        <v>37</v>
      </c>
      <c r="H131" s="153">
        <f>SUM(D131:G131)</f>
        <v>107</v>
      </c>
      <c r="I131" s="121"/>
      <c r="J131" s="121">
        <v>18</v>
      </c>
      <c r="K131" s="121">
        <v>35</v>
      </c>
      <c r="L131" s="121">
        <v>29</v>
      </c>
      <c r="M131" s="121">
        <v>39</v>
      </c>
      <c r="N131" s="153">
        <f t="shared" si="1384"/>
        <v>121</v>
      </c>
      <c r="O131" s="121"/>
      <c r="P131" s="121">
        <v>21</v>
      </c>
      <c r="Q131" s="121">
        <v>21</v>
      </c>
      <c r="R131" s="121">
        <v>14</v>
      </c>
      <c r="S131" s="121">
        <v>37</v>
      </c>
      <c r="T131" s="153">
        <f t="shared" si="1385"/>
        <v>93</v>
      </c>
      <c r="U131" s="121"/>
      <c r="V131" s="121">
        <v>-6</v>
      </c>
      <c r="W131" s="121">
        <v>16</v>
      </c>
      <c r="X131" s="121">
        <v>8</v>
      </c>
      <c r="Y131" s="121">
        <v>24</v>
      </c>
      <c r="Z131" s="153">
        <f t="shared" si="1386"/>
        <v>42</v>
      </c>
      <c r="AA131" s="121"/>
      <c r="AB131" s="121">
        <v>18</v>
      </c>
      <c r="AC131" s="121">
        <v>53</v>
      </c>
      <c r="AD131" s="121">
        <v>-6</v>
      </c>
      <c r="AE131" s="121">
        <v>47</v>
      </c>
      <c r="AF131" s="153">
        <f t="shared" si="1387"/>
        <v>112</v>
      </c>
      <c r="AG131" s="121"/>
      <c r="AH131" s="121">
        <v>29</v>
      </c>
      <c r="AI131" s="121">
        <v>42</v>
      </c>
      <c r="AJ131" s="121">
        <v>40</v>
      </c>
      <c r="AK131" s="121">
        <v>31</v>
      </c>
      <c r="AL131" s="153">
        <f t="shared" si="1388"/>
        <v>142</v>
      </c>
      <c r="AM131" s="121"/>
      <c r="AN131" s="121">
        <v>42</v>
      </c>
      <c r="AO131" s="121">
        <v>33</v>
      </c>
      <c r="AP131" s="121">
        <v>18</v>
      </c>
      <c r="AQ131" s="121">
        <v>31</v>
      </c>
      <c r="AR131" s="153">
        <f t="shared" si="1389"/>
        <v>124</v>
      </c>
      <c r="AS131" s="121"/>
      <c r="AT131" s="121">
        <v>7</v>
      </c>
      <c r="AU131" s="121">
        <v>27</v>
      </c>
      <c r="AV131" s="376">
        <v>33</v>
      </c>
      <c r="AW131" s="540">
        <v>25</v>
      </c>
      <c r="AX131" s="153">
        <f t="shared" si="1391"/>
        <v>92</v>
      </c>
      <c r="AY131" s="121"/>
      <c r="AZ131" s="528">
        <v>25</v>
      </c>
      <c r="BA131" s="528">
        <v>25</v>
      </c>
      <c r="BB131" s="528">
        <v>25</v>
      </c>
      <c r="BC131" s="528">
        <v>25</v>
      </c>
      <c r="BD131" s="153">
        <f t="shared" si="1393"/>
        <v>100</v>
      </c>
      <c r="BE131" s="121"/>
      <c r="BF131" s="528">
        <v>25</v>
      </c>
      <c r="BG131" s="528">
        <v>25</v>
      </c>
      <c r="BH131" s="528">
        <v>25</v>
      </c>
      <c r="BI131" s="528">
        <v>25</v>
      </c>
      <c r="BJ131" s="153">
        <f t="shared" si="1395"/>
        <v>100</v>
      </c>
      <c r="BK131" s="27"/>
      <c r="BL131" s="528">
        <v>25</v>
      </c>
      <c r="BM131" s="528">
        <v>25</v>
      </c>
      <c r="BN131" s="528">
        <v>25</v>
      </c>
      <c r="BO131" s="528">
        <v>25</v>
      </c>
      <c r="BP131" s="153">
        <f t="shared" si="1397"/>
        <v>100</v>
      </c>
      <c r="BQ131" s="27"/>
      <c r="BR131" s="528">
        <v>25</v>
      </c>
      <c r="BS131" s="528">
        <v>25</v>
      </c>
      <c r="BT131" s="528">
        <v>25</v>
      </c>
      <c r="BU131" s="528">
        <v>25</v>
      </c>
      <c r="BV131" s="153">
        <f t="shared" si="1399"/>
        <v>100</v>
      </c>
      <c r="BW131" s="27"/>
      <c r="BX131" s="528">
        <v>25</v>
      </c>
      <c r="BY131" s="528">
        <v>25</v>
      </c>
      <c r="BZ131" s="528">
        <v>25</v>
      </c>
      <c r="CA131" s="528">
        <v>25</v>
      </c>
      <c r="CB131" s="153">
        <f t="shared" si="1401"/>
        <v>100</v>
      </c>
      <c r="CC131" s="27"/>
      <c r="CD131" s="528">
        <v>25</v>
      </c>
      <c r="CE131" s="528">
        <v>25</v>
      </c>
      <c r="CF131" s="528">
        <v>25</v>
      </c>
      <c r="CG131" s="528">
        <v>25</v>
      </c>
      <c r="CH131" s="153">
        <f t="shared" si="1403"/>
        <v>100</v>
      </c>
      <c r="CI131" s="27"/>
      <c r="CJ131" s="528">
        <v>25</v>
      </c>
      <c r="CK131" s="528">
        <v>25</v>
      </c>
      <c r="CL131" s="528">
        <v>25</v>
      </c>
      <c r="CM131" s="528">
        <v>25</v>
      </c>
      <c r="CN131" s="153">
        <f t="shared" si="1405"/>
        <v>100</v>
      </c>
    </row>
    <row r="132" spans="1:93" ht="18" customHeight="1" x14ac:dyDescent="0.25">
      <c r="B132" s="155" t="s">
        <v>141</v>
      </c>
      <c r="C132" s="13"/>
      <c r="D132" s="73">
        <f t="shared" ref="D132:H132" si="1406">SUM(D127:D131)</f>
        <v>4100</v>
      </c>
      <c r="E132" s="73">
        <f t="shared" si="1406"/>
        <v>4959</v>
      </c>
      <c r="F132" s="73">
        <f t="shared" si="1406"/>
        <v>4886</v>
      </c>
      <c r="G132" s="73">
        <f t="shared" si="1406"/>
        <v>5295</v>
      </c>
      <c r="H132" s="73">
        <f t="shared" si="1406"/>
        <v>19240</v>
      </c>
      <c r="I132" s="46"/>
      <c r="J132" s="73">
        <f t="shared" ref="J132:N132" si="1407">SUM(J127:J131)</f>
        <v>5677</v>
      </c>
      <c r="K132" s="73">
        <f t="shared" si="1407"/>
        <v>6172</v>
      </c>
      <c r="L132" s="73">
        <f t="shared" si="1407"/>
        <v>5683</v>
      </c>
      <c r="M132" s="73">
        <f t="shared" si="1407"/>
        <v>5705</v>
      </c>
      <c r="N132" s="73">
        <f t="shared" si="1407"/>
        <v>23237</v>
      </c>
      <c r="O132" s="73"/>
      <c r="P132" s="73">
        <f t="shared" ref="P132:T132" si="1408">SUM(P127:P131)</f>
        <v>5873</v>
      </c>
      <c r="Q132" s="73">
        <f t="shared" si="1408"/>
        <v>6467</v>
      </c>
      <c r="R132" s="73">
        <f t="shared" si="1408"/>
        <v>5289</v>
      </c>
      <c r="S132" s="73">
        <f t="shared" si="1408"/>
        <v>5020</v>
      </c>
      <c r="T132" s="73">
        <f t="shared" si="1408"/>
        <v>22649</v>
      </c>
      <c r="U132" s="73"/>
      <c r="V132" s="73">
        <f t="shared" ref="V132:Z132" si="1409">SUM(V127:V131)</f>
        <v>4306</v>
      </c>
      <c r="W132" s="73">
        <f t="shared" si="1409"/>
        <v>4048</v>
      </c>
      <c r="X132" s="73">
        <f t="shared" si="1409"/>
        <v>4056</v>
      </c>
      <c r="Y132" s="73">
        <f t="shared" si="1409"/>
        <v>4508</v>
      </c>
      <c r="Z132" s="73">
        <f t="shared" si="1409"/>
        <v>16918</v>
      </c>
      <c r="AA132" s="73"/>
      <c r="AB132" s="200">
        <f t="shared" ref="AB132" si="1410">SUM(AB127:AB131)</f>
        <v>5459</v>
      </c>
      <c r="AC132" s="200">
        <f t="shared" ref="AC132" si="1411">SUM(AC127:AC131)</f>
        <v>5656</v>
      </c>
      <c r="AD132" s="200">
        <f t="shared" ref="AD132" si="1412">SUM(AD127:AD131)</f>
        <v>5255</v>
      </c>
      <c r="AE132" s="200">
        <f t="shared" ref="AE132" si="1413">SUM(AE127:AE131)</f>
        <v>5736</v>
      </c>
      <c r="AF132" s="200">
        <f t="shared" ref="AF132" si="1414">SUM(AF127:AF131)</f>
        <v>22106</v>
      </c>
      <c r="AG132" s="46"/>
      <c r="AH132" s="200">
        <f t="shared" ref="AH132" si="1415">SUM(AH127:AH131)</f>
        <v>6115</v>
      </c>
      <c r="AI132" s="200">
        <f t="shared" ref="AI132" si="1416">SUM(AI127:AI131)</f>
        <v>6033</v>
      </c>
      <c r="AJ132" s="200">
        <f t="shared" ref="AJ132" si="1417">SUM(AJ127:AJ131)</f>
        <v>6276</v>
      </c>
      <c r="AK132" s="200">
        <f t="shared" ref="AK132" si="1418">SUM(AK127:AK131)</f>
        <v>6845</v>
      </c>
      <c r="AL132" s="200">
        <f t="shared" ref="AL132" si="1419">SUM(AL127:AL131)</f>
        <v>25269</v>
      </c>
      <c r="AM132" s="46"/>
      <c r="AN132" s="200">
        <f t="shared" ref="AN132" si="1420">SUM(AN127:AN131)</f>
        <v>6746</v>
      </c>
      <c r="AO132" s="200">
        <f t="shared" ref="AO132" si="1421">SUM(AO127:AO131)</f>
        <v>7154</v>
      </c>
      <c r="AP132" s="200">
        <f t="shared" ref="AP132" si="1422">SUM(AP127:AP131)</f>
        <v>6999</v>
      </c>
      <c r="AQ132" s="200">
        <f t="shared" ref="AQ132" si="1423">SUM(AQ127:AQ131)</f>
        <v>6519</v>
      </c>
      <c r="AR132" s="200">
        <f t="shared" ref="AR132" si="1424">SUM(AR127:AR131)</f>
        <v>27418</v>
      </c>
      <c r="AS132" s="202"/>
      <c r="AT132" s="200">
        <f>SUM(AT127:AT131)</f>
        <v>6424</v>
      </c>
      <c r="AU132" s="200">
        <f t="shared" ref="AU132:AX132" si="1425">SUM(AU127:AU131)</f>
        <v>6683</v>
      </c>
      <c r="AV132" s="311">
        <f t="shared" si="1425"/>
        <v>6345</v>
      </c>
      <c r="AW132" s="73">
        <f t="shared" si="1425"/>
        <v>6040.3</v>
      </c>
      <c r="AX132" s="73">
        <f t="shared" si="1425"/>
        <v>25492.3</v>
      </c>
      <c r="AY132" s="46"/>
      <c r="AZ132" s="73">
        <f t="shared" ref="AZ132:BD132" si="1426">SUM(AZ127:AZ131)</f>
        <v>5859.8</v>
      </c>
      <c r="BA132" s="73">
        <f t="shared" si="1426"/>
        <v>6049.25</v>
      </c>
      <c r="BB132" s="73">
        <f t="shared" si="1426"/>
        <v>5988.5</v>
      </c>
      <c r="BC132" s="73">
        <f t="shared" si="1426"/>
        <v>5870.32</v>
      </c>
      <c r="BD132" s="73">
        <f t="shared" si="1426"/>
        <v>23767.87</v>
      </c>
      <c r="BE132" s="46"/>
      <c r="BF132" s="73">
        <f t="shared" ref="BF132:BJ132" si="1427">SUM(BF127:BF131)</f>
        <v>6151.5400000000009</v>
      </c>
      <c r="BG132" s="73">
        <f t="shared" si="1427"/>
        <v>6350.4625000000005</v>
      </c>
      <c r="BH132" s="73">
        <f t="shared" si="1427"/>
        <v>6286.6750000000002</v>
      </c>
      <c r="BI132" s="73">
        <f t="shared" si="1427"/>
        <v>6162.5860000000002</v>
      </c>
      <c r="BJ132" s="73">
        <f t="shared" si="1427"/>
        <v>24951.263500000001</v>
      </c>
      <c r="BK132" s="46"/>
      <c r="BL132" s="73">
        <f t="shared" ref="BL132:BP132" si="1428">SUM(BL127:BL131)</f>
        <v>6360.379750000001</v>
      </c>
      <c r="BM132" s="73">
        <f t="shared" si="1428"/>
        <v>6566.0873499999998</v>
      </c>
      <c r="BN132" s="73">
        <f t="shared" si="1428"/>
        <v>6500.9427250000008</v>
      </c>
      <c r="BO132" s="73">
        <f t="shared" si="1428"/>
        <v>6373.2283900000002</v>
      </c>
      <c r="BP132" s="73">
        <f t="shared" si="1428"/>
        <v>25800.638215000003</v>
      </c>
      <c r="BQ132" s="46"/>
      <c r="BR132" s="73">
        <f t="shared" ref="BR132:BV132" si="1429">SUM(BR127:BR131)</f>
        <v>6576.4864344999996</v>
      </c>
      <c r="BS132" s="73">
        <f t="shared" si="1429"/>
        <v>6789.2153845000003</v>
      </c>
      <c r="BT132" s="73">
        <f t="shared" si="1429"/>
        <v>6722.6951807500009</v>
      </c>
      <c r="BU132" s="73">
        <f t="shared" si="1429"/>
        <v>6591.2506441000005</v>
      </c>
      <c r="BV132" s="73">
        <f t="shared" si="1429"/>
        <v>26679.647643850003</v>
      </c>
      <c r="BW132" s="46"/>
      <c r="BX132" s="73">
        <f t="shared" ref="BX132:CB132" si="1430">SUM(BX127:BX131)</f>
        <v>6800.1181312150002</v>
      </c>
      <c r="BY132" s="73">
        <f t="shared" si="1430"/>
        <v>7020.1130765950002</v>
      </c>
      <c r="BZ132" s="73">
        <f t="shared" si="1430"/>
        <v>6952.1991771325011</v>
      </c>
      <c r="CA132" s="73">
        <f t="shared" si="1430"/>
        <v>6816.9165819190002</v>
      </c>
      <c r="CB132" s="73">
        <f t="shared" si="1430"/>
        <v>27589.3469668615</v>
      </c>
      <c r="CC132" s="46"/>
      <c r="CD132" s="73">
        <f t="shared" ref="CD132:CH132" si="1431">SUM(CD127:CD131)</f>
        <v>7031.5422629786517</v>
      </c>
      <c r="CE132" s="73">
        <f t="shared" si="1431"/>
        <v>7259.0565486752512</v>
      </c>
      <c r="CF132" s="73">
        <f t="shared" si="1431"/>
        <v>7189.7312190448765</v>
      </c>
      <c r="CG132" s="73">
        <f t="shared" si="1431"/>
        <v>7050.4996346124108</v>
      </c>
      <c r="CH132" s="73">
        <f t="shared" si="1431"/>
        <v>28530.829665311187</v>
      </c>
      <c r="CI132" s="46"/>
      <c r="CJ132" s="73">
        <f t="shared" ref="CJ132:CN132" si="1432">SUM(CJ127:CJ131)</f>
        <v>7271.0359422082993</v>
      </c>
      <c r="CK132" s="73">
        <f t="shared" si="1432"/>
        <v>7506.3319281092045</v>
      </c>
      <c r="CL132" s="73">
        <f t="shared" si="1432"/>
        <v>7435.5778648785599</v>
      </c>
      <c r="CM132" s="73">
        <f t="shared" si="1432"/>
        <v>7292.2832010960574</v>
      </c>
      <c r="CN132" s="73">
        <f t="shared" si="1432"/>
        <v>29505.228936292122</v>
      </c>
    </row>
    <row r="133" spans="1:93" ht="18" customHeight="1" x14ac:dyDescent="0.25">
      <c r="B133" s="14" t="s">
        <v>139</v>
      </c>
      <c r="J133" s="67">
        <f>J132/D132-1</f>
        <v>0.38463414634146331</v>
      </c>
      <c r="K133" s="67">
        <f>K132/E132-1</f>
        <v>0.24460576729179273</v>
      </c>
      <c r="L133" s="67">
        <f>L132/F132-1</f>
        <v>0.16311911584117889</v>
      </c>
      <c r="M133" s="67">
        <f>M132/G132-1</f>
        <v>7.7431539187913234E-2</v>
      </c>
      <c r="N133" s="67">
        <f>N132/H132-1</f>
        <v>0.2077442827442828</v>
      </c>
      <c r="O133" s="120"/>
      <c r="P133" s="67">
        <f>P132/J132-1</f>
        <v>3.4525277435265123E-2</v>
      </c>
      <c r="Q133" s="67">
        <f>Q132/K132-1</f>
        <v>4.7796500324044144E-2</v>
      </c>
      <c r="R133" s="67">
        <f>R132/L132-1</f>
        <v>-6.9329579447474976E-2</v>
      </c>
      <c r="S133" s="67">
        <f>S132/M132-1</f>
        <v>-0.12007011393514466</v>
      </c>
      <c r="T133" s="67">
        <f>T132/N132-1</f>
        <v>-2.530447131729574E-2</v>
      </c>
      <c r="U133" s="120"/>
      <c r="V133" s="67">
        <f>V132/P132-1</f>
        <v>-0.26681423463306653</v>
      </c>
      <c r="W133" s="67">
        <f>W132/Q132-1</f>
        <v>-0.37405288387196534</v>
      </c>
      <c r="X133" s="67">
        <f>X132/R132-1</f>
        <v>-0.23312535450935901</v>
      </c>
      <c r="Y133" s="67">
        <f>Y132/S132-1</f>
        <v>-0.10199203187250994</v>
      </c>
      <c r="Z133" s="67">
        <f>Z132/T132-1</f>
        <v>-0.25303545410393391</v>
      </c>
      <c r="AA133" s="120"/>
      <c r="AB133" s="67">
        <f>AB132/V132-1</f>
        <v>0.26776590803529965</v>
      </c>
      <c r="AC133" s="67">
        <f>AC132/W132-1</f>
        <v>0.3972332015810276</v>
      </c>
      <c r="AD133" s="67">
        <f>AD132/X132-1</f>
        <v>0.29561143984220917</v>
      </c>
      <c r="AE133" s="67">
        <f>AE132/Y132-1</f>
        <v>0.27240461401952087</v>
      </c>
      <c r="AF133" s="67">
        <f>AF132/Z132-1</f>
        <v>0.30665563305355237</v>
      </c>
      <c r="AH133" s="67">
        <f>AH132/AB132-1</f>
        <v>0.12016852903462172</v>
      </c>
      <c r="AI133" s="67">
        <f>AI132/AC132-1</f>
        <v>6.6654879773691667E-2</v>
      </c>
      <c r="AJ133" s="67">
        <f>AJ132/AD132-1</f>
        <v>0.19429115128449093</v>
      </c>
      <c r="AK133" s="67">
        <f>AK132/AE132-1</f>
        <v>0.1933403068340307</v>
      </c>
      <c r="AL133" s="67">
        <f>AL132/AF132-1</f>
        <v>0.14308332579390215</v>
      </c>
      <c r="AN133" s="67">
        <f>AN132/AH132-1</f>
        <v>0.10318887980376124</v>
      </c>
      <c r="AO133" s="239">
        <f>AO132/AI132-1</f>
        <v>0.18581137079396659</v>
      </c>
      <c r="AP133" s="67">
        <f>AP132/AJ132-1</f>
        <v>0.11520076481835573</v>
      </c>
      <c r="AQ133" s="239">
        <f>AQ132/AK132-1</f>
        <v>-4.76260043827611E-2</v>
      </c>
      <c r="AR133" s="239">
        <f>AR132/AL132-1</f>
        <v>8.5044916696347395E-2</v>
      </c>
      <c r="AS133" s="120"/>
      <c r="AT133" s="67">
        <f>AT132/AN132-1</f>
        <v>-4.7731989327008617E-2</v>
      </c>
      <c r="AU133" s="239">
        <f>AU132/AO132-1</f>
        <v>-6.5837293821638276E-2</v>
      </c>
      <c r="AV133" s="264">
        <f>AV132/AP132-1</f>
        <v>-9.3441920274324852E-2</v>
      </c>
      <c r="AW133" s="67">
        <f>AW132/AQ132-1</f>
        <v>-7.3431507899984649E-2</v>
      </c>
      <c r="AX133" s="67">
        <f>AX132/AR132-1</f>
        <v>-7.023488219417906E-2</v>
      </c>
      <c r="AZ133" s="67">
        <f>AZ132/AT132-1</f>
        <v>-8.7826899128268909E-2</v>
      </c>
      <c r="BA133" s="67">
        <f>BA132/AU132-1</f>
        <v>-9.4830166093071933E-2</v>
      </c>
      <c r="BB133" s="67">
        <f>BB132/AV132-1</f>
        <v>-5.6185973207249829E-2</v>
      </c>
      <c r="BC133" s="67">
        <f>BC132/AW132-1</f>
        <v>-2.8140986374848964E-2</v>
      </c>
      <c r="BD133" s="67">
        <f>BD132/AX132-1</f>
        <v>-6.7645132059484636E-2</v>
      </c>
      <c r="BF133" s="67">
        <f>BF132/AZ132-1</f>
        <v>4.9786682139322247E-2</v>
      </c>
      <c r="BG133" s="67">
        <f>BG132/BA132-1</f>
        <v>4.9793362813572051E-2</v>
      </c>
      <c r="BH133" s="67">
        <f>BH132/BB132-1</f>
        <v>4.9791266594305883E-2</v>
      </c>
      <c r="BI133" s="67">
        <f>BI132/BC132-1</f>
        <v>4.9787064418975513E-2</v>
      </c>
      <c r="BJ133" s="67">
        <f>BJ132/BD132-1</f>
        <v>4.9789631969545445E-2</v>
      </c>
      <c r="BL133" s="67">
        <f>BL132/BF132-1</f>
        <v>3.394918183089124E-2</v>
      </c>
      <c r="BM133" s="67">
        <f>BM132/BG132-1</f>
        <v>3.3954196249485591E-2</v>
      </c>
      <c r="BN133" s="67">
        <f>BN132/BH132-1</f>
        <v>3.4082837907160934E-2</v>
      </c>
      <c r="BO133" s="67">
        <f>BO132/BI132-1</f>
        <v>3.4180843885992074E-2</v>
      </c>
      <c r="BP133" s="67">
        <f>BP132/BJ132-1</f>
        <v>3.4041350851831575E-2</v>
      </c>
      <c r="BR133" s="67">
        <f>BR132/BL132-1</f>
        <v>3.3977009706063432E-2</v>
      </c>
      <c r="BS133" s="67">
        <f>BS132/BM132-1</f>
        <v>3.3981886412156825E-2</v>
      </c>
      <c r="BT133" s="67">
        <f>BT132/BN132-1</f>
        <v>3.4110815174117626E-2</v>
      </c>
      <c r="BU133" s="67">
        <f>BU132/BO132-1</f>
        <v>3.4209075959382051E-2</v>
      </c>
      <c r="BV133" s="67">
        <f>BV132/BP132-1</f>
        <v>3.4069290128604601E-2</v>
      </c>
      <c r="BX133" s="67">
        <f>BX132/BR132-1</f>
        <v>3.4004737779407046E-2</v>
      </c>
      <c r="BY133" s="67">
        <f>BY132/BS132-1</f>
        <v>3.4009481069365854E-2</v>
      </c>
      <c r="BZ133" s="67">
        <f>BZ132/BT132-1</f>
        <v>3.4138688459305788E-2</v>
      </c>
      <c r="CA133" s="67">
        <f>CA132/BU132-1</f>
        <v>3.4237195640708817E-2</v>
      </c>
      <c r="CB133" s="67">
        <f>CB132/BV132-1</f>
        <v>3.4097126587097071E-2</v>
      </c>
      <c r="CD133" s="67">
        <f>CD132/BX132-1</f>
        <v>3.4032369335075474E-2</v>
      </c>
      <c r="CE133" s="67">
        <f>CE132/BY132-1</f>
        <v>3.4036983375223206E-2</v>
      </c>
      <c r="CF133" s="67">
        <f>CF132/BZ132-1</f>
        <v>3.4166460980243007E-2</v>
      </c>
      <c r="CG133" s="67">
        <f>CG132/CA132-1</f>
        <v>3.4265206253654368E-2</v>
      </c>
      <c r="CH133" s="67">
        <f>CH132/CB132-1</f>
        <v>3.4124863469241706E-2</v>
      </c>
      <c r="CJ133" s="67">
        <f>CJ132/CD132-1</f>
        <v>3.4059907524212951E-2</v>
      </c>
      <c r="CK133" s="67">
        <f>CK132/CE132-1</f>
        <v>3.4064396354520854E-2</v>
      </c>
      <c r="CL133" s="67">
        <f>CL132/CF132-1</f>
        <v>3.4194135822833038E-2</v>
      </c>
      <c r="CM133" s="67">
        <f>CM132/CG132-1</f>
        <v>3.4293110987011488E-2</v>
      </c>
      <c r="CN133" s="67">
        <f>CN132/CH132-1</f>
        <v>3.4152503884794072E-2</v>
      </c>
    </row>
    <row r="134" spans="1:93" ht="18" customHeight="1" x14ac:dyDescent="0.25">
      <c r="B134" s="14" t="s">
        <v>140</v>
      </c>
      <c r="J134" s="123">
        <f>J132-D132</f>
        <v>1577</v>
      </c>
      <c r="K134" s="123">
        <f>K132-E132</f>
        <v>1213</v>
      </c>
      <c r="L134" s="123">
        <f>L132-F132</f>
        <v>797</v>
      </c>
      <c r="M134" s="123">
        <f>M132-G132</f>
        <v>410</v>
      </c>
      <c r="N134" s="123">
        <f>N132-H132</f>
        <v>3997</v>
      </c>
      <c r="O134" s="120"/>
      <c r="P134" s="123">
        <f>P132-J132</f>
        <v>196</v>
      </c>
      <c r="Q134" s="123">
        <f>Q132-K132</f>
        <v>295</v>
      </c>
      <c r="R134" s="123">
        <f>R132-L132</f>
        <v>-394</v>
      </c>
      <c r="S134" s="123">
        <f>S132-M132</f>
        <v>-685</v>
      </c>
      <c r="T134" s="123">
        <f>T132-N132</f>
        <v>-588</v>
      </c>
      <c r="U134" s="120"/>
      <c r="V134" s="123">
        <f>V132-P132</f>
        <v>-1567</v>
      </c>
      <c r="W134" s="123">
        <f>W132-Q132</f>
        <v>-2419</v>
      </c>
      <c r="X134" s="123">
        <f>X132-R132</f>
        <v>-1233</v>
      </c>
      <c r="Y134" s="123">
        <f>Y132-S132</f>
        <v>-512</v>
      </c>
      <c r="Z134" s="123">
        <f>Z132-T132</f>
        <v>-5731</v>
      </c>
      <c r="AA134" s="120"/>
      <c r="AB134" s="123">
        <f>AB132-V132</f>
        <v>1153</v>
      </c>
      <c r="AC134" s="123">
        <f>AC132-W132</f>
        <v>1608</v>
      </c>
      <c r="AD134" s="123">
        <f>AD132-X132</f>
        <v>1199</v>
      </c>
      <c r="AE134" s="123">
        <f>AE132-Y132</f>
        <v>1228</v>
      </c>
      <c r="AF134" s="123">
        <f>AF132-Z132</f>
        <v>5188</v>
      </c>
      <c r="AH134" s="123">
        <f>AH132-AB132</f>
        <v>656</v>
      </c>
      <c r="AI134" s="123">
        <f>AI132-AC132</f>
        <v>377</v>
      </c>
      <c r="AJ134" s="123">
        <f>AJ132-AD132</f>
        <v>1021</v>
      </c>
      <c r="AK134" s="123">
        <f>AK132-AE132</f>
        <v>1109</v>
      </c>
      <c r="AL134" s="123">
        <f>AL132-AF132</f>
        <v>3163</v>
      </c>
      <c r="AN134" s="123">
        <f>AN132-AH132</f>
        <v>631</v>
      </c>
      <c r="AO134" s="240">
        <f>AO132-AI132</f>
        <v>1121</v>
      </c>
      <c r="AP134" s="123">
        <f>AP132-AJ132</f>
        <v>723</v>
      </c>
      <c r="AQ134" s="240">
        <f>AQ132-AK132</f>
        <v>-326</v>
      </c>
      <c r="AR134" s="240">
        <f>AR132-AL132</f>
        <v>2149</v>
      </c>
      <c r="AS134" s="120"/>
      <c r="AT134" s="123">
        <f>AT132-AN132</f>
        <v>-322</v>
      </c>
      <c r="AU134" s="240">
        <f>AU132-AO132</f>
        <v>-471</v>
      </c>
      <c r="AV134" s="303">
        <f>AV132-AP132</f>
        <v>-654</v>
      </c>
      <c r="AW134" s="123">
        <f>AW132-AQ132</f>
        <v>-478.69999999999982</v>
      </c>
      <c r="AX134" s="123">
        <f>AX132-AR132</f>
        <v>-1925.7000000000007</v>
      </c>
      <c r="AZ134" s="123">
        <f>AZ132-AT132</f>
        <v>-564.19999999999982</v>
      </c>
      <c r="BA134" s="123">
        <f>BA132-AU132</f>
        <v>-633.75</v>
      </c>
      <c r="BB134" s="123">
        <f>BB132-AV132</f>
        <v>-356.5</v>
      </c>
      <c r="BC134" s="123">
        <f>BC132-AW132</f>
        <v>-169.98000000000047</v>
      </c>
      <c r="BD134" s="123">
        <f>BD132-AX132</f>
        <v>-1724.4300000000003</v>
      </c>
      <c r="BF134" s="123">
        <f>BF132-AZ132</f>
        <v>291.74000000000069</v>
      </c>
      <c r="BG134" s="123">
        <f>BG132-BA132</f>
        <v>301.21250000000055</v>
      </c>
      <c r="BH134" s="123">
        <f>BH132-BB132</f>
        <v>298.17500000000018</v>
      </c>
      <c r="BI134" s="123">
        <f>BI132-BC132</f>
        <v>292.26600000000053</v>
      </c>
      <c r="BJ134" s="123">
        <f>BJ132-BD132</f>
        <v>1183.3935000000019</v>
      </c>
      <c r="BL134" s="123">
        <f>BL132-BF132</f>
        <v>208.83975000000009</v>
      </c>
      <c r="BM134" s="123">
        <f>BM132-BG132</f>
        <v>215.62484999999924</v>
      </c>
      <c r="BN134" s="123">
        <f>BN132-BH132</f>
        <v>214.26772500000061</v>
      </c>
      <c r="BO134" s="123">
        <f>BO132-BI132</f>
        <v>210.64238999999998</v>
      </c>
      <c r="BP134" s="123">
        <f>BP132-BJ132</f>
        <v>849.37471500000174</v>
      </c>
      <c r="BR134" s="123">
        <f>BR132-BL132</f>
        <v>216.10668449999866</v>
      </c>
      <c r="BS134" s="123">
        <f>BS132-BM132</f>
        <v>223.12803450000047</v>
      </c>
      <c r="BT134" s="123">
        <f>BT132-BN132</f>
        <v>221.75245575000008</v>
      </c>
      <c r="BU134" s="123">
        <f>BU132-BO132</f>
        <v>218.02225410000028</v>
      </c>
      <c r="BV134" s="123">
        <f>BV132-BP132</f>
        <v>879.0094288500004</v>
      </c>
      <c r="BX134" s="123">
        <f>BX132-BR132</f>
        <v>223.63169671500054</v>
      </c>
      <c r="BY134" s="123">
        <f>BY132-BS132</f>
        <v>230.89769209499991</v>
      </c>
      <c r="BZ134" s="123">
        <f>BZ132-BT132</f>
        <v>229.50399638250019</v>
      </c>
      <c r="CA134" s="123">
        <f>CA132-BU132</f>
        <v>225.66593781899974</v>
      </c>
      <c r="CB134" s="123">
        <f>CB132-BV132</f>
        <v>909.69932301149674</v>
      </c>
      <c r="CD134" s="123">
        <f>CD132-BX132</f>
        <v>231.42413176365153</v>
      </c>
      <c r="CE134" s="123">
        <f>CE132-BY132</f>
        <v>238.94347208025101</v>
      </c>
      <c r="CF134" s="123">
        <f>CF132-BZ132</f>
        <v>237.53204191237546</v>
      </c>
      <c r="CG134" s="123">
        <f>CG132-CA132</f>
        <v>233.58305269341054</v>
      </c>
      <c r="CH134" s="123">
        <f>CH132-CB132</f>
        <v>941.48269844968672</v>
      </c>
      <c r="CJ134" s="123">
        <f>CJ132-CD132</f>
        <v>239.49367922964757</v>
      </c>
      <c r="CK134" s="123">
        <f>CK132-CE132</f>
        <v>247.27537943395328</v>
      </c>
      <c r="CL134" s="123">
        <f>CL132-CF132</f>
        <v>245.8466458336834</v>
      </c>
      <c r="CM134" s="123">
        <f>CM132-CG132</f>
        <v>241.78356648364661</v>
      </c>
      <c r="CN134" s="123">
        <f>CN132-CH132</f>
        <v>974.3992709809354</v>
      </c>
    </row>
    <row r="135" spans="1:93" ht="18" customHeight="1" x14ac:dyDescent="0.25">
      <c r="B135" s="14" t="s">
        <v>149</v>
      </c>
      <c r="J135" s="9">
        <f>J132/G132-1</f>
        <v>7.2143531633616531E-2</v>
      </c>
      <c r="K135" s="9">
        <f>K132/J132-1</f>
        <v>8.719394046151141E-2</v>
      </c>
      <c r="L135" s="9">
        <f>L132/K132-1</f>
        <v>-7.9228775113415417E-2</v>
      </c>
      <c r="M135" s="9">
        <f>M132/L132-1</f>
        <v>3.8711947914833456E-3</v>
      </c>
      <c r="N135" s="9">
        <f>AVERAGE(J135:M135)</f>
        <v>2.0994972943298967E-2</v>
      </c>
      <c r="O135" s="120"/>
      <c r="P135" s="9">
        <f>P132/M132-1</f>
        <v>2.9447852760736248E-2</v>
      </c>
      <c r="Q135" s="9">
        <f>Q132/P132-1</f>
        <v>0.10114081389409169</v>
      </c>
      <c r="R135" s="9">
        <f>R132/Q132-1</f>
        <v>-0.18215555899180458</v>
      </c>
      <c r="S135" s="9">
        <f>S132/R132-1</f>
        <v>-5.0860276044620956E-2</v>
      </c>
      <c r="T135" s="9">
        <f>AVERAGE(P135:S135)</f>
        <v>-2.56067920953994E-2</v>
      </c>
      <c r="U135" s="120"/>
      <c r="V135" s="9">
        <f>V132/S132-1</f>
        <v>-0.14223107569721116</v>
      </c>
      <c r="W135" s="9">
        <f>W132/V132-1</f>
        <v>-5.9916395726892668E-2</v>
      </c>
      <c r="X135" s="9">
        <f>X132/W132-1</f>
        <v>1.9762845849802257E-3</v>
      </c>
      <c r="Y135" s="9">
        <f>Y132/X132-1</f>
        <v>0.11143984220907299</v>
      </c>
      <c r="Z135" s="9">
        <f>AVERAGE(V135:Y135)</f>
        <v>-2.2182836157512653E-2</v>
      </c>
      <c r="AA135" s="120"/>
      <c r="AB135" s="9">
        <f>AB132/Y132-1</f>
        <v>0.21095829636202312</v>
      </c>
      <c r="AC135" s="9">
        <f>AC132/AB132-1</f>
        <v>3.6087195457043419E-2</v>
      </c>
      <c r="AD135" s="9">
        <f>AD132/AC132-1</f>
        <v>-7.0898161244695945E-2</v>
      </c>
      <c r="AE135" s="9">
        <f>AE132/AD132-1</f>
        <v>9.1531874405328173E-2</v>
      </c>
      <c r="AF135" s="9">
        <f>AVERAGE(AB135:AE135)</f>
        <v>6.6919801244924693E-2</v>
      </c>
      <c r="AH135" s="9">
        <f>AH132/AE132-1</f>
        <v>6.6073919107392021E-2</v>
      </c>
      <c r="AI135" s="9">
        <f>AI132/AH132-1</f>
        <v>-1.3409648405560137E-2</v>
      </c>
      <c r="AJ135" s="9">
        <f>AJ132/AI132-1</f>
        <v>4.0278468423669889E-2</v>
      </c>
      <c r="AK135" s="9">
        <f>AK132/AJ132-1</f>
        <v>9.0662842574888547E-2</v>
      </c>
      <c r="AL135" s="9">
        <f>AVERAGE(AH135:AK135)</f>
        <v>4.590139542509758E-2</v>
      </c>
      <c r="AN135" s="9">
        <f>AN132/AK132-1</f>
        <v>-1.4463111760409042E-2</v>
      </c>
      <c r="AO135" s="241">
        <f>AO132/AN132-1</f>
        <v>6.0480284613104063E-2</v>
      </c>
      <c r="AP135" s="9">
        <f>AP132/AO132-1</f>
        <v>-2.1666200726866092E-2</v>
      </c>
      <c r="AQ135" s="241">
        <f>AQ132/AP132-1</f>
        <v>-6.8581225889412734E-2</v>
      </c>
      <c r="AR135" s="241">
        <f>AVERAGE(AN135:AQ135)</f>
        <v>-1.1057563440895951E-2</v>
      </c>
      <c r="AS135" s="120"/>
      <c r="AT135" s="9">
        <f>AT132/AQ132-1</f>
        <v>-1.4572787237306373E-2</v>
      </c>
      <c r="AU135" s="241">
        <f>AU132/AT132-1</f>
        <v>4.0317559153175697E-2</v>
      </c>
      <c r="AV135" s="109">
        <f>AV132/AU132-1</f>
        <v>-5.057608858297169E-2</v>
      </c>
      <c r="AW135" s="9">
        <f>AW132/AV132-1</f>
        <v>-4.8022064617809224E-2</v>
      </c>
      <c r="AX135" s="9">
        <f>AVERAGE(AT135:AW135)</f>
        <v>-1.8213345321227897E-2</v>
      </c>
      <c r="AZ135" s="9">
        <f>AZ132/AW132-1</f>
        <v>-2.9882621724086511E-2</v>
      </c>
      <c r="BA135" s="9">
        <f>BA132/AZ132-1</f>
        <v>3.2330454964333288E-2</v>
      </c>
      <c r="BB135" s="9">
        <f>BB132/BA132-1</f>
        <v>-1.00425672604042E-2</v>
      </c>
      <c r="BC135" s="9">
        <f>BC132/BB132-1</f>
        <v>-1.9734491107956997E-2</v>
      </c>
      <c r="BD135" s="9">
        <f>AVERAGE(AZ135:BC135)</f>
        <v>-6.8323062820286051E-3</v>
      </c>
      <c r="BF135" s="9">
        <f>BF132/BC132-1</f>
        <v>4.7905395276578E-2</v>
      </c>
      <c r="BG135" s="9">
        <f>BG132/BF132-1</f>
        <v>3.2337024549950133E-2</v>
      </c>
      <c r="BH135" s="9">
        <f>BH132/BG132-1</f>
        <v>-1.0044543999748079E-2</v>
      </c>
      <c r="BI135" s="9">
        <f>BI132/BH132-1</f>
        <v>-1.9738414980892127E-2</v>
      </c>
      <c r="BJ135" s="9">
        <f>AVERAGE(BF135:BI135)</f>
        <v>1.2614865211471982E-2</v>
      </c>
      <c r="BL135" s="9">
        <f>BL132/BI132-1</f>
        <v>3.209590097403936E-2</v>
      </c>
      <c r="BM135" s="9">
        <f>BM132/BL132-1</f>
        <v>3.2342031149948047E-2</v>
      </c>
      <c r="BN135" s="9">
        <f>BN132/BM132-1</f>
        <v>-9.9213765409318366E-3</v>
      </c>
      <c r="BO135" s="9">
        <f>BO132/BN132-1</f>
        <v>-1.9645509951789375E-2</v>
      </c>
      <c r="BP135" s="9">
        <f>AVERAGE(BL135:BO135)</f>
        <v>8.7177614078165488E-3</v>
      </c>
      <c r="BR135" s="9">
        <f>BR132/BO132-1</f>
        <v>3.189247773058379E-2</v>
      </c>
      <c r="BS135" s="9">
        <f>BS132/BR132-1</f>
        <v>3.2346900144738733E-2</v>
      </c>
      <c r="BT135" s="9">
        <f>BT132/BS132-1</f>
        <v>-9.7979221430899432E-3</v>
      </c>
      <c r="BU135" s="9">
        <f>BU132/BT132-1</f>
        <v>-1.95523570704772E-2</v>
      </c>
      <c r="BV135" s="9">
        <f>AVERAGE(BR135:BU135)</f>
        <v>8.722274665438845E-3</v>
      </c>
      <c r="BX135" s="9">
        <f>BX132/BU132-1</f>
        <v>3.1688597262184537E-2</v>
      </c>
      <c r="BY135" s="9">
        <f>BY132/BX132-1</f>
        <v>3.235163582969891E-2</v>
      </c>
      <c r="BZ135" s="9">
        <f>BZ132/BY132-1</f>
        <v>-9.6741888231007822E-3</v>
      </c>
      <c r="CA135" s="9">
        <f>CA132/BZ132-1</f>
        <v>-1.945896424522453E-2</v>
      </c>
      <c r="CB135" s="9">
        <f>AVERAGE(BX135:CA135)</f>
        <v>8.7267700058895337E-3</v>
      </c>
      <c r="CD135" s="9">
        <f>CD132/CA132-1</f>
        <v>3.1484275695689012E-2</v>
      </c>
      <c r="CE135" s="9">
        <f>CE132/CD132-1</f>
        <v>3.2356242370108701E-2</v>
      </c>
      <c r="CF135" s="9">
        <f>CF132/CE132-1</f>
        <v>-9.5501845405827623E-3</v>
      </c>
      <c r="CG135" s="9">
        <f>CG132/CF132-1</f>
        <v>-1.9365339286071648E-2</v>
      </c>
      <c r="CH135" s="9">
        <f>AVERAGE(CD135:CG135)</f>
        <v>8.7312485597858258E-3</v>
      </c>
      <c r="CJ135" s="9">
        <f>CJ132/CG132-1</f>
        <v>3.1279528973128246E-2</v>
      </c>
      <c r="CK135" s="9">
        <f>CK132/CJ132-1</f>
        <v>3.2360723804845115E-2</v>
      </c>
      <c r="CL135" s="9">
        <f>CL132/CK132-1</f>
        <v>-9.4259172000760172E-3</v>
      </c>
      <c r="CM135" s="9">
        <f>CM132/CL132-1</f>
        <v>-1.9271489907912165E-2</v>
      </c>
      <c r="CN135" s="9">
        <f>AVERAGE(CJ135:CM135)</f>
        <v>8.7357114174962947E-3</v>
      </c>
    </row>
    <row r="136" spans="1:93" ht="18" customHeight="1" x14ac:dyDescent="0.25">
      <c r="B136" s="14" t="s">
        <v>146</v>
      </c>
      <c r="J136" s="125">
        <f>J132-G132</f>
        <v>382</v>
      </c>
      <c r="K136" s="125">
        <f>K132-J132</f>
        <v>495</v>
      </c>
      <c r="L136" s="125">
        <f>L132-K132</f>
        <v>-489</v>
      </c>
      <c r="M136" s="125">
        <f>M132-L132</f>
        <v>22</v>
      </c>
      <c r="N136" s="125">
        <f>AVERAGE(J136:M136)</f>
        <v>102.5</v>
      </c>
      <c r="O136" s="120"/>
      <c r="P136" s="125">
        <f>P132-M132</f>
        <v>168</v>
      </c>
      <c r="Q136" s="125">
        <f>Q132-P132</f>
        <v>594</v>
      </c>
      <c r="R136" s="125">
        <f>R132-Q132</f>
        <v>-1178</v>
      </c>
      <c r="S136" s="125">
        <f>S132-R132</f>
        <v>-269</v>
      </c>
      <c r="T136" s="125">
        <f>AVERAGE(P136:S136)</f>
        <v>-171.25</v>
      </c>
      <c r="U136" s="120"/>
      <c r="V136" s="125">
        <f>V132-S132</f>
        <v>-714</v>
      </c>
      <c r="W136" s="125">
        <f>W132-V132</f>
        <v>-258</v>
      </c>
      <c r="X136" s="125">
        <f>X132-W132</f>
        <v>8</v>
      </c>
      <c r="Y136" s="125">
        <f>Y132-X132</f>
        <v>452</v>
      </c>
      <c r="Z136" s="125">
        <f>AVERAGE(V136:Y136)</f>
        <v>-128</v>
      </c>
      <c r="AA136" s="120"/>
      <c r="AB136" s="125">
        <f>AB132-Y132</f>
        <v>951</v>
      </c>
      <c r="AC136" s="125">
        <f>AC132-AB132</f>
        <v>197</v>
      </c>
      <c r="AD136" s="125">
        <f>AD132-AC132</f>
        <v>-401</v>
      </c>
      <c r="AE136" s="125">
        <f>AE132-AD132</f>
        <v>481</v>
      </c>
      <c r="AF136" s="125">
        <f>AVERAGE(AB136:AE136)</f>
        <v>307</v>
      </c>
      <c r="AH136" s="125">
        <f>AH132-AE132</f>
        <v>379</v>
      </c>
      <c r="AI136" s="125">
        <f>AI132-AH132</f>
        <v>-82</v>
      </c>
      <c r="AJ136" s="125">
        <f>AJ132-AI132</f>
        <v>243</v>
      </c>
      <c r="AK136" s="125">
        <f>AK132-AJ132</f>
        <v>569</v>
      </c>
      <c r="AL136" s="125">
        <f>AVERAGE(AH136:AK136)</f>
        <v>277.25</v>
      </c>
      <c r="AN136" s="125">
        <f>AN132-AK132</f>
        <v>-99</v>
      </c>
      <c r="AO136" s="242">
        <f>AO132-AN132</f>
        <v>408</v>
      </c>
      <c r="AP136" s="125">
        <f>AP132-AO132</f>
        <v>-155</v>
      </c>
      <c r="AQ136" s="242">
        <f>AQ132-AP132</f>
        <v>-480</v>
      </c>
      <c r="AR136" s="242">
        <f>AVERAGE(AN136:AQ136)</f>
        <v>-81.5</v>
      </c>
      <c r="AS136" s="120"/>
      <c r="AT136" s="125">
        <f>AT132-AQ132</f>
        <v>-95</v>
      </c>
      <c r="AU136" s="242">
        <f>AU132-AT132</f>
        <v>259</v>
      </c>
      <c r="AV136" s="174">
        <f>AV132-AU132</f>
        <v>-338</v>
      </c>
      <c r="AW136" s="125">
        <f>AW132-AV132</f>
        <v>-304.69999999999982</v>
      </c>
      <c r="AX136" s="125">
        <f>AVERAGE(AT136:AW136)</f>
        <v>-119.67499999999995</v>
      </c>
      <c r="AZ136" s="125">
        <f>AZ132-AW132</f>
        <v>-180.5</v>
      </c>
      <c r="BA136" s="125">
        <f>BA132-AZ132</f>
        <v>189.44999999999982</v>
      </c>
      <c r="BB136" s="125">
        <f>BB132-BA132</f>
        <v>-60.75</v>
      </c>
      <c r="BC136" s="125">
        <f>BC132-BB132</f>
        <v>-118.18000000000029</v>
      </c>
      <c r="BD136" s="125">
        <f>AVERAGE(AZ136:BC136)</f>
        <v>-42.495000000000118</v>
      </c>
      <c r="BF136" s="125">
        <f>BF132-BC132</f>
        <v>281.22000000000116</v>
      </c>
      <c r="BG136" s="125">
        <f>BG132-BF132</f>
        <v>198.92249999999967</v>
      </c>
      <c r="BH136" s="125">
        <f>BH132-BG132</f>
        <v>-63.787500000000364</v>
      </c>
      <c r="BI136" s="125">
        <f>BI132-BH132</f>
        <v>-124.08899999999994</v>
      </c>
      <c r="BJ136" s="125">
        <f>AVERAGE(BF136:BI136)</f>
        <v>73.066500000000133</v>
      </c>
      <c r="BL136" s="125">
        <f>BL132-BI132</f>
        <v>197.79375000000073</v>
      </c>
      <c r="BM136" s="125">
        <f>BM132-BL132</f>
        <v>205.70759999999882</v>
      </c>
      <c r="BN136" s="125">
        <f>BN132-BM132</f>
        <v>-65.144624999998996</v>
      </c>
      <c r="BO136" s="125">
        <f>BO132-BN132</f>
        <v>-127.71433500000057</v>
      </c>
      <c r="BP136" s="125">
        <f>AVERAGE(BL136:BO136)</f>
        <v>52.660597499999994</v>
      </c>
      <c r="BR136" s="125">
        <f>BR132-BO132</f>
        <v>203.25804449999941</v>
      </c>
      <c r="BS136" s="125">
        <f>BS132-BR132</f>
        <v>212.72895000000062</v>
      </c>
      <c r="BT136" s="125">
        <f>BT132-BS132</f>
        <v>-66.520203749999382</v>
      </c>
      <c r="BU136" s="125">
        <f>BU132-BT132</f>
        <v>-131.44453665000037</v>
      </c>
      <c r="BV136" s="125">
        <f>AVERAGE(BR136:BU136)</f>
        <v>54.505563525000071</v>
      </c>
      <c r="BX136" s="125">
        <f>BX132-BU132</f>
        <v>208.86748711499968</v>
      </c>
      <c r="BY136" s="125">
        <f>BY132-BX132</f>
        <v>219.99494537999999</v>
      </c>
      <c r="BZ136" s="125">
        <f>BZ132-BY132</f>
        <v>-67.913899462499103</v>
      </c>
      <c r="CA136" s="125">
        <f>CA132-BZ132</f>
        <v>-135.28259521350083</v>
      </c>
      <c r="CB136" s="125">
        <f>AVERAGE(BX136:CA136)</f>
        <v>56.416484454749934</v>
      </c>
      <c r="CD136" s="125">
        <f>CD132-CA132</f>
        <v>214.62568105965147</v>
      </c>
      <c r="CE136" s="125">
        <f>CE132-CD132</f>
        <v>227.51428569659947</v>
      </c>
      <c r="CF136" s="125">
        <f>CF132-CE132</f>
        <v>-69.325329630374654</v>
      </c>
      <c r="CG136" s="125">
        <f>CG132-CF132</f>
        <v>-139.23158443246575</v>
      </c>
      <c r="CH136" s="125">
        <f>AVERAGE(CD136:CG136)</f>
        <v>58.395763173352634</v>
      </c>
      <c r="CJ136" s="125">
        <f>CJ132-CG132</f>
        <v>220.5363075958885</v>
      </c>
      <c r="CK136" s="125">
        <f>CK132-CJ132</f>
        <v>235.29598590090518</v>
      </c>
      <c r="CL136" s="125">
        <f>CL132-CK132</f>
        <v>-70.754063230644533</v>
      </c>
      <c r="CM136" s="125">
        <f>CM132-CL132</f>
        <v>-143.29466378250254</v>
      </c>
      <c r="CN136" s="125">
        <f>AVERAGE(CJ136:CM136)</f>
        <v>60.445891620911652</v>
      </c>
    </row>
    <row r="137" spans="1:93" s="137" customFormat="1" ht="18" customHeight="1" x14ac:dyDescent="0.25">
      <c r="B137" s="377"/>
      <c r="D137" s="378"/>
      <c r="E137" s="378"/>
      <c r="F137" s="378"/>
      <c r="G137" s="378"/>
      <c r="H137" s="378"/>
      <c r="J137" s="378"/>
      <c r="K137" s="378"/>
      <c r="L137" s="378"/>
      <c r="M137" s="378"/>
      <c r="N137" s="378"/>
      <c r="O137" s="205"/>
      <c r="P137" s="378"/>
      <c r="Q137" s="378"/>
      <c r="R137" s="378"/>
      <c r="S137" s="378"/>
      <c r="T137" s="378"/>
      <c r="U137" s="205"/>
      <c r="V137" s="378"/>
      <c r="W137" s="378"/>
      <c r="X137" s="378"/>
      <c r="Y137" s="378"/>
      <c r="Z137" s="378"/>
      <c r="AA137" s="205"/>
      <c r="AB137" s="378"/>
      <c r="AC137" s="378"/>
      <c r="AD137" s="378"/>
      <c r="AE137" s="378"/>
      <c r="AF137" s="378"/>
      <c r="AH137" s="378"/>
      <c r="AI137" s="378"/>
      <c r="AJ137" s="378"/>
      <c r="AK137" s="378"/>
      <c r="AL137" s="378"/>
      <c r="AN137" s="378"/>
      <c r="AO137" s="378"/>
      <c r="AP137" s="378"/>
      <c r="AQ137" s="378"/>
      <c r="AR137" s="378"/>
      <c r="AS137" s="205"/>
      <c r="AT137" s="378"/>
      <c r="AU137" s="378"/>
      <c r="AV137" s="391"/>
      <c r="AW137" s="378"/>
      <c r="AX137" s="378"/>
      <c r="AZ137" s="378"/>
      <c r="BA137" s="378"/>
      <c r="BB137" s="378"/>
      <c r="BC137" s="378"/>
      <c r="BD137" s="378"/>
      <c r="BF137" s="378"/>
      <c r="BG137" s="378"/>
      <c r="BH137" s="378"/>
      <c r="BI137" s="378"/>
      <c r="BJ137" s="378"/>
      <c r="BL137" s="378"/>
      <c r="BM137" s="378"/>
      <c r="BN137" s="378"/>
      <c r="BO137" s="378"/>
      <c r="BP137" s="378"/>
      <c r="BR137" s="378"/>
      <c r="BS137" s="378"/>
      <c r="BT137" s="378"/>
      <c r="BU137" s="378"/>
      <c r="BV137" s="378"/>
      <c r="BX137" s="378"/>
      <c r="BY137" s="378"/>
      <c r="BZ137" s="378"/>
      <c r="CA137" s="378"/>
      <c r="CB137" s="378"/>
      <c r="CD137" s="378"/>
      <c r="CE137" s="378"/>
      <c r="CF137" s="378"/>
      <c r="CG137" s="378"/>
      <c r="CH137" s="378"/>
      <c r="CJ137" s="378"/>
      <c r="CK137" s="378"/>
      <c r="CL137" s="378"/>
      <c r="CM137" s="378"/>
      <c r="CN137" s="378"/>
      <c r="CO137" s="379"/>
    </row>
    <row r="138" spans="1:93" s="137" customFormat="1" ht="18" customHeight="1" x14ac:dyDescent="0.25">
      <c r="B138" s="386" t="s">
        <v>381</v>
      </c>
      <c r="D138" s="379"/>
      <c r="E138" s="379"/>
      <c r="F138" s="379"/>
      <c r="G138" s="379"/>
      <c r="H138" s="379"/>
      <c r="J138" s="246"/>
      <c r="K138" s="246"/>
      <c r="L138" s="246"/>
      <c r="M138" s="246"/>
      <c r="N138" s="246"/>
      <c r="O138" s="380"/>
      <c r="P138" s="246"/>
      <c r="Q138" s="246"/>
      <c r="R138" s="246"/>
      <c r="S138" s="246"/>
      <c r="T138" s="246"/>
      <c r="U138" s="380"/>
      <c r="V138" s="246"/>
      <c r="W138" s="246"/>
      <c r="X138" s="246"/>
      <c r="Y138" s="246"/>
      <c r="Z138" s="246"/>
      <c r="AA138" s="380"/>
      <c r="AB138" s="246"/>
      <c r="AC138" s="246"/>
      <c r="AD138" s="246"/>
      <c r="AE138" s="246"/>
      <c r="AF138" s="246"/>
      <c r="AG138" s="379"/>
      <c r="AH138" s="246"/>
      <c r="AI138" s="246"/>
      <c r="AJ138" s="246"/>
      <c r="AK138" s="246"/>
      <c r="AL138" s="246"/>
      <c r="AM138" s="379"/>
      <c r="AN138" s="246"/>
      <c r="AO138" s="246"/>
      <c r="AP138" s="246"/>
      <c r="AQ138" s="246"/>
      <c r="AR138" s="246"/>
      <c r="AS138" s="380"/>
      <c r="AT138" s="246"/>
      <c r="AU138" s="246"/>
      <c r="AV138" s="265"/>
      <c r="AW138" s="246"/>
      <c r="AX138" s="246"/>
      <c r="AY138" s="379"/>
      <c r="AZ138" s="268" t="s">
        <v>533</v>
      </c>
      <c r="BA138" s="246"/>
      <c r="BB138" s="246"/>
      <c r="BC138" s="246"/>
      <c r="BD138" s="246"/>
      <c r="BE138" s="379"/>
      <c r="BF138" s="246"/>
      <c r="BG138" s="246"/>
      <c r="BH138" s="246"/>
      <c r="BI138" s="246"/>
      <c r="BJ138" s="246"/>
      <c r="BK138" s="379"/>
      <c r="BL138" s="268" t="s">
        <v>532</v>
      </c>
      <c r="BM138" s="246"/>
      <c r="BN138" s="246"/>
      <c r="BO138" s="246"/>
      <c r="BP138" s="246"/>
      <c r="BQ138" s="379"/>
      <c r="BR138" s="246"/>
      <c r="BS138" s="246"/>
      <c r="BT138" s="246"/>
      <c r="BU138" s="246"/>
      <c r="BV138" s="246"/>
      <c r="BW138" s="379"/>
      <c r="BX138" s="246"/>
      <c r="BY138" s="246"/>
      <c r="BZ138" s="246"/>
      <c r="CA138" s="246"/>
      <c r="CB138" s="246"/>
      <c r="CC138" s="379"/>
      <c r="CD138" s="246"/>
      <c r="CE138" s="246"/>
      <c r="CF138" s="246"/>
      <c r="CG138" s="246"/>
      <c r="CH138" s="246"/>
      <c r="CI138" s="379"/>
      <c r="CJ138" s="246"/>
      <c r="CK138" s="246"/>
      <c r="CL138" s="246"/>
      <c r="CM138" s="246"/>
      <c r="CN138" s="246"/>
      <c r="CO138" s="379"/>
    </row>
    <row r="139" spans="1:93" s="137" customFormat="1" ht="18" customHeight="1" x14ac:dyDescent="0.25">
      <c r="B139" s="31" t="s">
        <v>374</v>
      </c>
      <c r="D139" s="379"/>
      <c r="E139" s="379"/>
      <c r="F139" s="379"/>
      <c r="G139" s="379"/>
      <c r="H139" s="379"/>
      <c r="J139" s="67">
        <f t="shared" ref="J139:J144" si="1433">J127/D127-1</f>
        <v>0.3695765812859384</v>
      </c>
      <c r="K139" s="67">
        <f t="shared" ref="K139:N144" si="1434">K127/E127-1</f>
        <v>0.1816220880069026</v>
      </c>
      <c r="L139" s="67">
        <f t="shared" si="1434"/>
        <v>0.22217090069284073</v>
      </c>
      <c r="M139" s="67">
        <f t="shared" si="1434"/>
        <v>0.1717817561807331</v>
      </c>
      <c r="N139" s="67">
        <f t="shared" si="1434"/>
        <v>0.23015328300160154</v>
      </c>
      <c r="O139" s="67"/>
      <c r="P139" s="67">
        <f t="shared" ref="P139:T144" si="1435">P127/J127-1</f>
        <v>0.13167938931297707</v>
      </c>
      <c r="Q139" s="67">
        <f t="shared" si="1435"/>
        <v>0.28258488499452361</v>
      </c>
      <c r="R139" s="67">
        <f t="shared" si="1435"/>
        <v>3.0990173847316616E-2</v>
      </c>
      <c r="S139" s="67">
        <f t="shared" si="1435"/>
        <v>-0.18188432157148049</v>
      </c>
      <c r="T139" s="67">
        <f t="shared" si="1435"/>
        <v>6.518504742421416E-2</v>
      </c>
      <c r="U139" s="67"/>
      <c r="V139" s="67">
        <f t="shared" ref="V139:Z144" si="1436">V127/P127-1</f>
        <v>-0.29679595278246207</v>
      </c>
      <c r="W139" s="67">
        <f t="shared" si="1436"/>
        <v>-0.54341019072018226</v>
      </c>
      <c r="X139" s="67">
        <f t="shared" si="1436"/>
        <v>-0.34714076246334313</v>
      </c>
      <c r="Y139" s="67">
        <f t="shared" si="1436"/>
        <v>-0.15740329035126721</v>
      </c>
      <c r="Z139" s="67">
        <f t="shared" si="1436"/>
        <v>-0.3570493234395461</v>
      </c>
      <c r="AA139" s="67"/>
      <c r="AB139" s="67">
        <f t="shared" ref="AB139:AF144" si="1437">AB127/V127-1</f>
        <v>1.9664268585131817E-2</v>
      </c>
      <c r="AC139" s="67">
        <f t="shared" si="1437"/>
        <v>0.55735660847880308</v>
      </c>
      <c r="AD139" s="67">
        <f t="shared" si="1437"/>
        <v>0.35710275126333513</v>
      </c>
      <c r="AE139" s="67">
        <f t="shared" si="1437"/>
        <v>0.39050131926121368</v>
      </c>
      <c r="AF139" s="67">
        <f t="shared" si="1437"/>
        <v>0.31378139850644948</v>
      </c>
      <c r="AG139" s="67"/>
      <c r="AH139" s="67">
        <f t="shared" ref="AH139:AL144" si="1438">AH127/AB127-1</f>
        <v>0.27939793038570082</v>
      </c>
      <c r="AI139" s="67">
        <f t="shared" si="1438"/>
        <v>0.20336269015212172</v>
      </c>
      <c r="AJ139" s="67">
        <f t="shared" si="1438"/>
        <v>0.28506412908564327</v>
      </c>
      <c r="AK139" s="67">
        <f t="shared" si="1438"/>
        <v>0.34155597722960152</v>
      </c>
      <c r="AL139" s="67">
        <f t="shared" si="1438"/>
        <v>0.27811078958247215</v>
      </c>
      <c r="AM139" s="67"/>
      <c r="AN139" s="67">
        <f t="shared" ref="AN139:AR144" si="1439">AN127/AH127-1</f>
        <v>0.32647058823529407</v>
      </c>
      <c r="AO139" s="67">
        <f t="shared" si="1439"/>
        <v>0.32002661343978711</v>
      </c>
      <c r="AP139" s="67">
        <f t="shared" si="1439"/>
        <v>0.31294269156471355</v>
      </c>
      <c r="AQ139" s="67">
        <f t="shared" si="1439"/>
        <v>4.3564356435643603E-2</v>
      </c>
      <c r="AR139" s="67">
        <f t="shared" si="1439"/>
        <v>0.24064041400501335</v>
      </c>
      <c r="AS139" s="67"/>
      <c r="AT139" s="67">
        <f t="shared" ref="AT139:AW144" si="1440">AT127/AN127-1</f>
        <v>6.2361419068736046E-2</v>
      </c>
      <c r="AU139" s="67">
        <f t="shared" si="1440"/>
        <v>-2.7721774193548709E-3</v>
      </c>
      <c r="AV139" s="264">
        <f t="shared" si="1440"/>
        <v>-0.11010299166257964</v>
      </c>
      <c r="AW139" s="539">
        <v>-0.1</v>
      </c>
      <c r="AX139" s="67">
        <f t="shared" ref="AX139:AX144" si="1441">AX127/AR127-1</f>
        <v>-3.935996871537506E-2</v>
      </c>
      <c r="AY139" s="379"/>
      <c r="AZ139" s="454">
        <v>-0.1</v>
      </c>
      <c r="BA139" s="454">
        <v>-0.1</v>
      </c>
      <c r="BB139" s="454">
        <v>-0.05</v>
      </c>
      <c r="BC139" s="454">
        <v>0</v>
      </c>
      <c r="BD139" s="67">
        <f t="shared" ref="BD139:BD144" si="1442">BD127/AX127-1</f>
        <v>-6.516340889199479E-2</v>
      </c>
      <c r="BE139" s="379"/>
      <c r="BF139" s="454">
        <v>0.05</v>
      </c>
      <c r="BG139" s="454">
        <v>0.05</v>
      </c>
      <c r="BH139" s="454">
        <v>0.05</v>
      </c>
      <c r="BI139" s="454">
        <v>0.05</v>
      </c>
      <c r="BJ139" s="67">
        <f t="shared" ref="BJ139:BJ144" si="1443">BJ127/BD127-1</f>
        <v>5.0000000000000044E-2</v>
      </c>
      <c r="BK139" s="379"/>
      <c r="BL139" s="454">
        <v>0.03</v>
      </c>
      <c r="BM139" s="454">
        <v>0.03</v>
      </c>
      <c r="BN139" s="454">
        <v>0.03</v>
      </c>
      <c r="BO139" s="454">
        <v>0.03</v>
      </c>
      <c r="BP139" s="67">
        <f t="shared" ref="BP139:BP144" si="1444">BP127/BJ127-1</f>
        <v>3.0000000000000027E-2</v>
      </c>
      <c r="BQ139" s="379"/>
      <c r="BR139" s="454">
        <v>0.03</v>
      </c>
      <c r="BS139" s="454">
        <v>0.03</v>
      </c>
      <c r="BT139" s="454">
        <v>0.03</v>
      </c>
      <c r="BU139" s="454">
        <v>0.03</v>
      </c>
      <c r="BV139" s="67">
        <f t="shared" ref="BV139:BV144" si="1445">BV127/BP127-1</f>
        <v>3.0000000000000027E-2</v>
      </c>
      <c r="BW139" s="379"/>
      <c r="BX139" s="454">
        <v>0.03</v>
      </c>
      <c r="BY139" s="454">
        <v>0.03</v>
      </c>
      <c r="BZ139" s="454">
        <v>0.03</v>
      </c>
      <c r="CA139" s="454">
        <v>0.03</v>
      </c>
      <c r="CB139" s="67">
        <f t="shared" ref="CB139:CB144" si="1446">CB127/BV127-1</f>
        <v>2.9999999999999805E-2</v>
      </c>
      <c r="CC139" s="379"/>
      <c r="CD139" s="454">
        <v>0.03</v>
      </c>
      <c r="CE139" s="454">
        <v>0.03</v>
      </c>
      <c r="CF139" s="454">
        <v>0.03</v>
      </c>
      <c r="CG139" s="454">
        <v>0.03</v>
      </c>
      <c r="CH139" s="67">
        <f t="shared" ref="CH139:CH144" si="1447">CH127/CB127-1</f>
        <v>3.0000000000000027E-2</v>
      </c>
      <c r="CI139" s="379"/>
      <c r="CJ139" s="454">
        <v>0.03</v>
      </c>
      <c r="CK139" s="454">
        <v>0.03</v>
      </c>
      <c r="CL139" s="454">
        <v>0.03</v>
      </c>
      <c r="CM139" s="454">
        <v>0.03</v>
      </c>
      <c r="CN139" s="67">
        <f t="shared" ref="CN139:CN144" si="1448">CN127/CH127-1</f>
        <v>3.0000000000000027E-2</v>
      </c>
      <c r="CO139" s="379"/>
    </row>
    <row r="140" spans="1:93" s="137" customFormat="1" ht="18" customHeight="1" x14ac:dyDescent="0.25">
      <c r="B140" s="31" t="s">
        <v>375</v>
      </c>
      <c r="D140" s="379"/>
      <c r="E140" s="379"/>
      <c r="F140" s="379"/>
      <c r="G140" s="379"/>
      <c r="H140" s="379"/>
      <c r="J140" s="67">
        <f t="shared" si="1433"/>
        <v>0.37599999999999989</v>
      </c>
      <c r="K140" s="67">
        <f t="shared" si="1434"/>
        <v>7.6923076923076872E-2</v>
      </c>
      <c r="L140" s="67">
        <f t="shared" si="1434"/>
        <v>-5.3846153846153877E-2</v>
      </c>
      <c r="M140" s="67">
        <f t="shared" si="1434"/>
        <v>-4.5918367346938771E-2</v>
      </c>
      <c r="N140" s="67">
        <f t="shared" si="1434"/>
        <v>5.9455587392550191E-2</v>
      </c>
      <c r="O140" s="67"/>
      <c r="P140" s="67">
        <f t="shared" si="1435"/>
        <v>-7.2674418604651181E-2</v>
      </c>
      <c r="Q140" s="67">
        <f t="shared" si="1435"/>
        <v>0</v>
      </c>
      <c r="R140" s="67">
        <f t="shared" si="1435"/>
        <v>0.1192411924119241</v>
      </c>
      <c r="S140" s="67">
        <f t="shared" si="1435"/>
        <v>9.3582887700534689E-2</v>
      </c>
      <c r="T140" s="67">
        <f t="shared" si="1435"/>
        <v>3.6511156186612492E-2</v>
      </c>
      <c r="U140" s="67"/>
      <c r="V140" s="67">
        <f t="shared" si="1436"/>
        <v>-0.16927899686520376</v>
      </c>
      <c r="W140" s="67">
        <f t="shared" si="1436"/>
        <v>-0.45918367346938771</v>
      </c>
      <c r="X140" s="67">
        <f t="shared" si="1436"/>
        <v>-0.44309927360774815</v>
      </c>
      <c r="Y140" s="67">
        <f t="shared" si="1436"/>
        <v>-0.20782396088019561</v>
      </c>
      <c r="Z140" s="67">
        <f t="shared" si="1436"/>
        <v>-0.32746249184605347</v>
      </c>
      <c r="AA140" s="67"/>
      <c r="AB140" s="67">
        <f t="shared" si="1437"/>
        <v>0.47924528301886782</v>
      </c>
      <c r="AC140" s="67">
        <f t="shared" si="1437"/>
        <v>1.0283018867924527</v>
      </c>
      <c r="AD140" s="67">
        <f t="shared" si="1437"/>
        <v>1.2956521739130435</v>
      </c>
      <c r="AE140" s="67">
        <f t="shared" si="1437"/>
        <v>0.73765432098765427</v>
      </c>
      <c r="AF140" s="67">
        <f t="shared" si="1437"/>
        <v>0.85548011639185262</v>
      </c>
      <c r="AG140" s="67"/>
      <c r="AH140" s="67">
        <f t="shared" si="1438"/>
        <v>0.59948979591836737</v>
      </c>
      <c r="AI140" s="67">
        <f t="shared" si="1438"/>
        <v>0.47674418604651159</v>
      </c>
      <c r="AJ140" s="67">
        <f t="shared" si="1438"/>
        <v>0.51325757575757569</v>
      </c>
      <c r="AK140" s="67">
        <f t="shared" si="1438"/>
        <v>0.38898756660746003</v>
      </c>
      <c r="AL140" s="67">
        <f t="shared" si="1438"/>
        <v>0.48614741244119175</v>
      </c>
      <c r="AM140" s="67"/>
      <c r="AN140" s="67">
        <f t="shared" si="1439"/>
        <v>-4.4657097288676284E-2</v>
      </c>
      <c r="AO140" s="67">
        <f t="shared" si="1439"/>
        <v>-0.10866141732283463</v>
      </c>
      <c r="AP140" s="67">
        <f t="shared" si="1439"/>
        <v>-0.30538172715894873</v>
      </c>
      <c r="AQ140" s="67">
        <f t="shared" si="1439"/>
        <v>-0.2493606138107417</v>
      </c>
      <c r="AR140" s="67">
        <f t="shared" si="1439"/>
        <v>-0.18853323953570167</v>
      </c>
      <c r="AS140" s="67"/>
      <c r="AT140" s="67">
        <f t="shared" si="1440"/>
        <v>-6.6777963272119933E-3</v>
      </c>
      <c r="AU140" s="67">
        <f t="shared" si="1440"/>
        <v>0.19611307420494706</v>
      </c>
      <c r="AV140" s="264">
        <f t="shared" si="1440"/>
        <v>0.18558558558558569</v>
      </c>
      <c r="AW140" s="539">
        <v>0.2</v>
      </c>
      <c r="AX140" s="67">
        <f t="shared" si="1441"/>
        <v>0.14191590810576504</v>
      </c>
      <c r="AY140" s="379"/>
      <c r="AZ140" s="454">
        <v>0</v>
      </c>
      <c r="BA140" s="454">
        <v>-0.05</v>
      </c>
      <c r="BB140" s="454">
        <v>-0.1</v>
      </c>
      <c r="BC140" s="454">
        <v>-0.1</v>
      </c>
      <c r="BD140" s="67">
        <f t="shared" si="1442"/>
        <v>-6.4564986334649133E-2</v>
      </c>
      <c r="BE140" s="379"/>
      <c r="BF140" s="454">
        <v>0.05</v>
      </c>
      <c r="BG140" s="454">
        <v>0.05</v>
      </c>
      <c r="BH140" s="454">
        <v>0.05</v>
      </c>
      <c r="BI140" s="454">
        <v>0.05</v>
      </c>
      <c r="BJ140" s="67">
        <f t="shared" si="1443"/>
        <v>4.9999999999999822E-2</v>
      </c>
      <c r="BK140" s="379"/>
      <c r="BL140" s="454">
        <v>0.04</v>
      </c>
      <c r="BM140" s="454">
        <v>0.04</v>
      </c>
      <c r="BN140" s="454">
        <v>0.04</v>
      </c>
      <c r="BO140" s="454">
        <v>0.04</v>
      </c>
      <c r="BP140" s="67">
        <f t="shared" si="1444"/>
        <v>4.0000000000000258E-2</v>
      </c>
      <c r="BQ140" s="379"/>
      <c r="BR140" s="454">
        <v>0.04</v>
      </c>
      <c r="BS140" s="454">
        <v>0.04</v>
      </c>
      <c r="BT140" s="454">
        <v>0.04</v>
      </c>
      <c r="BU140" s="454">
        <v>0.04</v>
      </c>
      <c r="BV140" s="67">
        <f t="shared" si="1445"/>
        <v>4.0000000000000036E-2</v>
      </c>
      <c r="BW140" s="379"/>
      <c r="BX140" s="454">
        <v>0.04</v>
      </c>
      <c r="BY140" s="454">
        <v>0.04</v>
      </c>
      <c r="BZ140" s="454">
        <v>0.04</v>
      </c>
      <c r="CA140" s="454">
        <v>0.04</v>
      </c>
      <c r="CB140" s="67">
        <f t="shared" si="1446"/>
        <v>3.9999999999999813E-2</v>
      </c>
      <c r="CC140" s="379"/>
      <c r="CD140" s="454">
        <v>0.04</v>
      </c>
      <c r="CE140" s="454">
        <v>0.04</v>
      </c>
      <c r="CF140" s="454">
        <v>0.04</v>
      </c>
      <c r="CG140" s="454">
        <v>0.04</v>
      </c>
      <c r="CH140" s="67">
        <f t="shared" si="1447"/>
        <v>4.0000000000000036E-2</v>
      </c>
      <c r="CI140" s="379"/>
      <c r="CJ140" s="454">
        <v>0.04</v>
      </c>
      <c r="CK140" s="454">
        <v>0.04</v>
      </c>
      <c r="CL140" s="454">
        <v>0.04</v>
      </c>
      <c r="CM140" s="454">
        <v>0.04</v>
      </c>
      <c r="CN140" s="67">
        <f t="shared" si="1448"/>
        <v>4.0000000000000036E-2</v>
      </c>
      <c r="CO140" s="379"/>
    </row>
    <row r="141" spans="1:93" s="137" customFormat="1" ht="18" customHeight="1" x14ac:dyDescent="0.25">
      <c r="B141" s="31" t="s">
        <v>376</v>
      </c>
      <c r="D141" s="379"/>
      <c r="E141" s="379"/>
      <c r="F141" s="379"/>
      <c r="G141" s="379"/>
      <c r="H141" s="379"/>
      <c r="J141" s="67">
        <f t="shared" si="1433"/>
        <v>0.31403940886699511</v>
      </c>
      <c r="K141" s="67">
        <f t="shared" si="1434"/>
        <v>0.21473029045643144</v>
      </c>
      <c r="L141" s="67">
        <f t="shared" si="1434"/>
        <v>0.10019841269841279</v>
      </c>
      <c r="M141" s="67">
        <f t="shared" si="1434"/>
        <v>8.9139344262294973E-2</v>
      </c>
      <c r="N141" s="67">
        <f t="shared" si="1434"/>
        <v>0.1728723404255319</v>
      </c>
      <c r="O141" s="67"/>
      <c r="P141" s="67">
        <f t="shared" si="1435"/>
        <v>-5.7169634489222076E-2</v>
      </c>
      <c r="Q141" s="67">
        <f t="shared" si="1435"/>
        <v>-5.380017079419297E-2</v>
      </c>
      <c r="R141" s="67">
        <f t="shared" si="1435"/>
        <v>-5.5004508566275923E-2</v>
      </c>
      <c r="S141" s="67">
        <f t="shared" si="1435"/>
        <v>-0.20037629350893693</v>
      </c>
      <c r="T141" s="67">
        <f t="shared" si="1435"/>
        <v>-9.024943310657596E-2</v>
      </c>
      <c r="U141" s="67"/>
      <c r="V141" s="67">
        <f t="shared" si="1436"/>
        <v>-0.11630218687872762</v>
      </c>
      <c r="W141" s="67">
        <f t="shared" si="1436"/>
        <v>-0.15794223826714804</v>
      </c>
      <c r="X141" s="67">
        <f t="shared" si="1436"/>
        <v>-0.24045801526717558</v>
      </c>
      <c r="Y141" s="67">
        <f t="shared" si="1436"/>
        <v>-2.3529411764705577E-3</v>
      </c>
      <c r="Z141" s="67">
        <f t="shared" si="1436"/>
        <v>-0.13609172482552345</v>
      </c>
      <c r="AA141" s="67"/>
      <c r="AB141" s="67">
        <f t="shared" si="1437"/>
        <v>0.21597300337457814</v>
      </c>
      <c r="AC141" s="67">
        <f t="shared" si="1437"/>
        <v>0.3837084673097535</v>
      </c>
      <c r="AD141" s="67">
        <f t="shared" si="1437"/>
        <v>0.55778894472361817</v>
      </c>
      <c r="AE141" s="67">
        <f t="shared" si="1437"/>
        <v>0.46933962264150941</v>
      </c>
      <c r="AF141" s="67">
        <f t="shared" si="1437"/>
        <v>0.40161569532602415</v>
      </c>
      <c r="AG141" s="67"/>
      <c r="AH141" s="67">
        <f t="shared" si="1438"/>
        <v>0.18131359851988904</v>
      </c>
      <c r="AI141" s="67">
        <f t="shared" si="1438"/>
        <v>-6.8938807126258661E-2</v>
      </c>
      <c r="AJ141" s="67">
        <f t="shared" si="1438"/>
        <v>5.6451612903225534E-3</v>
      </c>
      <c r="AK141" s="67">
        <f t="shared" si="1438"/>
        <v>0.10192616372391661</v>
      </c>
      <c r="AL141" s="67">
        <f t="shared" si="1438"/>
        <v>4.9608892548373751E-2</v>
      </c>
      <c r="AM141" s="67"/>
      <c r="AN141" s="67">
        <f t="shared" si="1439"/>
        <v>4.6202036021926407E-2</v>
      </c>
      <c r="AO141" s="67">
        <f t="shared" si="1439"/>
        <v>0.19633943427620637</v>
      </c>
      <c r="AP141" s="67">
        <f t="shared" si="1439"/>
        <v>8.3400160384923927E-2</v>
      </c>
      <c r="AQ141" s="67">
        <f t="shared" si="1439"/>
        <v>-0.17771303714493814</v>
      </c>
      <c r="AR141" s="67">
        <f t="shared" si="1439"/>
        <v>3.0398117277897541E-2</v>
      </c>
      <c r="AS141" s="67"/>
      <c r="AT141" s="67">
        <f t="shared" si="1440"/>
        <v>-0.25449101796407181</v>
      </c>
      <c r="AU141" s="67">
        <f t="shared" si="1440"/>
        <v>-0.27190542420027819</v>
      </c>
      <c r="AV141" s="264">
        <f t="shared" si="1440"/>
        <v>-0.14877868245743897</v>
      </c>
      <c r="AW141" s="539">
        <v>-0.1</v>
      </c>
      <c r="AX141" s="67">
        <f t="shared" si="1441"/>
        <v>-0.19887704606014456</v>
      </c>
      <c r="AY141" s="379"/>
      <c r="AZ141" s="454">
        <v>-0.1</v>
      </c>
      <c r="BA141" s="454">
        <v>-0.1</v>
      </c>
      <c r="BB141" s="454">
        <v>-0.05</v>
      </c>
      <c r="BC141" s="454">
        <v>-0.05</v>
      </c>
      <c r="BD141" s="67">
        <f t="shared" si="1442"/>
        <v>-7.4268846071606887E-2</v>
      </c>
      <c r="BE141" s="379"/>
      <c r="BF141" s="454">
        <v>0.05</v>
      </c>
      <c r="BG141" s="454">
        <v>0.05</v>
      </c>
      <c r="BH141" s="454">
        <v>0.05</v>
      </c>
      <c r="BI141" s="454">
        <v>0.05</v>
      </c>
      <c r="BJ141" s="67">
        <f t="shared" si="1443"/>
        <v>5.0000000000000044E-2</v>
      </c>
      <c r="BK141" s="379"/>
      <c r="BL141" s="454">
        <v>0.04</v>
      </c>
      <c r="BM141" s="454">
        <v>0.04</v>
      </c>
      <c r="BN141" s="454">
        <v>0.04</v>
      </c>
      <c r="BO141" s="454">
        <v>0.04</v>
      </c>
      <c r="BP141" s="67">
        <f t="shared" si="1444"/>
        <v>3.9999999999999813E-2</v>
      </c>
      <c r="BQ141" s="379"/>
      <c r="BR141" s="454">
        <v>0.04</v>
      </c>
      <c r="BS141" s="454">
        <v>0.04</v>
      </c>
      <c r="BT141" s="454">
        <v>0.04</v>
      </c>
      <c r="BU141" s="454">
        <v>0.04</v>
      </c>
      <c r="BV141" s="67">
        <f t="shared" si="1445"/>
        <v>4.0000000000000258E-2</v>
      </c>
      <c r="BW141" s="379"/>
      <c r="BX141" s="454">
        <v>0.04</v>
      </c>
      <c r="BY141" s="454">
        <v>0.04</v>
      </c>
      <c r="BZ141" s="454">
        <v>0.04</v>
      </c>
      <c r="CA141" s="454">
        <v>0.04</v>
      </c>
      <c r="CB141" s="67">
        <f t="shared" si="1446"/>
        <v>3.9999999999999813E-2</v>
      </c>
      <c r="CC141" s="379"/>
      <c r="CD141" s="454">
        <v>0.04</v>
      </c>
      <c r="CE141" s="454">
        <v>0.04</v>
      </c>
      <c r="CF141" s="454">
        <v>0.04</v>
      </c>
      <c r="CG141" s="454">
        <v>0.04</v>
      </c>
      <c r="CH141" s="67">
        <f t="shared" si="1447"/>
        <v>4.0000000000000036E-2</v>
      </c>
      <c r="CI141" s="379"/>
      <c r="CJ141" s="454">
        <v>0.04</v>
      </c>
      <c r="CK141" s="454">
        <v>0.04</v>
      </c>
      <c r="CL141" s="454">
        <v>0.04</v>
      </c>
      <c r="CM141" s="454">
        <v>0.04</v>
      </c>
      <c r="CN141" s="67">
        <f t="shared" si="1448"/>
        <v>4.0000000000000036E-2</v>
      </c>
      <c r="CO141" s="379"/>
    </row>
    <row r="142" spans="1:93" s="137" customFormat="1" ht="18" customHeight="1" x14ac:dyDescent="0.25">
      <c r="B142" s="31" t="s">
        <v>377</v>
      </c>
      <c r="D142" s="379"/>
      <c r="E142" s="379"/>
      <c r="F142" s="379"/>
      <c r="G142" s="379"/>
      <c r="H142" s="379"/>
      <c r="J142" s="67">
        <f t="shared" si="1433"/>
        <v>0.45878136200716857</v>
      </c>
      <c r="K142" s="67">
        <f t="shared" si="1434"/>
        <v>0.42912772585669789</v>
      </c>
      <c r="L142" s="67">
        <f t="shared" si="1434"/>
        <v>0.18512780790085204</v>
      </c>
      <c r="M142" s="67">
        <f t="shared" si="1434"/>
        <v>-4.1450777202072575E-2</v>
      </c>
      <c r="N142" s="67">
        <f t="shared" si="1434"/>
        <v>0.2364851957975167</v>
      </c>
      <c r="O142" s="67"/>
      <c r="P142" s="67">
        <f t="shared" si="1435"/>
        <v>-4.0540540540540571E-2</v>
      </c>
      <c r="Q142" s="67">
        <f t="shared" si="1435"/>
        <v>-0.21907356948228884</v>
      </c>
      <c r="R142" s="67">
        <f t="shared" si="1435"/>
        <v>-0.29019607843137252</v>
      </c>
      <c r="S142" s="67">
        <f t="shared" si="1435"/>
        <v>-3.3783783783783994E-3</v>
      </c>
      <c r="T142" s="67">
        <f t="shared" si="1435"/>
        <v>-0.14166537926772749</v>
      </c>
      <c r="U142" s="67"/>
      <c r="V142" s="67">
        <f t="shared" si="1436"/>
        <v>-0.3130601792573624</v>
      </c>
      <c r="W142" s="67">
        <f t="shared" si="1436"/>
        <v>-0.10467550593161201</v>
      </c>
      <c r="X142" s="67">
        <f t="shared" si="1436"/>
        <v>0.14272559852670352</v>
      </c>
      <c r="Y142" s="67">
        <f t="shared" si="1436"/>
        <v>-3.9322033898305131E-2</v>
      </c>
      <c r="Z142" s="67">
        <f t="shared" si="1436"/>
        <v>-9.7552195824334054E-2</v>
      </c>
      <c r="AA142" s="67"/>
      <c r="AB142" s="67">
        <f t="shared" si="1437"/>
        <v>0.71668219944082012</v>
      </c>
      <c r="AC142" s="67">
        <f t="shared" si="1437"/>
        <v>7.8721745908028051E-2</v>
      </c>
      <c r="AD142" s="67">
        <f t="shared" si="1437"/>
        <v>-0.13295729250604349</v>
      </c>
      <c r="AE142" s="67">
        <f t="shared" si="1437"/>
        <v>-0.1213832039520113</v>
      </c>
      <c r="AF142" s="67">
        <f t="shared" si="1437"/>
        <v>0.1063023534104508</v>
      </c>
      <c r="AG142" s="67"/>
      <c r="AH142" s="67">
        <f t="shared" si="1438"/>
        <v>-0.20629750271444081</v>
      </c>
      <c r="AI142" s="67">
        <f t="shared" si="1438"/>
        <v>-0.17052023121387283</v>
      </c>
      <c r="AJ142" s="67">
        <f t="shared" si="1438"/>
        <v>7.4349442379182396E-3</v>
      </c>
      <c r="AK142" s="67">
        <f t="shared" si="1438"/>
        <v>-9.7188755020080286E-2</v>
      </c>
      <c r="AL142" s="67">
        <f t="shared" si="1438"/>
        <v>-0.1314223904813413</v>
      </c>
      <c r="AM142" s="67"/>
      <c r="AN142" s="67">
        <f t="shared" si="1439"/>
        <v>-0.20588235294117652</v>
      </c>
      <c r="AO142" s="67">
        <f t="shared" si="1439"/>
        <v>8.7108013937275963E-4</v>
      </c>
      <c r="AP142" s="67">
        <f t="shared" si="1439"/>
        <v>-8.0258302583025798E-2</v>
      </c>
      <c r="AQ142" s="67">
        <f t="shared" si="1439"/>
        <v>-3.6476868327402157E-2</v>
      </c>
      <c r="AR142" s="67">
        <f t="shared" si="1439"/>
        <v>-8.8833540888335394E-2</v>
      </c>
      <c r="AS142" s="67"/>
      <c r="AT142" s="67">
        <f t="shared" si="1440"/>
        <v>-0.14470284237726094</v>
      </c>
      <c r="AU142" s="67">
        <f t="shared" si="1440"/>
        <v>-0.15143603133159267</v>
      </c>
      <c r="AV142" s="264">
        <f t="shared" si="1440"/>
        <v>-0.12236710130391171</v>
      </c>
      <c r="AW142" s="539">
        <v>-0.1</v>
      </c>
      <c r="AX142" s="67">
        <f t="shared" si="1441"/>
        <v>-0.13036446469248297</v>
      </c>
      <c r="AY142" s="379"/>
      <c r="AZ142" s="454">
        <v>-0.1</v>
      </c>
      <c r="BA142" s="454">
        <v>-0.1</v>
      </c>
      <c r="BB142" s="454">
        <v>-0.05</v>
      </c>
      <c r="BC142" s="454">
        <v>-0.05</v>
      </c>
      <c r="BD142" s="67">
        <f t="shared" si="1442"/>
        <v>-7.5774681090709062E-2</v>
      </c>
      <c r="BE142" s="379"/>
      <c r="BF142" s="454">
        <v>0.05</v>
      </c>
      <c r="BG142" s="454">
        <v>0.05</v>
      </c>
      <c r="BH142" s="454">
        <v>0.05</v>
      </c>
      <c r="BI142" s="454">
        <v>0.05</v>
      </c>
      <c r="BJ142" s="67">
        <f t="shared" si="1443"/>
        <v>5.0000000000000044E-2</v>
      </c>
      <c r="BK142" s="379"/>
      <c r="BL142" s="454">
        <v>0.04</v>
      </c>
      <c r="BM142" s="454">
        <v>0.04</v>
      </c>
      <c r="BN142" s="454">
        <v>0.04</v>
      </c>
      <c r="BO142" s="454">
        <v>0.04</v>
      </c>
      <c r="BP142" s="67">
        <f t="shared" si="1444"/>
        <v>4.0000000000000036E-2</v>
      </c>
      <c r="BQ142" s="379"/>
      <c r="BR142" s="454">
        <v>0.04</v>
      </c>
      <c r="BS142" s="454">
        <v>0.04</v>
      </c>
      <c r="BT142" s="454">
        <v>0.04</v>
      </c>
      <c r="BU142" s="454">
        <v>0.04</v>
      </c>
      <c r="BV142" s="67">
        <f t="shared" si="1445"/>
        <v>4.0000000000000036E-2</v>
      </c>
      <c r="BW142" s="379"/>
      <c r="BX142" s="454">
        <v>0.04</v>
      </c>
      <c r="BY142" s="454">
        <v>0.04</v>
      </c>
      <c r="BZ142" s="454">
        <v>0.04</v>
      </c>
      <c r="CA142" s="454">
        <v>0.04</v>
      </c>
      <c r="CB142" s="67">
        <f t="shared" si="1446"/>
        <v>4.0000000000000036E-2</v>
      </c>
      <c r="CC142" s="379"/>
      <c r="CD142" s="454">
        <v>0.04</v>
      </c>
      <c r="CE142" s="454">
        <v>0.04</v>
      </c>
      <c r="CF142" s="454">
        <v>0.04</v>
      </c>
      <c r="CG142" s="454">
        <v>0.04</v>
      </c>
      <c r="CH142" s="67">
        <f t="shared" si="1447"/>
        <v>4.0000000000000036E-2</v>
      </c>
      <c r="CI142" s="379"/>
      <c r="CJ142" s="454">
        <v>0.04</v>
      </c>
      <c r="CK142" s="454">
        <v>0.04</v>
      </c>
      <c r="CL142" s="454">
        <v>0.04</v>
      </c>
      <c r="CM142" s="454">
        <v>0.04</v>
      </c>
      <c r="CN142" s="67">
        <f t="shared" si="1448"/>
        <v>4.0000000000000036E-2</v>
      </c>
      <c r="CO142" s="379"/>
    </row>
    <row r="143" spans="1:93" s="137" customFormat="1" ht="18" customHeight="1" x14ac:dyDescent="0.25">
      <c r="B143" s="31" t="s">
        <v>378</v>
      </c>
      <c r="C143" s="31"/>
      <c r="D143" s="31"/>
      <c r="E143" s="31"/>
      <c r="F143" s="31"/>
      <c r="G143" s="31"/>
      <c r="H143" s="31"/>
      <c r="I143" s="31"/>
      <c r="J143" s="390">
        <f t="shared" si="1433"/>
        <v>1</v>
      </c>
      <c r="K143" s="390">
        <f t="shared" si="1434"/>
        <v>0.2068965517241379</v>
      </c>
      <c r="L143" s="390">
        <f t="shared" si="1434"/>
        <v>-9.375E-2</v>
      </c>
      <c r="M143" s="390">
        <f t="shared" si="1434"/>
        <v>5.4054054054053946E-2</v>
      </c>
      <c r="N143" s="390">
        <f t="shared" si="1434"/>
        <v>0.13084112149532712</v>
      </c>
      <c r="O143" s="390"/>
      <c r="P143" s="390">
        <f t="shared" si="1435"/>
        <v>0.16666666666666674</v>
      </c>
      <c r="Q143" s="390">
        <f t="shared" si="1435"/>
        <v>-0.4</v>
      </c>
      <c r="R143" s="390">
        <f t="shared" si="1435"/>
        <v>-0.51724137931034475</v>
      </c>
      <c r="S143" s="390">
        <f t="shared" si="1435"/>
        <v>-5.1282051282051322E-2</v>
      </c>
      <c r="T143" s="390">
        <f t="shared" si="1435"/>
        <v>-0.23140495867768596</v>
      </c>
      <c r="U143" s="390"/>
      <c r="V143" s="390">
        <f t="shared" si="1436"/>
        <v>-1.2857142857142856</v>
      </c>
      <c r="W143" s="390">
        <f t="shared" si="1436"/>
        <v>-0.23809523809523814</v>
      </c>
      <c r="X143" s="390">
        <f t="shared" si="1436"/>
        <v>-0.4285714285714286</v>
      </c>
      <c r="Y143" s="390">
        <f t="shared" si="1436"/>
        <v>-0.35135135135135132</v>
      </c>
      <c r="Z143" s="390">
        <f t="shared" si="1436"/>
        <v>-0.54838709677419351</v>
      </c>
      <c r="AA143" s="390"/>
      <c r="AB143" s="390">
        <f t="shared" si="1437"/>
        <v>-4</v>
      </c>
      <c r="AC143" s="390">
        <f t="shared" si="1437"/>
        <v>2.3125</v>
      </c>
      <c r="AD143" s="390">
        <f t="shared" si="1437"/>
        <v>-1.75</v>
      </c>
      <c r="AE143" s="390">
        <f t="shared" si="1437"/>
        <v>0.95833333333333326</v>
      </c>
      <c r="AF143" s="390">
        <f t="shared" si="1437"/>
        <v>1.6666666666666665</v>
      </c>
      <c r="AG143" s="390"/>
      <c r="AH143" s="390">
        <f t="shared" si="1438"/>
        <v>0.61111111111111116</v>
      </c>
      <c r="AI143" s="390">
        <f t="shared" si="1438"/>
        <v>-0.20754716981132071</v>
      </c>
      <c r="AJ143" s="390">
        <f t="shared" si="1438"/>
        <v>-7.666666666666667</v>
      </c>
      <c r="AK143" s="390">
        <f t="shared" si="1438"/>
        <v>-0.34042553191489366</v>
      </c>
      <c r="AL143" s="390">
        <f t="shared" si="1438"/>
        <v>0.26785714285714279</v>
      </c>
      <c r="AM143" s="390"/>
      <c r="AN143" s="390">
        <f t="shared" si="1439"/>
        <v>0.44827586206896552</v>
      </c>
      <c r="AO143" s="390">
        <f t="shared" si="1439"/>
        <v>-0.2142857142857143</v>
      </c>
      <c r="AP143" s="390">
        <f t="shared" si="1439"/>
        <v>-0.55000000000000004</v>
      </c>
      <c r="AQ143" s="390">
        <f t="shared" si="1439"/>
        <v>0</v>
      </c>
      <c r="AR143" s="390">
        <f t="shared" si="1439"/>
        <v>-0.12676056338028174</v>
      </c>
      <c r="AS143" s="390"/>
      <c r="AT143" s="390">
        <f t="shared" si="1440"/>
        <v>-0.83333333333333337</v>
      </c>
      <c r="AU143" s="390">
        <f t="shared" si="1440"/>
        <v>-0.18181818181818177</v>
      </c>
      <c r="AV143" s="392">
        <f t="shared" si="1440"/>
        <v>0.83333333333333326</v>
      </c>
      <c r="AW143" s="390">
        <f t="shared" si="1440"/>
        <v>-0.19354838709677424</v>
      </c>
      <c r="AX143" s="390">
        <f t="shared" si="1441"/>
        <v>-0.25806451612903225</v>
      </c>
      <c r="AY143" s="31"/>
      <c r="AZ143" s="390">
        <f t="shared" ref="AZ143" si="1449">AZ131/AT131-1</f>
        <v>2.5714285714285716</v>
      </c>
      <c r="BA143" s="390">
        <f t="shared" ref="BA143" si="1450">BA131/AU131-1</f>
        <v>-7.407407407407407E-2</v>
      </c>
      <c r="BB143" s="390">
        <f t="shared" ref="BB143" si="1451">BB131/AV131-1</f>
        <v>-0.24242424242424243</v>
      </c>
      <c r="BC143" s="390">
        <f t="shared" ref="BC143" si="1452">BC131/AW131-1</f>
        <v>0</v>
      </c>
      <c r="BD143" s="390">
        <f t="shared" si="1442"/>
        <v>8.6956521739130377E-2</v>
      </c>
      <c r="BE143" s="31"/>
      <c r="BF143" s="390">
        <f t="shared" ref="BF143" si="1453">BF131/AZ131-1</f>
        <v>0</v>
      </c>
      <c r="BG143" s="390">
        <f t="shared" ref="BG143" si="1454">BG131/BA131-1</f>
        <v>0</v>
      </c>
      <c r="BH143" s="390">
        <f t="shared" ref="BH143" si="1455">BH131/BB131-1</f>
        <v>0</v>
      </c>
      <c r="BI143" s="390">
        <f t="shared" ref="BI143" si="1456">BI131/BC131-1</f>
        <v>0</v>
      </c>
      <c r="BJ143" s="390">
        <f t="shared" si="1443"/>
        <v>0</v>
      </c>
      <c r="BK143" s="31"/>
      <c r="BL143" s="390">
        <f t="shared" ref="BL143" si="1457">BL131/BF131-1</f>
        <v>0</v>
      </c>
      <c r="BM143" s="390">
        <f t="shared" ref="BM143" si="1458">BM131/BG131-1</f>
        <v>0</v>
      </c>
      <c r="BN143" s="390">
        <f t="shared" ref="BN143" si="1459">BN131/BH131-1</f>
        <v>0</v>
      </c>
      <c r="BO143" s="390">
        <f t="shared" ref="BO143" si="1460">BO131/BI131-1</f>
        <v>0</v>
      </c>
      <c r="BP143" s="390">
        <f t="shared" si="1444"/>
        <v>0</v>
      </c>
      <c r="BQ143" s="31"/>
      <c r="BR143" s="390">
        <f t="shared" ref="BR143" si="1461">BR131/BL131-1</f>
        <v>0</v>
      </c>
      <c r="BS143" s="390">
        <f t="shared" ref="BS143" si="1462">BS131/BM131-1</f>
        <v>0</v>
      </c>
      <c r="BT143" s="390">
        <f t="shared" ref="BT143" si="1463">BT131/BN131-1</f>
        <v>0</v>
      </c>
      <c r="BU143" s="390">
        <f t="shared" ref="BU143" si="1464">BU131/BO131-1</f>
        <v>0</v>
      </c>
      <c r="BV143" s="390">
        <f t="shared" si="1445"/>
        <v>0</v>
      </c>
      <c r="BW143" s="31"/>
      <c r="BX143" s="390">
        <f t="shared" ref="BX143" si="1465">BX131/BR131-1</f>
        <v>0</v>
      </c>
      <c r="BY143" s="390">
        <f t="shared" ref="BY143" si="1466">BY131/BS131-1</f>
        <v>0</v>
      </c>
      <c r="BZ143" s="390">
        <f t="shared" ref="BZ143" si="1467">BZ131/BT131-1</f>
        <v>0</v>
      </c>
      <c r="CA143" s="390">
        <f t="shared" ref="CA143" si="1468">CA131/BU131-1</f>
        <v>0</v>
      </c>
      <c r="CB143" s="390">
        <f t="shared" si="1446"/>
        <v>0</v>
      </c>
      <c r="CC143" s="31"/>
      <c r="CD143" s="390">
        <f t="shared" ref="CD143" si="1469">CD131/BX131-1</f>
        <v>0</v>
      </c>
      <c r="CE143" s="390">
        <f t="shared" ref="CE143" si="1470">CE131/BY131-1</f>
        <v>0</v>
      </c>
      <c r="CF143" s="390">
        <f t="shared" ref="CF143" si="1471">CF131/BZ131-1</f>
        <v>0</v>
      </c>
      <c r="CG143" s="390">
        <f t="shared" ref="CG143" si="1472">CG131/CA131-1</f>
        <v>0</v>
      </c>
      <c r="CH143" s="390">
        <f t="shared" si="1447"/>
        <v>0</v>
      </c>
      <c r="CI143" s="31"/>
      <c r="CJ143" s="390">
        <f t="shared" ref="CJ143" si="1473">CJ131/CD131-1</f>
        <v>0</v>
      </c>
      <c r="CK143" s="390">
        <f t="shared" ref="CK143" si="1474">CK131/CE131-1</f>
        <v>0</v>
      </c>
      <c r="CL143" s="390">
        <f t="shared" ref="CL143" si="1475">CL131/CF131-1</f>
        <v>0</v>
      </c>
      <c r="CM143" s="390">
        <f t="shared" ref="CM143" si="1476">CM131/CG131-1</f>
        <v>0</v>
      </c>
      <c r="CN143" s="390">
        <f t="shared" si="1448"/>
        <v>0</v>
      </c>
      <c r="CO143" s="379"/>
    </row>
    <row r="144" spans="1:93" s="137" customFormat="1" ht="18" customHeight="1" x14ac:dyDescent="0.25">
      <c r="B144" s="155" t="s">
        <v>382</v>
      </c>
      <c r="C144" s="155"/>
      <c r="D144" s="155"/>
      <c r="E144" s="155"/>
      <c r="F144" s="155"/>
      <c r="G144" s="155"/>
      <c r="H144" s="155"/>
      <c r="I144" s="155"/>
      <c r="J144" s="390">
        <f t="shared" si="1433"/>
        <v>0.38463414634146331</v>
      </c>
      <c r="K144" s="390">
        <f t="shared" si="1434"/>
        <v>0.24460576729179273</v>
      </c>
      <c r="L144" s="390">
        <f t="shared" si="1434"/>
        <v>0.16311911584117889</v>
      </c>
      <c r="M144" s="390">
        <f t="shared" si="1434"/>
        <v>7.7431539187913234E-2</v>
      </c>
      <c r="N144" s="390">
        <f t="shared" si="1434"/>
        <v>0.2077442827442828</v>
      </c>
      <c r="O144" s="390"/>
      <c r="P144" s="390">
        <f t="shared" si="1435"/>
        <v>3.4525277435265123E-2</v>
      </c>
      <c r="Q144" s="390">
        <f t="shared" si="1435"/>
        <v>4.7796500324044144E-2</v>
      </c>
      <c r="R144" s="390">
        <f t="shared" si="1435"/>
        <v>-6.9329579447474976E-2</v>
      </c>
      <c r="S144" s="390">
        <f t="shared" si="1435"/>
        <v>-0.12007011393514466</v>
      </c>
      <c r="T144" s="390">
        <f t="shared" si="1435"/>
        <v>-2.530447131729574E-2</v>
      </c>
      <c r="U144" s="390"/>
      <c r="V144" s="390">
        <f t="shared" si="1436"/>
        <v>-0.26681423463306653</v>
      </c>
      <c r="W144" s="390">
        <f t="shared" si="1436"/>
        <v>-0.37405288387196534</v>
      </c>
      <c r="X144" s="390">
        <f t="shared" si="1436"/>
        <v>-0.23312535450935901</v>
      </c>
      <c r="Y144" s="390">
        <f t="shared" si="1436"/>
        <v>-0.10199203187250994</v>
      </c>
      <c r="Z144" s="390">
        <f t="shared" si="1436"/>
        <v>-0.25303545410393391</v>
      </c>
      <c r="AA144" s="390"/>
      <c r="AB144" s="390">
        <f t="shared" si="1437"/>
        <v>0.26776590803529965</v>
      </c>
      <c r="AC144" s="390">
        <f t="shared" si="1437"/>
        <v>0.3972332015810276</v>
      </c>
      <c r="AD144" s="390">
        <f t="shared" si="1437"/>
        <v>0.29561143984220917</v>
      </c>
      <c r="AE144" s="390">
        <f t="shared" si="1437"/>
        <v>0.27240461401952087</v>
      </c>
      <c r="AF144" s="390">
        <f t="shared" si="1437"/>
        <v>0.30665563305355237</v>
      </c>
      <c r="AG144" s="390"/>
      <c r="AH144" s="390">
        <f t="shared" si="1438"/>
        <v>0.12016852903462172</v>
      </c>
      <c r="AI144" s="390">
        <f t="shared" si="1438"/>
        <v>6.6654879773691667E-2</v>
      </c>
      <c r="AJ144" s="390">
        <f t="shared" si="1438"/>
        <v>0.19429115128449093</v>
      </c>
      <c r="AK144" s="390">
        <f t="shared" si="1438"/>
        <v>0.1933403068340307</v>
      </c>
      <c r="AL144" s="390">
        <f t="shared" si="1438"/>
        <v>0.14308332579390215</v>
      </c>
      <c r="AM144" s="390"/>
      <c r="AN144" s="390">
        <f t="shared" si="1439"/>
        <v>0.10318887980376124</v>
      </c>
      <c r="AO144" s="390">
        <f t="shared" si="1439"/>
        <v>0.18581137079396659</v>
      </c>
      <c r="AP144" s="390">
        <f t="shared" si="1439"/>
        <v>0.11520076481835573</v>
      </c>
      <c r="AQ144" s="390">
        <f t="shared" si="1439"/>
        <v>-4.76260043827611E-2</v>
      </c>
      <c r="AR144" s="390">
        <f t="shared" si="1439"/>
        <v>8.5044916696347395E-2</v>
      </c>
      <c r="AS144" s="390"/>
      <c r="AT144" s="390">
        <f t="shared" si="1440"/>
        <v>-4.7731989327008617E-2</v>
      </c>
      <c r="AU144" s="390">
        <f>AU132/AO132-1</f>
        <v>-6.5837293821638276E-2</v>
      </c>
      <c r="AV144" s="392">
        <f t="shared" si="1440"/>
        <v>-9.3441920274324852E-2</v>
      </c>
      <c r="AW144" s="390">
        <f t="shared" si="1440"/>
        <v>-7.3431507899984649E-2</v>
      </c>
      <c r="AX144" s="390">
        <f t="shared" si="1441"/>
        <v>-7.023488219417906E-2</v>
      </c>
      <c r="AY144" s="155"/>
      <c r="AZ144" s="390">
        <f t="shared" ref="AZ144" si="1477">AZ132/AT132-1</f>
        <v>-8.7826899128268909E-2</v>
      </c>
      <c r="BA144" s="390">
        <f t="shared" ref="BA144" si="1478">BA132/AU132-1</f>
        <v>-9.4830166093071933E-2</v>
      </c>
      <c r="BB144" s="390">
        <f t="shared" ref="BB144" si="1479">BB132/AV132-1</f>
        <v>-5.6185973207249829E-2</v>
      </c>
      <c r="BC144" s="390">
        <f t="shared" ref="BC144" si="1480">BC132/AW132-1</f>
        <v>-2.8140986374848964E-2</v>
      </c>
      <c r="BD144" s="390">
        <f t="shared" si="1442"/>
        <v>-6.7645132059484636E-2</v>
      </c>
      <c r="BE144" s="155"/>
      <c r="BF144" s="390">
        <f t="shared" ref="BF144" si="1481">BF132/AZ132-1</f>
        <v>4.9786682139322247E-2</v>
      </c>
      <c r="BG144" s="390">
        <f t="shared" ref="BG144" si="1482">BG132/BA132-1</f>
        <v>4.9793362813572051E-2</v>
      </c>
      <c r="BH144" s="390">
        <f t="shared" ref="BH144" si="1483">BH132/BB132-1</f>
        <v>4.9791266594305883E-2</v>
      </c>
      <c r="BI144" s="390">
        <f t="shared" ref="BI144" si="1484">BI132/BC132-1</f>
        <v>4.9787064418975513E-2</v>
      </c>
      <c r="BJ144" s="390">
        <f t="shared" si="1443"/>
        <v>4.9789631969545445E-2</v>
      </c>
      <c r="BK144" s="155"/>
      <c r="BL144" s="390">
        <f t="shared" ref="BL144" si="1485">BL132/BF132-1</f>
        <v>3.394918183089124E-2</v>
      </c>
      <c r="BM144" s="390">
        <f t="shared" ref="BM144" si="1486">BM132/BG132-1</f>
        <v>3.3954196249485591E-2</v>
      </c>
      <c r="BN144" s="390">
        <f t="shared" ref="BN144" si="1487">BN132/BH132-1</f>
        <v>3.4082837907160934E-2</v>
      </c>
      <c r="BO144" s="390">
        <f t="shared" ref="BO144" si="1488">BO132/BI132-1</f>
        <v>3.4180843885992074E-2</v>
      </c>
      <c r="BP144" s="390">
        <f t="shared" si="1444"/>
        <v>3.4041350851831575E-2</v>
      </c>
      <c r="BQ144" s="155"/>
      <c r="BR144" s="390">
        <f t="shared" ref="BR144" si="1489">BR132/BL132-1</f>
        <v>3.3977009706063432E-2</v>
      </c>
      <c r="BS144" s="390">
        <f t="shared" ref="BS144" si="1490">BS132/BM132-1</f>
        <v>3.3981886412156825E-2</v>
      </c>
      <c r="BT144" s="390">
        <f t="shared" ref="BT144" si="1491">BT132/BN132-1</f>
        <v>3.4110815174117626E-2</v>
      </c>
      <c r="BU144" s="390">
        <f t="shared" ref="BU144" si="1492">BU132/BO132-1</f>
        <v>3.4209075959382051E-2</v>
      </c>
      <c r="BV144" s="390">
        <f t="shared" si="1445"/>
        <v>3.4069290128604601E-2</v>
      </c>
      <c r="BW144" s="155"/>
      <c r="BX144" s="390">
        <f t="shared" ref="BX144" si="1493">BX132/BR132-1</f>
        <v>3.4004737779407046E-2</v>
      </c>
      <c r="BY144" s="390">
        <f t="shared" ref="BY144" si="1494">BY132/BS132-1</f>
        <v>3.4009481069365854E-2</v>
      </c>
      <c r="BZ144" s="390">
        <f t="shared" ref="BZ144" si="1495">BZ132/BT132-1</f>
        <v>3.4138688459305788E-2</v>
      </c>
      <c r="CA144" s="390">
        <f t="shared" ref="CA144" si="1496">CA132/BU132-1</f>
        <v>3.4237195640708817E-2</v>
      </c>
      <c r="CB144" s="390">
        <f t="shared" si="1446"/>
        <v>3.4097126587097071E-2</v>
      </c>
      <c r="CC144" s="155"/>
      <c r="CD144" s="390">
        <f t="shared" ref="CD144" si="1497">CD132/BX132-1</f>
        <v>3.4032369335075474E-2</v>
      </c>
      <c r="CE144" s="390">
        <f t="shared" ref="CE144" si="1498">CE132/BY132-1</f>
        <v>3.4036983375223206E-2</v>
      </c>
      <c r="CF144" s="390">
        <f t="shared" ref="CF144" si="1499">CF132/BZ132-1</f>
        <v>3.4166460980243007E-2</v>
      </c>
      <c r="CG144" s="390">
        <f t="shared" ref="CG144" si="1500">CG132/CA132-1</f>
        <v>3.4265206253654368E-2</v>
      </c>
      <c r="CH144" s="390">
        <f t="shared" si="1447"/>
        <v>3.4124863469241706E-2</v>
      </c>
      <c r="CI144" s="155"/>
      <c r="CJ144" s="390">
        <f t="shared" ref="CJ144" si="1501">CJ132/CD132-1</f>
        <v>3.4059907524212951E-2</v>
      </c>
      <c r="CK144" s="390">
        <f t="shared" ref="CK144" si="1502">CK132/CE132-1</f>
        <v>3.4064396354520854E-2</v>
      </c>
      <c r="CL144" s="390">
        <f t="shared" ref="CL144" si="1503">CL132/CF132-1</f>
        <v>3.4194135822833038E-2</v>
      </c>
      <c r="CM144" s="390">
        <f t="shared" ref="CM144" si="1504">CM132/CG132-1</f>
        <v>3.4293110987011488E-2</v>
      </c>
      <c r="CN144" s="390">
        <f t="shared" si="1448"/>
        <v>3.4152503884794072E-2</v>
      </c>
      <c r="CO144" s="379"/>
    </row>
    <row r="145" spans="2:93" s="137" customFormat="1" ht="18" customHeight="1" x14ac:dyDescent="0.25">
      <c r="B145" s="136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6"/>
      <c r="AH145" s="136"/>
      <c r="AI145" s="136"/>
      <c r="AJ145" s="136"/>
      <c r="AK145" s="136"/>
      <c r="AL145" s="136"/>
      <c r="AM145" s="136"/>
      <c r="AN145" s="136"/>
      <c r="AO145" s="136"/>
      <c r="AP145" s="136"/>
      <c r="AQ145" s="136"/>
      <c r="AR145" s="136"/>
      <c r="AS145" s="136"/>
      <c r="AT145" s="136"/>
      <c r="AU145" s="136"/>
      <c r="AV145" s="393"/>
      <c r="AW145" s="136"/>
      <c r="AX145" s="136"/>
      <c r="AY145" s="136"/>
      <c r="AZ145" s="136"/>
      <c r="BA145" s="136"/>
      <c r="BB145" s="136"/>
      <c r="BC145" s="136"/>
      <c r="BD145" s="136"/>
      <c r="BE145" s="136"/>
      <c r="BF145" s="136"/>
      <c r="BG145" s="136"/>
      <c r="BH145" s="136"/>
      <c r="BI145" s="136"/>
      <c r="BJ145" s="136"/>
      <c r="BK145" s="136"/>
      <c r="BL145" s="136"/>
      <c r="BM145" s="136"/>
      <c r="BN145" s="136"/>
      <c r="BO145" s="136"/>
      <c r="BP145" s="136"/>
      <c r="BQ145" s="136"/>
      <c r="BR145" s="136"/>
      <c r="BS145" s="136"/>
      <c r="BT145" s="136"/>
      <c r="BU145" s="136"/>
      <c r="BV145" s="136"/>
      <c r="BW145" s="136"/>
      <c r="BX145" s="136"/>
      <c r="BY145" s="136"/>
      <c r="BZ145" s="136"/>
      <c r="CA145" s="136"/>
      <c r="CB145" s="136"/>
      <c r="CC145" s="136"/>
      <c r="CD145" s="136"/>
      <c r="CE145" s="136"/>
      <c r="CF145" s="136"/>
      <c r="CG145" s="136"/>
      <c r="CH145" s="136"/>
      <c r="CI145" s="136"/>
      <c r="CJ145" s="136"/>
      <c r="CK145" s="136"/>
      <c r="CL145" s="136"/>
      <c r="CM145" s="136"/>
      <c r="CN145" s="136"/>
      <c r="CO145" s="379"/>
    </row>
    <row r="146" spans="2:93" s="137" customFormat="1" ht="18" customHeight="1" x14ac:dyDescent="0.25">
      <c r="B146" s="386" t="s">
        <v>383</v>
      </c>
      <c r="D146" s="379"/>
      <c r="E146" s="379"/>
      <c r="F146" s="379"/>
      <c r="G146" s="379"/>
      <c r="H146" s="379"/>
      <c r="J146" s="246"/>
      <c r="K146" s="246"/>
      <c r="L146" s="246"/>
      <c r="M146" s="246"/>
      <c r="N146" s="246"/>
      <c r="O146" s="246"/>
      <c r="P146" s="246"/>
      <c r="Q146" s="246"/>
      <c r="R146" s="246"/>
      <c r="S146" s="246"/>
      <c r="T146" s="246"/>
      <c r="U146" s="246"/>
      <c r="V146" s="246"/>
      <c r="W146" s="246"/>
      <c r="X146" s="246"/>
      <c r="Y146" s="246"/>
      <c r="Z146" s="246"/>
      <c r="AA146" s="246"/>
      <c r="AB146" s="246"/>
      <c r="AC146" s="246"/>
      <c r="AD146" s="246"/>
      <c r="AE146" s="246"/>
      <c r="AF146" s="246"/>
      <c r="AG146" s="246"/>
      <c r="AH146" s="246"/>
      <c r="AI146" s="246"/>
      <c r="AJ146" s="246"/>
      <c r="AK146" s="246"/>
      <c r="AL146" s="246"/>
      <c r="AM146" s="246"/>
      <c r="AN146" s="246"/>
      <c r="AO146" s="246"/>
      <c r="AP146" s="246"/>
      <c r="AQ146" s="246"/>
      <c r="AR146" s="246"/>
      <c r="AS146" s="246"/>
      <c r="AT146" s="246"/>
      <c r="AU146" s="246"/>
      <c r="AV146" s="265"/>
      <c r="AW146" s="246"/>
      <c r="AX146" s="246"/>
      <c r="AY146" s="379"/>
      <c r="AZ146" s="246"/>
      <c r="BA146" s="246"/>
      <c r="BB146" s="246"/>
      <c r="BC146" s="246"/>
      <c r="BD146" s="246"/>
      <c r="BE146" s="379"/>
      <c r="BF146" s="246"/>
      <c r="BG146" s="246"/>
      <c r="BH146" s="246"/>
      <c r="BI146" s="246"/>
      <c r="BJ146" s="246"/>
      <c r="BK146" s="379"/>
      <c r="BL146" s="246"/>
      <c r="BM146" s="246"/>
      <c r="BN146" s="246"/>
      <c r="BO146" s="246"/>
      <c r="BP146" s="246"/>
      <c r="BQ146" s="379"/>
      <c r="BR146" s="246"/>
      <c r="BS146" s="246"/>
      <c r="BT146" s="246"/>
      <c r="BU146" s="246"/>
      <c r="BV146" s="246"/>
      <c r="BW146" s="379"/>
      <c r="BX146" s="246"/>
      <c r="BY146" s="246"/>
      <c r="BZ146" s="246"/>
      <c r="CA146" s="246"/>
      <c r="CB146" s="246"/>
      <c r="CC146" s="379"/>
      <c r="CD146" s="246"/>
      <c r="CE146" s="246"/>
      <c r="CF146" s="246"/>
      <c r="CG146" s="246"/>
      <c r="CH146" s="246"/>
      <c r="CI146" s="379"/>
      <c r="CJ146" s="246"/>
      <c r="CK146" s="246"/>
      <c r="CL146" s="246"/>
      <c r="CM146" s="246"/>
      <c r="CN146" s="246"/>
      <c r="CO146" s="379"/>
    </row>
    <row r="147" spans="2:93" s="137" customFormat="1" ht="18" customHeight="1" x14ac:dyDescent="0.25">
      <c r="B147" s="31" t="s">
        <v>374</v>
      </c>
      <c r="D147" s="67">
        <f t="shared" ref="D147:H147" si="1505">D127/D$132</f>
        <v>0.46658536585365856</v>
      </c>
      <c r="E147" s="67">
        <f t="shared" si="1505"/>
        <v>0.46743295019157088</v>
      </c>
      <c r="F147" s="67">
        <f t="shared" si="1505"/>
        <v>0.44310274252967663</v>
      </c>
      <c r="G147" s="67">
        <f t="shared" si="1505"/>
        <v>0.44305949008498585</v>
      </c>
      <c r="H147" s="67">
        <f t="shared" si="1505"/>
        <v>0.45436590436590435</v>
      </c>
      <c r="J147" s="67">
        <f t="shared" ref="J147:N151" si="1506">J127/J$132</f>
        <v>0.46151136163466622</v>
      </c>
      <c r="K147" s="67">
        <f t="shared" si="1506"/>
        <v>0.44377835385612441</v>
      </c>
      <c r="L147" s="67">
        <f t="shared" si="1506"/>
        <v>0.46559915537568186</v>
      </c>
      <c r="M147" s="67">
        <f t="shared" si="1506"/>
        <v>0.48185801928133215</v>
      </c>
      <c r="N147" s="67">
        <f t="shared" si="1506"/>
        <v>0.46279640228945218</v>
      </c>
      <c r="O147" s="67"/>
      <c r="P147" s="67">
        <f t="shared" ref="P147:T151" si="1507">P127/P$132</f>
        <v>0.50485271581815083</v>
      </c>
      <c r="Q147" s="67">
        <f t="shared" si="1507"/>
        <v>0.54321942167929493</v>
      </c>
      <c r="R147" s="67">
        <f t="shared" si="1507"/>
        <v>0.51578748345622993</v>
      </c>
      <c r="S147" s="67">
        <f t="shared" si="1507"/>
        <v>0.44800796812749005</v>
      </c>
      <c r="T147" s="67">
        <f t="shared" si="1507"/>
        <v>0.50576184379001277</v>
      </c>
      <c r="U147" s="67"/>
      <c r="V147" s="67">
        <f t="shared" ref="V147:Z151" si="1508">V127/V$132</f>
        <v>0.4842080817464004</v>
      </c>
      <c r="W147" s="67">
        <f t="shared" si="1508"/>
        <v>0.39624505928853754</v>
      </c>
      <c r="X147" s="67">
        <f t="shared" si="1508"/>
        <v>0.4391025641025641</v>
      </c>
      <c r="Y147" s="67">
        <f t="shared" si="1508"/>
        <v>0.42036379769299026</v>
      </c>
      <c r="Z147" s="67">
        <f t="shared" si="1508"/>
        <v>0.43533514599834494</v>
      </c>
      <c r="AA147" s="67"/>
      <c r="AB147" s="67">
        <f t="shared" ref="AB147:AF151" si="1509">AB127/AB$132</f>
        <v>0.38944861696281369</v>
      </c>
      <c r="AC147" s="67">
        <f t="shared" si="1509"/>
        <v>0.44165487977369167</v>
      </c>
      <c r="AD147" s="67">
        <f t="shared" si="1509"/>
        <v>0.45994291151284489</v>
      </c>
      <c r="AE147" s="67">
        <f t="shared" si="1509"/>
        <v>0.45937935843793587</v>
      </c>
      <c r="AF147" s="67">
        <f t="shared" si="1509"/>
        <v>0.4377092192165023</v>
      </c>
      <c r="AG147" s="67"/>
      <c r="AH147" s="67">
        <f t="shared" ref="AH147:AL151" si="1510">AH127/AH$132</f>
        <v>0.44480784955028618</v>
      </c>
      <c r="AI147" s="67">
        <f t="shared" si="1510"/>
        <v>0.49825957235206364</v>
      </c>
      <c r="AJ147" s="67">
        <f t="shared" si="1510"/>
        <v>0.49490121096239642</v>
      </c>
      <c r="AK147" s="67">
        <f t="shared" si="1510"/>
        <v>0.51643535427319209</v>
      </c>
      <c r="AL147" s="67">
        <f t="shared" si="1510"/>
        <v>0.48941390636748583</v>
      </c>
      <c r="AM147" s="67"/>
      <c r="AN147" s="67">
        <f t="shared" ref="AN147:AR151" si="1511">AN127/AN$132</f>
        <v>0.5348354580492144</v>
      </c>
      <c r="AO147" s="67">
        <f t="shared" si="1511"/>
        <v>0.55465473860777192</v>
      </c>
      <c r="AP147" s="67">
        <f t="shared" si="1511"/>
        <v>0.58265466495213603</v>
      </c>
      <c r="AQ147" s="67">
        <f t="shared" si="1511"/>
        <v>0.5658843380886639</v>
      </c>
      <c r="AR147" s="67">
        <f t="shared" si="1511"/>
        <v>0.55959588591436282</v>
      </c>
      <c r="AS147" s="67"/>
      <c r="AT147" s="67">
        <f t="shared" ref="AT147:AX151" si="1512">AT127/AT$132</f>
        <v>0.59666874221668742</v>
      </c>
      <c r="AU147" s="67">
        <f t="shared" si="1512"/>
        <v>0.5920993565763879</v>
      </c>
      <c r="AV147" s="264">
        <f t="shared" si="1512"/>
        <v>0.57194641449960604</v>
      </c>
      <c r="AW147" s="67">
        <f t="shared" si="1512"/>
        <v>0.54965812956310112</v>
      </c>
      <c r="AX147" s="67">
        <f t="shared" si="1512"/>
        <v>0.57817850880461952</v>
      </c>
      <c r="AY147" s="67"/>
      <c r="AZ147" s="67">
        <f t="shared" ref="AZ147:BD151" si="1513">AZ127/AZ$132</f>
        <v>0.58870609918427252</v>
      </c>
      <c r="BA147" s="67">
        <f t="shared" si="1513"/>
        <v>0.58871760962102748</v>
      </c>
      <c r="BB147" s="67">
        <f t="shared" si="1513"/>
        <v>0.57569508224096178</v>
      </c>
      <c r="BC147" s="67">
        <f t="shared" si="1513"/>
        <v>0.56557393804767031</v>
      </c>
      <c r="BD147" s="67">
        <f t="shared" si="1513"/>
        <v>0.57971749256454197</v>
      </c>
      <c r="BE147" s="67"/>
      <c r="BF147" s="67">
        <f t="shared" ref="BF147:BJ151" si="1514">BF127/BF$132</f>
        <v>0.5888257249404214</v>
      </c>
      <c r="BG147" s="67">
        <f t="shared" si="1514"/>
        <v>0.58883349047411904</v>
      </c>
      <c r="BH147" s="67">
        <f t="shared" si="1514"/>
        <v>0.57580954956316333</v>
      </c>
      <c r="BI147" s="67">
        <f t="shared" si="1514"/>
        <v>0.56568865732664819</v>
      </c>
      <c r="BJ147" s="67">
        <f t="shared" si="1514"/>
        <v>0.57983366253175916</v>
      </c>
      <c r="BK147" s="67"/>
      <c r="BL147" s="67">
        <f t="shared" ref="BL147:BP151" si="1515">BL127/BL$132</f>
        <v>0.586576697719975</v>
      </c>
      <c r="BM147" s="67">
        <f t="shared" si="1515"/>
        <v>0.58658158880569877</v>
      </c>
      <c r="BN147" s="67">
        <f t="shared" si="1515"/>
        <v>0.57353609818182172</v>
      </c>
      <c r="BO147" s="67">
        <f t="shared" si="1515"/>
        <v>0.5634017691306995</v>
      </c>
      <c r="BP147" s="67">
        <f t="shared" si="1515"/>
        <v>0.5775674946806737</v>
      </c>
      <c r="BQ147" s="67"/>
      <c r="BR147" s="67">
        <f t="shared" ref="BR147:BV151" si="1516">BR127/BR$132</f>
        <v>0.58432053418995022</v>
      </c>
      <c r="BS147" s="67">
        <f t="shared" si="1516"/>
        <v>0.58432265053145926</v>
      </c>
      <c r="BT147" s="67">
        <f t="shared" si="1516"/>
        <v>0.57125616757795017</v>
      </c>
      <c r="BU147" s="67">
        <f t="shared" si="1516"/>
        <v>0.56110880835802257</v>
      </c>
      <c r="BV147" s="67">
        <f t="shared" si="1516"/>
        <v>0.57529463953726778</v>
      </c>
      <c r="BW147" s="67"/>
      <c r="BX147" s="67">
        <f t="shared" ref="BX147:CB151" si="1517">BX127/BX$132</f>
        <v>0.58205743960918521</v>
      </c>
      <c r="BY147" s="67">
        <f t="shared" si="1517"/>
        <v>0.58205687768449788</v>
      </c>
      <c r="BZ147" s="67">
        <f t="shared" si="1517"/>
        <v>0.56896996425295476</v>
      </c>
      <c r="CA147" s="67">
        <f t="shared" si="1517"/>
        <v>0.55880998579898178</v>
      </c>
      <c r="CB147" s="67">
        <f t="shared" si="1517"/>
        <v>0.57301530338744044</v>
      </c>
      <c r="CC147" s="67"/>
      <c r="CD147" s="67">
        <f t="shared" ref="CD147:CH151" si="1518">CD127/CD$132</f>
        <v>0.57978761649693411</v>
      </c>
      <c r="CE147" s="67">
        <f t="shared" si="1518"/>
        <v>0.57978446966000274</v>
      </c>
      <c r="CF147" s="67">
        <f t="shared" si="1518"/>
        <v>0.56667769193081496</v>
      </c>
      <c r="CG147" s="67">
        <f t="shared" si="1518"/>
        <v>0.55650550931497866</v>
      </c>
      <c r="CH147" s="67">
        <f t="shared" si="1518"/>
        <v>0.57072968974855165</v>
      </c>
      <c r="CI147" s="67"/>
      <c r="CJ147" s="67">
        <f t="shared" ref="CJ147:CN151" si="1519">CJ127/CJ$132</f>
        <v>0.57751126472124525</v>
      </c>
      <c r="CK147" s="67">
        <f t="shared" si="1519"/>
        <v>0.57750562330072253</v>
      </c>
      <c r="CL147" s="67">
        <f t="shared" si="1519"/>
        <v>0.56437955164418852</v>
      </c>
      <c r="CM147" s="67">
        <f t="shared" si="1519"/>
        <v>0.55419558392633073</v>
      </c>
      <c r="CN147" s="67">
        <f t="shared" si="1519"/>
        <v>0.56843799945631202</v>
      </c>
      <c r="CO147" s="239"/>
    </row>
    <row r="148" spans="2:93" s="137" customFormat="1" ht="18" customHeight="1" x14ac:dyDescent="0.25">
      <c r="B148" s="31" t="s">
        <v>375</v>
      </c>
      <c r="D148" s="67">
        <f t="shared" ref="D148:H148" si="1520">D128/D$132</f>
        <v>6.097560975609756E-2</v>
      </c>
      <c r="E148" s="67">
        <f t="shared" si="1520"/>
        <v>7.3401895543456344E-2</v>
      </c>
      <c r="F148" s="67">
        <f t="shared" si="1520"/>
        <v>7.9819893573475229E-2</v>
      </c>
      <c r="G148" s="67">
        <f t="shared" si="1520"/>
        <v>7.4032105760151082E-2</v>
      </c>
      <c r="H148" s="67">
        <f t="shared" si="1520"/>
        <v>7.2557172557172561E-2</v>
      </c>
      <c r="J148" s="67">
        <f t="shared" si="1506"/>
        <v>6.0595384886383656E-2</v>
      </c>
      <c r="K148" s="67">
        <f t="shared" si="1506"/>
        <v>6.3512637718729753E-2</v>
      </c>
      <c r="L148" s="67">
        <f t="shared" si="1506"/>
        <v>6.4930494457152918E-2</v>
      </c>
      <c r="M148" s="67">
        <f t="shared" si="1506"/>
        <v>6.5556529360210336E-2</v>
      </c>
      <c r="N148" s="67">
        <f t="shared" si="1506"/>
        <v>6.3648491629728451E-2</v>
      </c>
      <c r="O148" s="67"/>
      <c r="P148" s="67">
        <f t="shared" si="1507"/>
        <v>5.4316363017197347E-2</v>
      </c>
      <c r="Q148" s="67">
        <f t="shared" si="1507"/>
        <v>6.0615432194216792E-2</v>
      </c>
      <c r="R148" s="67">
        <f t="shared" si="1507"/>
        <v>7.8086594819436569E-2</v>
      </c>
      <c r="S148" s="67">
        <f t="shared" si="1507"/>
        <v>8.1474103585657376E-2</v>
      </c>
      <c r="T148" s="67">
        <f t="shared" si="1507"/>
        <v>6.7685107510265352E-2</v>
      </c>
      <c r="U148" s="67"/>
      <c r="V148" s="67">
        <f t="shared" si="1508"/>
        <v>6.1542034370645614E-2</v>
      </c>
      <c r="W148" s="67">
        <f t="shared" si="1508"/>
        <v>5.2371541501976288E-2</v>
      </c>
      <c r="X148" s="67">
        <f t="shared" si="1508"/>
        <v>5.6706114398422089E-2</v>
      </c>
      <c r="Y148" s="67">
        <f t="shared" si="1508"/>
        <v>7.1872227151730264E-2</v>
      </c>
      <c r="Z148" s="67">
        <f t="shared" si="1508"/>
        <v>6.0941009575599954E-2</v>
      </c>
      <c r="AA148" s="67"/>
      <c r="AB148" s="67">
        <f t="shared" si="1509"/>
        <v>7.1808023447517855E-2</v>
      </c>
      <c r="AC148" s="67">
        <f t="shared" si="1509"/>
        <v>7.6025459688826028E-2</v>
      </c>
      <c r="AD148" s="67">
        <f t="shared" si="1509"/>
        <v>0.10047573739295909</v>
      </c>
      <c r="AE148" s="67">
        <f t="shared" si="1509"/>
        <v>9.8152022315202231E-2</v>
      </c>
      <c r="AF148" s="67">
        <f t="shared" si="1509"/>
        <v>8.6537591604089387E-2</v>
      </c>
      <c r="AG148" s="67"/>
      <c r="AH148" s="67">
        <f t="shared" si="1510"/>
        <v>0.10253475061324611</v>
      </c>
      <c r="AI148" s="67">
        <f t="shared" si="1510"/>
        <v>0.10525443394662688</v>
      </c>
      <c r="AJ148" s="67">
        <f t="shared" si="1510"/>
        <v>0.12731038878266412</v>
      </c>
      <c r="AK148" s="67">
        <f t="shared" si="1510"/>
        <v>0.11424397370343316</v>
      </c>
      <c r="AL148" s="67">
        <f t="shared" si="1510"/>
        <v>0.1125093988681784</v>
      </c>
      <c r="AM148" s="67"/>
      <c r="AN148" s="67">
        <f t="shared" si="1511"/>
        <v>8.8793359027571891E-2</v>
      </c>
      <c r="AO148" s="67">
        <f t="shared" si="1511"/>
        <v>7.9116578138104562E-2</v>
      </c>
      <c r="AP148" s="67">
        <f t="shared" si="1511"/>
        <v>7.9297042434633522E-2</v>
      </c>
      <c r="AQ148" s="67">
        <f t="shared" si="1511"/>
        <v>9.0044485350513889E-2</v>
      </c>
      <c r="AR148" s="67">
        <f t="shared" si="1511"/>
        <v>8.4141804653877009E-2</v>
      </c>
      <c r="AS148" s="67"/>
      <c r="AT148" s="67">
        <f t="shared" si="1512"/>
        <v>9.2621419676214192E-2</v>
      </c>
      <c r="AU148" s="67">
        <f t="shared" si="1512"/>
        <v>0.10130181056411791</v>
      </c>
      <c r="AV148" s="264">
        <f t="shared" si="1512"/>
        <v>0.1037037037037037</v>
      </c>
      <c r="AW148" s="67">
        <f t="shared" si="1512"/>
        <v>0.11661672433488403</v>
      </c>
      <c r="AX148" s="67">
        <f t="shared" si="1512"/>
        <v>0.10334100885365385</v>
      </c>
      <c r="AY148" s="67"/>
      <c r="AZ148" s="67">
        <f t="shared" si="1513"/>
        <v>0.10153930168265128</v>
      </c>
      <c r="BA148" s="67">
        <f t="shared" si="1513"/>
        <v>0.10631896516097036</v>
      </c>
      <c r="BB148" s="67">
        <f t="shared" si="1513"/>
        <v>9.8889538281706615E-2</v>
      </c>
      <c r="BC148" s="67">
        <f t="shared" si="1513"/>
        <v>0.10799411275705585</v>
      </c>
      <c r="BD148" s="67">
        <f t="shared" si="1513"/>
        <v>0.10368240822589489</v>
      </c>
      <c r="BE148" s="67"/>
      <c r="BF148" s="67">
        <f t="shared" si="1514"/>
        <v>0.1015599345854859</v>
      </c>
      <c r="BG148" s="67">
        <f t="shared" si="1514"/>
        <v>0.10633989256687996</v>
      </c>
      <c r="BH148" s="67">
        <f t="shared" si="1514"/>
        <v>9.8909200809648989E-2</v>
      </c>
      <c r="BI148" s="67">
        <f t="shared" si="1514"/>
        <v>0.10801601795090568</v>
      </c>
      <c r="BJ148" s="67">
        <f t="shared" si="1514"/>
        <v>0.10370318521144228</v>
      </c>
      <c r="BK148" s="67"/>
      <c r="BL148" s="67">
        <f t="shared" si="1515"/>
        <v>0.10215427781650929</v>
      </c>
      <c r="BM148" s="67">
        <f t="shared" si="1515"/>
        <v>0.10696169005427562</v>
      </c>
      <c r="BN148" s="67">
        <f t="shared" si="1515"/>
        <v>9.9475172656593419E-2</v>
      </c>
      <c r="BO148" s="67">
        <f t="shared" si="1515"/>
        <v>0.10862380533643484</v>
      </c>
      <c r="BP148" s="67">
        <f t="shared" si="1515"/>
        <v>0.10430077339852346</v>
      </c>
      <c r="BQ148" s="67"/>
      <c r="BR148" s="67">
        <f t="shared" si="1516"/>
        <v>0.10274933381678521</v>
      </c>
      <c r="BS148" s="67">
        <f t="shared" si="1516"/>
        <v>0.1075842421596398</v>
      </c>
      <c r="BT148" s="67">
        <f t="shared" si="1516"/>
        <v>0.10004167642849586</v>
      </c>
      <c r="BU148" s="67">
        <f t="shared" si="1516"/>
        <v>0.10923203071399949</v>
      </c>
      <c r="BV148" s="67">
        <f t="shared" si="1516"/>
        <v>0.10489897086197571</v>
      </c>
      <c r="BW148" s="67"/>
      <c r="BX148" s="67">
        <f t="shared" si="1517"/>
        <v>0.10334508466464475</v>
      </c>
      <c r="BY148" s="67">
        <f t="shared" si="1517"/>
        <v>0.10820752990612036</v>
      </c>
      <c r="BZ148" s="67">
        <f t="shared" si="1517"/>
        <v>0.10060869460424399</v>
      </c>
      <c r="CA148" s="67">
        <f t="shared" si="1517"/>
        <v>0.10984067525456148</v>
      </c>
      <c r="CB148" s="67">
        <f t="shared" si="1517"/>
        <v>0.10549775924482871</v>
      </c>
      <c r="CC148" s="67"/>
      <c r="CD148" s="67">
        <f t="shared" si="1518"/>
        <v>0.10394151212146657</v>
      </c>
      <c r="CE148" s="67">
        <f t="shared" si="1518"/>
        <v>0.10883153398927228</v>
      </c>
      <c r="CF148" s="67">
        <f t="shared" si="1518"/>
        <v>0.10117620937855253</v>
      </c>
      <c r="CG148" s="67">
        <f t="shared" si="1518"/>
        <v>0.11044971983397447</v>
      </c>
      <c r="CH148" s="67">
        <f t="shared" si="1518"/>
        <v>0.10609711988409729</v>
      </c>
      <c r="CI148" s="67"/>
      <c r="CJ148" s="67">
        <f t="shared" si="1519"/>
        <v>0.10453859763806195</v>
      </c>
      <c r="CK148" s="67">
        <f t="shared" si="1519"/>
        <v>0.1094562347836978</v>
      </c>
      <c r="CL148" s="67">
        <f t="shared" si="1519"/>
        <v>0.10174420266846335</v>
      </c>
      <c r="CM148" s="67">
        <f t="shared" si="1519"/>
        <v>0.11105914504034239</v>
      </c>
      <c r="CN148" s="67">
        <f t="shared" si="1519"/>
        <v>0.10669703381751258</v>
      </c>
      <c r="CO148" s="239"/>
    </row>
    <row r="149" spans="2:93" s="137" customFormat="1" ht="18" customHeight="1" x14ac:dyDescent="0.25">
      <c r="B149" s="31" t="s">
        <v>376</v>
      </c>
      <c r="D149" s="67">
        <f t="shared" ref="D149:H149" si="1521">D129/D$132</f>
        <v>0.19804878048780489</v>
      </c>
      <c r="E149" s="67">
        <f t="shared" si="1521"/>
        <v>0.19439403105464811</v>
      </c>
      <c r="F149" s="67">
        <f t="shared" si="1521"/>
        <v>0.20630372492836677</v>
      </c>
      <c r="G149" s="67">
        <f t="shared" si="1521"/>
        <v>0.18432483474976394</v>
      </c>
      <c r="H149" s="67">
        <f t="shared" si="1521"/>
        <v>0.19542619542619544</v>
      </c>
      <c r="J149" s="67">
        <f t="shared" si="1506"/>
        <v>0.18795138277259116</v>
      </c>
      <c r="K149" s="67">
        <f t="shared" si="1506"/>
        <v>0.18972780298120545</v>
      </c>
      <c r="L149" s="67">
        <f t="shared" si="1506"/>
        <v>0.19514341017068451</v>
      </c>
      <c r="M149" s="67">
        <f t="shared" si="1506"/>
        <v>0.18632778264680105</v>
      </c>
      <c r="N149" s="67">
        <f t="shared" si="1506"/>
        <v>0.18978353487971769</v>
      </c>
      <c r="O149" s="67"/>
      <c r="P149" s="67">
        <f t="shared" si="1507"/>
        <v>0.17129235484420227</v>
      </c>
      <c r="Q149" s="67">
        <f t="shared" si="1507"/>
        <v>0.17133137467140869</v>
      </c>
      <c r="R149" s="67">
        <f t="shared" si="1507"/>
        <v>0.19814709775004727</v>
      </c>
      <c r="S149" s="67">
        <f t="shared" si="1507"/>
        <v>0.1693227091633466</v>
      </c>
      <c r="T149" s="67">
        <f t="shared" si="1507"/>
        <v>0.17713806349066183</v>
      </c>
      <c r="U149" s="67"/>
      <c r="V149" s="67">
        <f t="shared" si="1508"/>
        <v>0.20645610775661868</v>
      </c>
      <c r="W149" s="67">
        <f t="shared" si="1508"/>
        <v>0.23048418972332016</v>
      </c>
      <c r="X149" s="67">
        <f t="shared" si="1508"/>
        <v>0.19625246548323472</v>
      </c>
      <c r="Y149" s="67">
        <f t="shared" si="1508"/>
        <v>0.1881100266193434</v>
      </c>
      <c r="Z149" s="67">
        <f t="shared" si="1508"/>
        <v>0.20487055207471333</v>
      </c>
      <c r="AA149" s="67"/>
      <c r="AB149" s="67">
        <f t="shared" si="1509"/>
        <v>0.19802161568052756</v>
      </c>
      <c r="AC149" s="67">
        <f t="shared" si="1509"/>
        <v>0.22825318246110327</v>
      </c>
      <c r="AD149" s="67">
        <f t="shared" si="1509"/>
        <v>0.23596574690770694</v>
      </c>
      <c r="AE149" s="67">
        <f t="shared" si="1509"/>
        <v>0.21722454672245467</v>
      </c>
      <c r="AF149" s="67">
        <f t="shared" si="1509"/>
        <v>0.21975934135528816</v>
      </c>
      <c r="AG149" s="67"/>
      <c r="AH149" s="67">
        <f t="shared" si="1510"/>
        <v>0.20883074407195421</v>
      </c>
      <c r="AI149" s="67">
        <f t="shared" si="1510"/>
        <v>0.19923752693518978</v>
      </c>
      <c r="AJ149" s="67">
        <f t="shared" si="1510"/>
        <v>0.1986934353091141</v>
      </c>
      <c r="AK149" s="67">
        <f t="shared" si="1510"/>
        <v>0.20058436815193573</v>
      </c>
      <c r="AL149" s="67">
        <f t="shared" si="1510"/>
        <v>0.20178875301753135</v>
      </c>
      <c r="AM149" s="67"/>
      <c r="AN149" s="67">
        <f t="shared" si="1511"/>
        <v>0.19804328490957604</v>
      </c>
      <c r="AO149" s="67">
        <f t="shared" si="1511"/>
        <v>0.20100642996924797</v>
      </c>
      <c r="AP149" s="67">
        <f t="shared" si="1511"/>
        <v>0.19302757536790971</v>
      </c>
      <c r="AQ149" s="67">
        <f t="shared" si="1511"/>
        <v>0.17318607148335635</v>
      </c>
      <c r="AR149" s="67">
        <f t="shared" si="1511"/>
        <v>0.19162593916405282</v>
      </c>
      <c r="AS149" s="67"/>
      <c r="AT149" s="67">
        <f t="shared" si="1512"/>
        <v>0.15504358655043587</v>
      </c>
      <c r="AU149" s="67">
        <f t="shared" si="1512"/>
        <v>0.15666616788867274</v>
      </c>
      <c r="AV149" s="264">
        <f t="shared" si="1512"/>
        <v>0.18124507486209615</v>
      </c>
      <c r="AW149" s="67">
        <f t="shared" si="1512"/>
        <v>0.16822012151714319</v>
      </c>
      <c r="AX149" s="67">
        <f t="shared" si="1512"/>
        <v>0.16511260262902919</v>
      </c>
      <c r="AY149" s="67"/>
      <c r="AZ149" s="67">
        <f t="shared" si="1513"/>
        <v>0.15297450424929177</v>
      </c>
      <c r="BA149" s="67">
        <f t="shared" si="1513"/>
        <v>0.15577137661693599</v>
      </c>
      <c r="BB149" s="67">
        <f t="shared" si="1513"/>
        <v>0.18243299657677214</v>
      </c>
      <c r="BC149" s="67">
        <f t="shared" si="1513"/>
        <v>0.1644365213480696</v>
      </c>
      <c r="BD149" s="67">
        <f t="shared" si="1513"/>
        <v>0.16393959576520739</v>
      </c>
      <c r="BE149" s="67"/>
      <c r="BF149" s="67">
        <f t="shared" si="1514"/>
        <v>0.15300558884441942</v>
      </c>
      <c r="BG149" s="67">
        <f t="shared" si="1514"/>
        <v>0.15580203804053641</v>
      </c>
      <c r="BH149" s="67">
        <f t="shared" si="1514"/>
        <v>0.18246927032175195</v>
      </c>
      <c r="BI149" s="67">
        <f t="shared" si="1514"/>
        <v>0.16446987514656997</v>
      </c>
      <c r="BJ149" s="67">
        <f t="shared" si="1514"/>
        <v>0.16397244772794772</v>
      </c>
      <c r="BK149" s="67"/>
      <c r="BL149" s="67">
        <f t="shared" si="1515"/>
        <v>0.15390099938608223</v>
      </c>
      <c r="BM149" s="67">
        <f t="shared" si="1515"/>
        <v>0.15671305377927999</v>
      </c>
      <c r="BN149" s="67">
        <f t="shared" si="1515"/>
        <v>0.18351338420690361</v>
      </c>
      <c r="BO149" s="67">
        <f t="shared" si="1515"/>
        <v>0.1653953185882924</v>
      </c>
      <c r="BP149" s="67">
        <f t="shared" si="1515"/>
        <v>0.16491733671635453</v>
      </c>
      <c r="BQ149" s="67"/>
      <c r="BR149" s="67">
        <f t="shared" si="1516"/>
        <v>0.15479748375355676</v>
      </c>
      <c r="BS149" s="67">
        <f t="shared" si="1516"/>
        <v>0.1576251751333726</v>
      </c>
      <c r="BT149" s="67">
        <f t="shared" si="1516"/>
        <v>0.18455847939569694</v>
      </c>
      <c r="BU149" s="67">
        <f t="shared" si="1516"/>
        <v>0.16632142893569013</v>
      </c>
      <c r="BV149" s="67">
        <f t="shared" si="1516"/>
        <v>0.16586318907476497</v>
      </c>
      <c r="BW149" s="67"/>
      <c r="BX149" s="67">
        <f t="shared" si="1517"/>
        <v>0.15569501494686985</v>
      </c>
      <c r="BY149" s="67">
        <f t="shared" si="1517"/>
        <v>0.15853837429921047</v>
      </c>
      <c r="BZ149" s="67">
        <f t="shared" si="1517"/>
        <v>0.18560452356490467</v>
      </c>
      <c r="CA149" s="67">
        <f t="shared" si="1517"/>
        <v>0.16724817751885276</v>
      </c>
      <c r="CB149" s="67">
        <f t="shared" si="1517"/>
        <v>0.16680997577767362</v>
      </c>
      <c r="CC149" s="67"/>
      <c r="CD149" s="67">
        <f t="shared" si="1518"/>
        <v>0.15659356548854228</v>
      </c>
      <c r="CE149" s="67">
        <f t="shared" si="1518"/>
        <v>0.15945262299322285</v>
      </c>
      <c r="CF149" s="67">
        <f t="shared" si="1518"/>
        <v>0.18665148386705274</v>
      </c>
      <c r="CG149" s="67">
        <f t="shared" si="1518"/>
        <v>0.16817553521852541</v>
      </c>
      <c r="CH149" s="67">
        <f t="shared" si="1518"/>
        <v>0.1677576673157134</v>
      </c>
      <c r="CI149" s="67"/>
      <c r="CJ149" s="67">
        <f t="shared" si="1519"/>
        <v>0.15749310743320796</v>
      </c>
      <c r="CK149" s="67">
        <f t="shared" si="1519"/>
        <v>0.16036789246160066</v>
      </c>
      <c r="CL149" s="67">
        <f t="shared" si="1519"/>
        <v>0.18769932694241168</v>
      </c>
      <c r="CM149" s="67">
        <f t="shared" si="1519"/>
        <v>0.16910347247731292</v>
      </c>
      <c r="CN149" s="67">
        <f t="shared" si="1519"/>
        <v>0.16870623370629861</v>
      </c>
      <c r="CO149" s="239"/>
    </row>
    <row r="150" spans="2:93" s="137" customFormat="1" ht="18" customHeight="1" x14ac:dyDescent="0.25">
      <c r="B150" s="31" t="s">
        <v>377</v>
      </c>
      <c r="D150" s="67">
        <f t="shared" ref="D150:H150" si="1522">D130/D$132</f>
        <v>0.27219512195121953</v>
      </c>
      <c r="E150" s="67">
        <f t="shared" si="1522"/>
        <v>0.25892316999395038</v>
      </c>
      <c r="F150" s="67">
        <f t="shared" si="1522"/>
        <v>0.26422431436758087</v>
      </c>
      <c r="G150" s="67">
        <f t="shared" si="1522"/>
        <v>0.29159584513692161</v>
      </c>
      <c r="H150" s="67">
        <f t="shared" si="1522"/>
        <v>0.27208939708939711</v>
      </c>
      <c r="J150" s="67">
        <f t="shared" si="1506"/>
        <v>0.28677118196230406</v>
      </c>
      <c r="K150" s="67">
        <f t="shared" si="1506"/>
        <v>0.29731043421905379</v>
      </c>
      <c r="L150" s="67">
        <f t="shared" si="1506"/>
        <v>0.26922400140770719</v>
      </c>
      <c r="M150" s="67">
        <f t="shared" si="1506"/>
        <v>0.25942156003505695</v>
      </c>
      <c r="N150" s="67">
        <f t="shared" si="1506"/>
        <v>0.27856435856607997</v>
      </c>
      <c r="O150" s="67"/>
      <c r="P150" s="67">
        <f t="shared" si="1507"/>
        <v>0.26596288098075943</v>
      </c>
      <c r="Q150" s="67">
        <f t="shared" si="1507"/>
        <v>0.22158651615896088</v>
      </c>
      <c r="R150" s="67">
        <f t="shared" si="1507"/>
        <v>0.20533182076006806</v>
      </c>
      <c r="S150" s="67">
        <f t="shared" si="1507"/>
        <v>0.29382470119521914</v>
      </c>
      <c r="T150" s="67">
        <f t="shared" si="1507"/>
        <v>0.24530884365755662</v>
      </c>
      <c r="U150" s="67"/>
      <c r="V150" s="67">
        <f t="shared" si="1508"/>
        <v>0.24918718067812354</v>
      </c>
      <c r="W150" s="67">
        <f t="shared" si="1508"/>
        <v>0.31694664031620551</v>
      </c>
      <c r="X150" s="67">
        <f t="shared" si="1508"/>
        <v>0.30596646942800787</v>
      </c>
      <c r="Y150" s="67">
        <f t="shared" si="1508"/>
        <v>0.31433007985803019</v>
      </c>
      <c r="Z150" s="67">
        <f t="shared" si="1508"/>
        <v>0.29637072940063836</v>
      </c>
      <c r="AA150" s="67"/>
      <c r="AB150" s="67">
        <f t="shared" si="1509"/>
        <v>0.33742443671002015</v>
      </c>
      <c r="AC150" s="67">
        <f t="shared" si="1509"/>
        <v>0.24469589816124471</v>
      </c>
      <c r="AD150" s="67">
        <f t="shared" si="1509"/>
        <v>0.20475737392959087</v>
      </c>
      <c r="AE150" s="67">
        <f t="shared" si="1509"/>
        <v>0.21705020920502091</v>
      </c>
      <c r="AF150" s="67">
        <f t="shared" si="1509"/>
        <v>0.25092735004071293</v>
      </c>
      <c r="AG150" s="67"/>
      <c r="AH150" s="67">
        <f t="shared" si="1510"/>
        <v>0.23908421913327882</v>
      </c>
      <c r="AI150" s="67">
        <f t="shared" si="1510"/>
        <v>0.19028675617437427</v>
      </c>
      <c r="AJ150" s="67">
        <f t="shared" si="1510"/>
        <v>0.1727214786488209</v>
      </c>
      <c r="AK150" s="67">
        <f t="shared" si="1510"/>
        <v>0.16420745069393719</v>
      </c>
      <c r="AL150" s="67">
        <f t="shared" si="1510"/>
        <v>0.19066840793066603</v>
      </c>
      <c r="AM150" s="67"/>
      <c r="AN150" s="67">
        <f t="shared" si="1511"/>
        <v>0.17210198636228877</v>
      </c>
      <c r="AO150" s="67">
        <f t="shared" si="1511"/>
        <v>0.16060944925915571</v>
      </c>
      <c r="AP150" s="67">
        <f t="shared" si="1511"/>
        <v>0.14244892127446779</v>
      </c>
      <c r="AQ150" s="67">
        <f t="shared" si="1511"/>
        <v>0.16612977450529223</v>
      </c>
      <c r="AR150" s="67">
        <f t="shared" si="1511"/>
        <v>0.16011379385804947</v>
      </c>
      <c r="AS150" s="67"/>
      <c r="AT150" s="67">
        <f t="shared" si="1512"/>
        <v>0.15457658779576589</v>
      </c>
      <c r="AU150" s="67">
        <f t="shared" si="1512"/>
        <v>0.14589256322011074</v>
      </c>
      <c r="AV150" s="264">
        <f t="shared" si="1512"/>
        <v>0.13790386130811663</v>
      </c>
      <c r="AW150" s="67">
        <f t="shared" si="1512"/>
        <v>0.16136615731006737</v>
      </c>
      <c r="AX150" s="67">
        <f t="shared" si="1512"/>
        <v>0.1497589468192356</v>
      </c>
      <c r="AY150" s="67"/>
      <c r="AZ150" s="67">
        <f t="shared" si="1513"/>
        <v>0.15251373767022766</v>
      </c>
      <c r="BA150" s="67">
        <f t="shared" si="1513"/>
        <v>0.14505930487250485</v>
      </c>
      <c r="BB150" s="67">
        <f t="shared" si="1513"/>
        <v>0.13880771478667445</v>
      </c>
      <c r="BC150" s="67">
        <f t="shared" si="1513"/>
        <v>0.15773671622671337</v>
      </c>
      <c r="BD150" s="67">
        <f t="shared" si="1513"/>
        <v>0.14845314283526459</v>
      </c>
      <c r="BE150" s="67"/>
      <c r="BF150" s="67">
        <f t="shared" si="1514"/>
        <v>0.15254472863705673</v>
      </c>
      <c r="BG150" s="67">
        <f t="shared" si="1514"/>
        <v>0.14508785777413849</v>
      </c>
      <c r="BH150" s="67">
        <f t="shared" si="1514"/>
        <v>0.13883531437524604</v>
      </c>
      <c r="BI150" s="67">
        <f t="shared" si="1514"/>
        <v>0.15776871105733861</v>
      </c>
      <c r="BJ150" s="67">
        <f t="shared" si="1514"/>
        <v>0.1484828914575809</v>
      </c>
      <c r="BK150" s="67"/>
      <c r="BL150" s="67">
        <f t="shared" si="1515"/>
        <v>0.15343744215901572</v>
      </c>
      <c r="BM150" s="67">
        <f t="shared" si="1515"/>
        <v>0.14593622486609167</v>
      </c>
      <c r="BN150" s="67">
        <f t="shared" si="1515"/>
        <v>0.13962974885307883</v>
      </c>
      <c r="BO150" s="67">
        <f t="shared" si="1515"/>
        <v>0.15865644821179867</v>
      </c>
      <c r="BP150" s="67">
        <f t="shared" si="1515"/>
        <v>0.1493385220897335</v>
      </c>
      <c r="BQ150" s="67"/>
      <c r="BR150" s="67">
        <f t="shared" si="1516"/>
        <v>0.15433122627237136</v>
      </c>
      <c r="BS150" s="67">
        <f t="shared" si="1516"/>
        <v>0.14678562154253894</v>
      </c>
      <c r="BT150" s="67">
        <f t="shared" si="1516"/>
        <v>0.14042492997498679</v>
      </c>
      <c r="BU150" s="67">
        <f t="shared" si="1516"/>
        <v>0.15954482509951498</v>
      </c>
      <c r="BV150" s="67">
        <f t="shared" si="1516"/>
        <v>0.15019502508773572</v>
      </c>
      <c r="BW150" s="67"/>
      <c r="BX150" s="67">
        <f t="shared" si="1517"/>
        <v>0.15522605405847567</v>
      </c>
      <c r="BY150" s="67">
        <f t="shared" si="1517"/>
        <v>0.1476360219118722</v>
      </c>
      <c r="BZ150" s="67">
        <f t="shared" si="1517"/>
        <v>0.1412208331472101</v>
      </c>
      <c r="CA150" s="67">
        <f t="shared" si="1517"/>
        <v>0.16043381421870467</v>
      </c>
      <c r="CB150" s="67">
        <f t="shared" si="1517"/>
        <v>0.15105237416795875</v>
      </c>
      <c r="CC150" s="67"/>
      <c r="CD150" s="67">
        <f t="shared" si="1518"/>
        <v>0.15612189812261293</v>
      </c>
      <c r="CE150" s="67">
        <f t="shared" si="1518"/>
        <v>0.14848739963552268</v>
      </c>
      <c r="CF150" s="67">
        <f t="shared" si="1518"/>
        <v>0.14201743337710535</v>
      </c>
      <c r="CG150" s="67">
        <f t="shared" si="1518"/>
        <v>0.16132338763654833</v>
      </c>
      <c r="CH150" s="67">
        <f t="shared" si="1518"/>
        <v>0.15191054260861953</v>
      </c>
      <c r="CI150" s="67"/>
      <c r="CJ150" s="67">
        <f t="shared" si="1519"/>
        <v>0.1570187306035899</v>
      </c>
      <c r="CK150" s="67">
        <f t="shared" si="1519"/>
        <v>0.14933972793702063</v>
      </c>
      <c r="CL150" s="67">
        <f t="shared" si="1519"/>
        <v>0.14281470528226978</v>
      </c>
      <c r="CM150" s="67">
        <f t="shared" si="1519"/>
        <v>0.16221351699993794</v>
      </c>
      <c r="CN150" s="67">
        <f t="shared" si="1519"/>
        <v>0.15276950325941896</v>
      </c>
      <c r="CO150" s="239"/>
    </row>
    <row r="151" spans="2:93" s="137" customFormat="1" ht="18" customHeight="1" x14ac:dyDescent="0.25">
      <c r="B151" s="31" t="s">
        <v>378</v>
      </c>
      <c r="C151" s="31"/>
      <c r="D151" s="390">
        <f t="shared" ref="D151:H151" si="1523">D131/D$132</f>
        <v>2.1951219512195124E-3</v>
      </c>
      <c r="E151" s="390">
        <f t="shared" si="1523"/>
        <v>5.8479532163742687E-3</v>
      </c>
      <c r="F151" s="390">
        <f t="shared" si="1523"/>
        <v>6.5493246009005321E-3</v>
      </c>
      <c r="G151" s="390">
        <f t="shared" si="1523"/>
        <v>6.987724268177526E-3</v>
      </c>
      <c r="H151" s="390">
        <f t="shared" si="1523"/>
        <v>5.5613305613305616E-3</v>
      </c>
      <c r="I151" s="31"/>
      <c r="J151" s="390">
        <f t="shared" si="1506"/>
        <v>3.1706887440549588E-3</v>
      </c>
      <c r="K151" s="390">
        <f t="shared" si="1506"/>
        <v>5.6707712248865848E-3</v>
      </c>
      <c r="L151" s="390">
        <f t="shared" si="1506"/>
        <v>5.1029385887735347E-3</v>
      </c>
      <c r="M151" s="390">
        <f t="shared" si="1506"/>
        <v>6.836108676599474E-3</v>
      </c>
      <c r="N151" s="390">
        <f t="shared" si="1506"/>
        <v>5.2072126350217324E-3</v>
      </c>
      <c r="O151" s="390"/>
      <c r="P151" s="390">
        <f t="shared" si="1507"/>
        <v>3.5756853396901071E-3</v>
      </c>
      <c r="Q151" s="390">
        <f t="shared" si="1507"/>
        <v>3.2472552961187568E-3</v>
      </c>
      <c r="R151" s="390">
        <f t="shared" si="1507"/>
        <v>2.6470032142181885E-3</v>
      </c>
      <c r="S151" s="390">
        <f t="shared" si="1507"/>
        <v>7.3705179282868528E-3</v>
      </c>
      <c r="T151" s="390">
        <f t="shared" si="1507"/>
        <v>4.1061415515033775E-3</v>
      </c>
      <c r="U151" s="390"/>
      <c r="V151" s="390">
        <f t="shared" si="1508"/>
        <v>-1.3934045517882026E-3</v>
      </c>
      <c r="W151" s="390">
        <f t="shared" si="1508"/>
        <v>3.952569169960474E-3</v>
      </c>
      <c r="X151" s="390">
        <f t="shared" si="1508"/>
        <v>1.9723865877712033E-3</v>
      </c>
      <c r="Y151" s="390">
        <f t="shared" si="1508"/>
        <v>5.3238686779059448E-3</v>
      </c>
      <c r="Z151" s="390">
        <f t="shared" si="1508"/>
        <v>2.482562950703393E-3</v>
      </c>
      <c r="AA151" s="390"/>
      <c r="AB151" s="390">
        <f t="shared" si="1509"/>
        <v>3.2973071991207179E-3</v>
      </c>
      <c r="AC151" s="390">
        <f t="shared" si="1509"/>
        <v>9.3705799151343697E-3</v>
      </c>
      <c r="AD151" s="390">
        <f t="shared" si="1509"/>
        <v>-1.1417697431018079E-3</v>
      </c>
      <c r="AE151" s="390">
        <f t="shared" si="1509"/>
        <v>8.1938633193863325E-3</v>
      </c>
      <c r="AF151" s="390">
        <f t="shared" si="1509"/>
        <v>5.0664977834072198E-3</v>
      </c>
      <c r="AG151" s="390"/>
      <c r="AH151" s="390">
        <f t="shared" si="1510"/>
        <v>4.7424366312346687E-3</v>
      </c>
      <c r="AI151" s="390">
        <f t="shared" si="1510"/>
        <v>6.9617105917454004E-3</v>
      </c>
      <c r="AJ151" s="390">
        <f t="shared" si="1510"/>
        <v>6.3734862970044612E-3</v>
      </c>
      <c r="AK151" s="390">
        <f t="shared" si="1510"/>
        <v>4.528853177501826E-3</v>
      </c>
      <c r="AL151" s="390">
        <f t="shared" si="1510"/>
        <v>5.6195338161383517E-3</v>
      </c>
      <c r="AM151" s="390"/>
      <c r="AN151" s="390">
        <f t="shared" si="1511"/>
        <v>6.2259116513489476E-3</v>
      </c>
      <c r="AO151" s="390">
        <f t="shared" si="1511"/>
        <v>4.6128040257198766E-3</v>
      </c>
      <c r="AP151" s="390">
        <f t="shared" si="1511"/>
        <v>2.5717959708529792E-3</v>
      </c>
      <c r="AQ151" s="390">
        <f t="shared" si="1511"/>
        <v>4.7553305721736465E-3</v>
      </c>
      <c r="AR151" s="390">
        <f t="shared" si="1511"/>
        <v>4.5225764096578887E-3</v>
      </c>
      <c r="AS151" s="390"/>
      <c r="AT151" s="390">
        <f t="shared" si="1512"/>
        <v>1.0896637608966376E-3</v>
      </c>
      <c r="AU151" s="390">
        <f t="shared" si="1512"/>
        <v>4.0401017507107582E-3</v>
      </c>
      <c r="AV151" s="392">
        <f t="shared" si="1512"/>
        <v>5.2009456264775411E-3</v>
      </c>
      <c r="AW151" s="390">
        <f t="shared" si="1512"/>
        <v>4.1388672748042315E-3</v>
      </c>
      <c r="AX151" s="390">
        <f t="shared" si="1512"/>
        <v>3.6089328934619472E-3</v>
      </c>
      <c r="AY151" s="390"/>
      <c r="AZ151" s="390">
        <f t="shared" si="1513"/>
        <v>4.2663572135567766E-3</v>
      </c>
      <c r="BA151" s="390">
        <f t="shared" si="1513"/>
        <v>4.1327437285613921E-3</v>
      </c>
      <c r="BB151" s="390">
        <f t="shared" si="1513"/>
        <v>4.174668113884946E-3</v>
      </c>
      <c r="BC151" s="390">
        <f t="shared" si="1513"/>
        <v>4.2587116204908767E-3</v>
      </c>
      <c r="BD151" s="390">
        <f t="shared" si="1513"/>
        <v>4.2073606090911805E-3</v>
      </c>
      <c r="BE151" s="390"/>
      <c r="BF151" s="390">
        <f t="shared" si="1514"/>
        <v>4.0640229926164825E-3</v>
      </c>
      <c r="BG151" s="390">
        <f t="shared" si="1514"/>
        <v>3.9367211443261021E-3</v>
      </c>
      <c r="BH151" s="390">
        <f t="shared" si="1514"/>
        <v>3.9766649301896471E-3</v>
      </c>
      <c r="BI151" s="390">
        <f t="shared" si="1514"/>
        <v>4.0567385185375096E-3</v>
      </c>
      <c r="BJ151" s="390">
        <f t="shared" si="1514"/>
        <v>4.0078130712699177E-3</v>
      </c>
      <c r="BK151" s="390"/>
      <c r="BL151" s="390">
        <f t="shared" si="1515"/>
        <v>3.930582918417724E-3</v>
      </c>
      <c r="BM151" s="390">
        <f t="shared" si="1515"/>
        <v>3.8074424946539891E-3</v>
      </c>
      <c r="BN151" s="390">
        <f t="shared" si="1515"/>
        <v>3.8455961016023252E-3</v>
      </c>
      <c r="BO151" s="390">
        <f t="shared" si="1515"/>
        <v>3.9226587327745206E-3</v>
      </c>
      <c r="BP151" s="390">
        <f t="shared" si="1515"/>
        <v>3.8758731147147318E-3</v>
      </c>
      <c r="BQ151" s="390"/>
      <c r="BR151" s="390">
        <f t="shared" si="1516"/>
        <v>3.8014219673366836E-3</v>
      </c>
      <c r="BS151" s="390">
        <f t="shared" si="1516"/>
        <v>3.6823106329894636E-3</v>
      </c>
      <c r="BT151" s="390">
        <f t="shared" si="1516"/>
        <v>3.7187466228702248E-3</v>
      </c>
      <c r="BU151" s="390">
        <f t="shared" si="1516"/>
        <v>3.7929068927727923E-3</v>
      </c>
      <c r="BV151" s="390">
        <f t="shared" si="1516"/>
        <v>3.7481754382558824E-3</v>
      </c>
      <c r="BW151" s="390"/>
      <c r="BX151" s="390">
        <f t="shared" si="1517"/>
        <v>3.6764067208245933E-3</v>
      </c>
      <c r="BY151" s="390">
        <f t="shared" si="1517"/>
        <v>3.5611961982991124E-3</v>
      </c>
      <c r="BZ151" s="390">
        <f t="shared" si="1517"/>
        <v>3.5959844306865042E-3</v>
      </c>
      <c r="CA151" s="390">
        <f t="shared" si="1517"/>
        <v>3.6673472088992998E-3</v>
      </c>
      <c r="CB151" s="390">
        <f t="shared" si="1517"/>
        <v>3.6245874220985873E-3</v>
      </c>
      <c r="CC151" s="390"/>
      <c r="CD151" s="390">
        <f t="shared" si="1518"/>
        <v>3.5554077704440445E-3</v>
      </c>
      <c r="CE151" s="390">
        <f t="shared" si="1518"/>
        <v>3.4439737219793942E-3</v>
      </c>
      <c r="CF151" s="390">
        <f t="shared" si="1518"/>
        <v>3.4771814464743143E-3</v>
      </c>
      <c r="CG151" s="390">
        <f t="shared" si="1518"/>
        <v>3.5458479959731724E-3</v>
      </c>
      <c r="CH151" s="390">
        <f t="shared" si="1518"/>
        <v>3.504980443018228E-3</v>
      </c>
      <c r="CI151" s="390"/>
      <c r="CJ151" s="390">
        <f t="shared" si="1519"/>
        <v>3.4382996038948483E-3</v>
      </c>
      <c r="CK151" s="390">
        <f t="shared" si="1519"/>
        <v>3.3305215169584612E-3</v>
      </c>
      <c r="CL151" s="390">
        <f t="shared" si="1519"/>
        <v>3.3622134626665372E-3</v>
      </c>
      <c r="CM151" s="390">
        <f t="shared" si="1519"/>
        <v>3.4282815560759362E-3</v>
      </c>
      <c r="CN151" s="390">
        <f t="shared" si="1519"/>
        <v>3.3892297604577355E-3</v>
      </c>
      <c r="CO151" s="239"/>
    </row>
    <row r="152" spans="2:93" s="137" customFormat="1" ht="18" customHeight="1" x14ac:dyDescent="0.25">
      <c r="B152" s="155" t="s">
        <v>384</v>
      </c>
      <c r="C152" s="155"/>
      <c r="D152" s="396">
        <f>SUM(D147:D151)</f>
        <v>1</v>
      </c>
      <c r="E152" s="396">
        <f t="shared" ref="E152:H152" si="1524">SUM(E147:E151)</f>
        <v>1</v>
      </c>
      <c r="F152" s="396">
        <f t="shared" si="1524"/>
        <v>1</v>
      </c>
      <c r="G152" s="396">
        <f t="shared" si="1524"/>
        <v>1</v>
      </c>
      <c r="H152" s="396">
        <f t="shared" si="1524"/>
        <v>1</v>
      </c>
      <c r="I152" s="155"/>
      <c r="J152" s="396">
        <f>SUM(J147:J151)</f>
        <v>0.99999999999999989</v>
      </c>
      <c r="K152" s="396">
        <f t="shared" ref="K152:Z152" si="1525">SUM(K147:K151)</f>
        <v>0.99999999999999989</v>
      </c>
      <c r="L152" s="396">
        <f t="shared" si="1525"/>
        <v>1</v>
      </c>
      <c r="M152" s="396">
        <f t="shared" si="1525"/>
        <v>0.99999999999999989</v>
      </c>
      <c r="N152" s="396">
        <f t="shared" si="1525"/>
        <v>1</v>
      </c>
      <c r="O152" s="396"/>
      <c r="P152" s="396">
        <f t="shared" si="1525"/>
        <v>0.99999999999999989</v>
      </c>
      <c r="Q152" s="396">
        <f t="shared" si="1525"/>
        <v>1</v>
      </c>
      <c r="R152" s="396">
        <f t="shared" si="1525"/>
        <v>1</v>
      </c>
      <c r="S152" s="396">
        <f t="shared" si="1525"/>
        <v>1</v>
      </c>
      <c r="T152" s="396">
        <f t="shared" si="1525"/>
        <v>1</v>
      </c>
      <c r="U152" s="396"/>
      <c r="V152" s="396">
        <f t="shared" si="1525"/>
        <v>1</v>
      </c>
      <c r="W152" s="396">
        <f t="shared" si="1525"/>
        <v>1</v>
      </c>
      <c r="X152" s="396">
        <f t="shared" si="1525"/>
        <v>1</v>
      </c>
      <c r="Y152" s="396">
        <f t="shared" si="1525"/>
        <v>1</v>
      </c>
      <c r="Z152" s="396">
        <f t="shared" si="1525"/>
        <v>0.99999999999999989</v>
      </c>
      <c r="AA152" s="396"/>
      <c r="AB152" s="396">
        <f t="shared" ref="AB152" si="1526">SUM(AB147:AB151)</f>
        <v>1</v>
      </c>
      <c r="AC152" s="396">
        <f t="shared" ref="AC152" si="1527">SUM(AC147:AC151)</f>
        <v>1</v>
      </c>
      <c r="AD152" s="396">
        <f t="shared" ref="AD152" si="1528">SUM(AD147:AD151)</f>
        <v>1</v>
      </c>
      <c r="AE152" s="396">
        <f t="shared" ref="AE152" si="1529">SUM(AE147:AE151)</f>
        <v>1.0000000000000002</v>
      </c>
      <c r="AF152" s="396">
        <f t="shared" ref="AF152" si="1530">SUM(AF147:AF151)</f>
        <v>1</v>
      </c>
      <c r="AG152" s="396"/>
      <c r="AH152" s="396">
        <f t="shared" ref="AH152" si="1531">SUM(AH147:AH151)</f>
        <v>1</v>
      </c>
      <c r="AI152" s="396">
        <f t="shared" ref="AI152" si="1532">SUM(AI147:AI151)</f>
        <v>1</v>
      </c>
      <c r="AJ152" s="396">
        <f t="shared" ref="AJ152" si="1533">SUM(AJ147:AJ151)</f>
        <v>1</v>
      </c>
      <c r="AK152" s="396">
        <f t="shared" ref="AK152" si="1534">SUM(AK147:AK151)</f>
        <v>1</v>
      </c>
      <c r="AL152" s="396">
        <f t="shared" ref="AL152" si="1535">SUM(AL147:AL151)</f>
        <v>0.99999999999999989</v>
      </c>
      <c r="AM152" s="396"/>
      <c r="AN152" s="396">
        <f t="shared" ref="AN152" si="1536">SUM(AN147:AN151)</f>
        <v>1</v>
      </c>
      <c r="AO152" s="396">
        <f t="shared" ref="AO152" si="1537">SUM(AO147:AO151)</f>
        <v>1</v>
      </c>
      <c r="AP152" s="396">
        <f t="shared" ref="AP152" si="1538">SUM(AP147:AP151)</f>
        <v>1</v>
      </c>
      <c r="AQ152" s="396">
        <f t="shared" ref="AQ152" si="1539">SUM(AQ147:AQ151)</f>
        <v>1</v>
      </c>
      <c r="AR152" s="396">
        <f t="shared" ref="AR152" si="1540">SUM(AR147:AR151)</f>
        <v>1</v>
      </c>
      <c r="AS152" s="396"/>
      <c r="AT152" s="396">
        <f t="shared" ref="AT152" si="1541">SUM(AT147:AT151)</f>
        <v>1</v>
      </c>
      <c r="AU152" s="396">
        <f t="shared" ref="AU152" si="1542">SUM(AU147:AU151)</f>
        <v>1</v>
      </c>
      <c r="AV152" s="398">
        <f t="shared" ref="AV152" si="1543">SUM(AV147:AV151)</f>
        <v>1</v>
      </c>
      <c r="AW152" s="396">
        <f t="shared" ref="AW152:AX152" si="1544">SUM(AW147:AW151)</f>
        <v>0.99999999999999989</v>
      </c>
      <c r="AX152" s="396">
        <f t="shared" si="1544"/>
        <v>1</v>
      </c>
      <c r="AY152" s="396"/>
      <c r="AZ152" s="396">
        <f t="shared" ref="AZ152" si="1545">SUM(AZ147:AZ151)</f>
        <v>0.99999999999999989</v>
      </c>
      <c r="BA152" s="396">
        <f t="shared" ref="BA152" si="1546">SUM(BA147:BA151)</f>
        <v>1</v>
      </c>
      <c r="BB152" s="396">
        <f t="shared" ref="BB152" si="1547">SUM(BB147:BB151)</f>
        <v>0.99999999999999989</v>
      </c>
      <c r="BC152" s="396">
        <f t="shared" ref="BC152:BD152" si="1548">SUM(BC147:BC151)</f>
        <v>1</v>
      </c>
      <c r="BD152" s="396">
        <f t="shared" si="1548"/>
        <v>1</v>
      </c>
      <c r="BE152" s="396"/>
      <c r="BF152" s="396">
        <f t="shared" ref="BF152" si="1549">SUM(BF147:BF151)</f>
        <v>0.99999999999999978</v>
      </c>
      <c r="BG152" s="396">
        <f t="shared" ref="BG152" si="1550">SUM(BG147:BG151)</f>
        <v>0.99999999999999989</v>
      </c>
      <c r="BH152" s="396">
        <f t="shared" ref="BH152" si="1551">SUM(BH147:BH151)</f>
        <v>0.99999999999999989</v>
      </c>
      <c r="BI152" s="396">
        <f t="shared" ref="BI152" si="1552">SUM(BI147:BI151)</f>
        <v>0.99999999999999989</v>
      </c>
      <c r="BJ152" s="396">
        <f t="shared" ref="BJ152" si="1553">SUM(BJ147:BJ151)</f>
        <v>1</v>
      </c>
      <c r="BK152" s="396"/>
      <c r="BL152" s="396">
        <f t="shared" ref="BL152" si="1554">SUM(BL147:BL151)</f>
        <v>1</v>
      </c>
      <c r="BM152" s="396">
        <f t="shared" ref="BM152" si="1555">SUM(BM147:BM151)</f>
        <v>1</v>
      </c>
      <c r="BN152" s="396">
        <f t="shared" ref="BN152" si="1556">SUM(BN147:BN151)</f>
        <v>0.99999999999999989</v>
      </c>
      <c r="BO152" s="396">
        <f t="shared" ref="BO152" si="1557">SUM(BO147:BO151)</f>
        <v>1</v>
      </c>
      <c r="BP152" s="396">
        <f t="shared" ref="BP152" si="1558">SUM(BP147:BP151)</f>
        <v>1</v>
      </c>
      <c r="BQ152" s="396"/>
      <c r="BR152" s="396">
        <f t="shared" ref="BR152" si="1559">SUM(BR147:BR151)</f>
        <v>1.0000000000000002</v>
      </c>
      <c r="BS152" s="396">
        <f t="shared" ref="BS152" si="1560">SUM(BS147:BS151)</f>
        <v>1</v>
      </c>
      <c r="BT152" s="396">
        <f t="shared" ref="BT152" si="1561">SUM(BT147:BT151)</f>
        <v>0.99999999999999989</v>
      </c>
      <c r="BU152" s="396">
        <f t="shared" ref="BU152" si="1562">SUM(BU147:BU151)</f>
        <v>0.99999999999999989</v>
      </c>
      <c r="BV152" s="396">
        <f t="shared" ref="BV152" si="1563">SUM(BV147:BV151)</f>
        <v>1</v>
      </c>
      <c r="BW152" s="396"/>
      <c r="BX152" s="396">
        <f t="shared" ref="BX152" si="1564">SUM(BX147:BX151)</f>
        <v>1.0000000000000002</v>
      </c>
      <c r="BY152" s="396">
        <f t="shared" ref="BY152" si="1565">SUM(BY147:BY151)</f>
        <v>1</v>
      </c>
      <c r="BZ152" s="396">
        <f t="shared" ref="BZ152" si="1566">SUM(BZ147:BZ151)</f>
        <v>1</v>
      </c>
      <c r="CA152" s="396">
        <f t="shared" ref="CA152" si="1567">SUM(CA147:CA151)</f>
        <v>1</v>
      </c>
      <c r="CB152" s="396">
        <f t="shared" ref="CB152" si="1568">SUM(CB147:CB151)</f>
        <v>1.0000000000000002</v>
      </c>
      <c r="CC152" s="396"/>
      <c r="CD152" s="396">
        <f t="shared" ref="CD152" si="1569">SUM(CD147:CD151)</f>
        <v>0.99999999999999989</v>
      </c>
      <c r="CE152" s="396">
        <f t="shared" ref="CE152" si="1570">SUM(CE147:CE151)</f>
        <v>0.99999999999999989</v>
      </c>
      <c r="CF152" s="396">
        <f t="shared" ref="CF152" si="1571">SUM(CF147:CF151)</f>
        <v>1</v>
      </c>
      <c r="CG152" s="396">
        <f t="shared" ref="CG152" si="1572">SUM(CG147:CG151)</f>
        <v>1</v>
      </c>
      <c r="CH152" s="396">
        <f t="shared" ref="CH152" si="1573">SUM(CH147:CH151)</f>
        <v>1.0000000000000002</v>
      </c>
      <c r="CI152" s="396"/>
      <c r="CJ152" s="396">
        <f t="shared" ref="CJ152" si="1574">SUM(CJ147:CJ151)</f>
        <v>1</v>
      </c>
      <c r="CK152" s="396">
        <f t="shared" ref="CK152" si="1575">SUM(CK147:CK151)</f>
        <v>1.0000000000000002</v>
      </c>
      <c r="CL152" s="396">
        <f t="shared" ref="CL152" si="1576">SUM(CL147:CL151)</f>
        <v>0.99999999999999989</v>
      </c>
      <c r="CM152" s="396">
        <f t="shared" ref="CM152" si="1577">SUM(CM147:CM151)</f>
        <v>0.99999999999999989</v>
      </c>
      <c r="CN152" s="396">
        <f t="shared" ref="CN152" si="1578">SUM(CN147:CN151)</f>
        <v>0.99999999999999989</v>
      </c>
      <c r="CO152" s="239"/>
    </row>
    <row r="153" spans="2:93" s="137" customFormat="1" ht="18" customHeight="1" thickBot="1" x14ac:dyDescent="0.3">
      <c r="B153" s="136"/>
      <c r="D153" s="210"/>
      <c r="E153" s="210"/>
      <c r="F153" s="210"/>
      <c r="G153" s="210"/>
      <c r="H153" s="210"/>
      <c r="I153" s="210"/>
      <c r="J153" s="420"/>
      <c r="K153" s="420"/>
      <c r="L153" s="420"/>
      <c r="M153" s="420"/>
      <c r="N153" s="420"/>
      <c r="O153" s="211"/>
      <c r="P153" s="420"/>
      <c r="Q153" s="420"/>
      <c r="R153" s="420"/>
      <c r="S153" s="420"/>
      <c r="T153" s="420"/>
      <c r="U153" s="211"/>
      <c r="V153" s="420"/>
      <c r="W153" s="420"/>
      <c r="X153" s="420"/>
      <c r="Y153" s="420"/>
      <c r="Z153" s="420"/>
      <c r="AA153" s="211"/>
      <c r="AB153" s="420"/>
      <c r="AC153" s="420"/>
      <c r="AD153" s="420"/>
      <c r="AE153" s="420"/>
      <c r="AF153" s="420"/>
      <c r="AG153" s="210"/>
      <c r="AH153" s="420"/>
      <c r="AI153" s="420"/>
      <c r="AJ153" s="420"/>
      <c r="AK153" s="420"/>
      <c r="AL153" s="420"/>
      <c r="AM153" s="210"/>
      <c r="AN153" s="420"/>
      <c r="AO153" s="420"/>
      <c r="AP153" s="420"/>
      <c r="AQ153" s="420"/>
      <c r="AR153" s="420"/>
      <c r="AS153" s="211"/>
      <c r="AT153" s="420"/>
      <c r="AU153" s="420"/>
      <c r="AV153" s="421"/>
      <c r="AW153" s="420"/>
      <c r="AX153" s="420"/>
      <c r="AY153" s="210"/>
      <c r="AZ153" s="420"/>
      <c r="BA153" s="420"/>
      <c r="BB153" s="420"/>
      <c r="BC153" s="420"/>
      <c r="BD153" s="420"/>
      <c r="BE153" s="210"/>
      <c r="BF153" s="420"/>
      <c r="BG153" s="420"/>
      <c r="BH153" s="420"/>
      <c r="BI153" s="420"/>
      <c r="BJ153" s="420"/>
      <c r="BK153" s="210"/>
      <c r="BL153" s="420"/>
      <c r="BM153" s="420"/>
      <c r="BN153" s="420"/>
      <c r="BO153" s="420"/>
      <c r="BP153" s="420"/>
      <c r="BQ153" s="420"/>
      <c r="BR153" s="420"/>
      <c r="BS153" s="420"/>
      <c r="BT153" s="420"/>
      <c r="BU153" s="420"/>
      <c r="BV153" s="420"/>
      <c r="BW153" s="210"/>
      <c r="BX153" s="420"/>
      <c r="BY153" s="420"/>
      <c r="BZ153" s="420"/>
      <c r="CA153" s="420"/>
      <c r="CB153" s="420"/>
      <c r="CC153" s="210"/>
      <c r="CD153" s="420"/>
      <c r="CE153" s="420"/>
      <c r="CF153" s="420"/>
      <c r="CG153" s="420"/>
      <c r="CH153" s="420"/>
      <c r="CI153" s="210"/>
      <c r="CJ153" s="420"/>
      <c r="CK153" s="420"/>
      <c r="CL153" s="420"/>
      <c r="CM153" s="420"/>
      <c r="CN153" s="420"/>
      <c r="CO153" s="379"/>
    </row>
    <row r="154" spans="2:93" s="137" customFormat="1" ht="18" customHeight="1" x14ac:dyDescent="0.25">
      <c r="B154" s="212" t="s">
        <v>127</v>
      </c>
      <c r="C154" s="207"/>
      <c r="D154" s="250">
        <v>634</v>
      </c>
      <c r="E154" s="250">
        <v>900</v>
      </c>
      <c r="F154" s="250">
        <v>884</v>
      </c>
      <c r="G154" s="250">
        <v>837</v>
      </c>
      <c r="H154" s="286">
        <f>SUM(D154:G154)</f>
        <v>3255</v>
      </c>
      <c r="I154" s="379"/>
      <c r="J154" s="250">
        <v>1117</v>
      </c>
      <c r="K154" s="250">
        <v>1154</v>
      </c>
      <c r="L154" s="250">
        <v>1058</v>
      </c>
      <c r="M154" s="250">
        <v>845</v>
      </c>
      <c r="N154" s="286">
        <f>SUM(J154:M154)</f>
        <v>4174</v>
      </c>
      <c r="O154" s="380"/>
      <c r="P154" s="250">
        <v>1085</v>
      </c>
      <c r="Q154" s="250">
        <v>1247</v>
      </c>
      <c r="R154" s="250">
        <v>940</v>
      </c>
      <c r="S154" s="250">
        <v>659</v>
      </c>
      <c r="T154" s="286">
        <f>SUM(P154:S154)</f>
        <v>3931</v>
      </c>
      <c r="U154" s="380"/>
      <c r="V154" s="250">
        <v>640</v>
      </c>
      <c r="W154" s="250">
        <v>518</v>
      </c>
      <c r="X154" s="250">
        <v>585</v>
      </c>
      <c r="Y154" s="250">
        <v>630</v>
      </c>
      <c r="Z154" s="286">
        <f>SUM(V154:Y154)</f>
        <v>2373</v>
      </c>
      <c r="AA154" s="380"/>
      <c r="AB154" s="250">
        <v>1042</v>
      </c>
      <c r="AC154" s="250">
        <v>1029</v>
      </c>
      <c r="AD154" s="250">
        <v>866</v>
      </c>
      <c r="AE154" s="250">
        <v>795</v>
      </c>
      <c r="AF154" s="286">
        <f>SUM(AB154:AE154)</f>
        <v>3732</v>
      </c>
      <c r="AG154" s="379"/>
      <c r="AH154" s="250">
        <v>1057</v>
      </c>
      <c r="AI154" s="250">
        <v>989</v>
      </c>
      <c r="AJ154" s="250">
        <v>1209</v>
      </c>
      <c r="AK154" s="250">
        <v>1488</v>
      </c>
      <c r="AL154" s="286">
        <f>SUM(AH154:AK154)</f>
        <v>4743</v>
      </c>
      <c r="AM154" s="379"/>
      <c r="AN154" s="250">
        <v>1790</v>
      </c>
      <c r="AO154" s="250">
        <v>1803</v>
      </c>
      <c r="AP154" s="250">
        <v>1847</v>
      </c>
      <c r="AQ154" s="250">
        <v>1535</v>
      </c>
      <c r="AR154" s="286">
        <f>SUM(AN154:AQ154)</f>
        <v>6975</v>
      </c>
      <c r="AS154" s="380"/>
      <c r="AT154" s="250">
        <v>1764</v>
      </c>
      <c r="AU154" s="250">
        <v>1741</v>
      </c>
      <c r="AV154" s="395">
        <v>1486</v>
      </c>
      <c r="AW154" s="286">
        <f>AQ154+(AW132-AQ132)*AW157</f>
        <v>1367.4550000000002</v>
      </c>
      <c r="AX154" s="286">
        <f>SUM(AT154:AW154)</f>
        <v>6358.4549999999999</v>
      </c>
      <c r="AY154" s="379"/>
      <c r="AZ154" s="381">
        <f>AT154+(AZ132-AT132)*AZ157</f>
        <v>1538.3200000000002</v>
      </c>
      <c r="BA154" s="381">
        <f>AU154+(BA132-AU132)*BA157</f>
        <v>1487.5</v>
      </c>
      <c r="BB154" s="381">
        <f>AV154+(BB132-AV132)*BB157</f>
        <v>1343.4</v>
      </c>
      <c r="BC154" s="381">
        <f>AW154+(BC132-AW132)*BC157</f>
        <v>1299.463</v>
      </c>
      <c r="BD154" s="286">
        <f>SUM(AZ154:BC154)</f>
        <v>5668.683</v>
      </c>
      <c r="BE154" s="379"/>
      <c r="BF154" s="381">
        <f>AZ154+(BF132-AZ132)*BF157</f>
        <v>1655.0160000000005</v>
      </c>
      <c r="BG154" s="381">
        <f>BA154+(BG132-BA132)*BG157</f>
        <v>1607.9850000000001</v>
      </c>
      <c r="BH154" s="381">
        <f>BB154+(BH132-BB132)*BH157</f>
        <v>1462.67</v>
      </c>
      <c r="BI154" s="381">
        <f>BC154+(BI132-BC132)*BI157</f>
        <v>1416.3694000000003</v>
      </c>
      <c r="BJ154" s="286">
        <f>SUM(BF154:BI154)</f>
        <v>6142.0404000000008</v>
      </c>
      <c r="BK154" s="379"/>
      <c r="BL154" s="381">
        <f>BF154+(BL132-BF132)*BL157</f>
        <v>1738.5519000000006</v>
      </c>
      <c r="BM154" s="381">
        <f>BG154+(BM132-BG132)*BM157</f>
        <v>1694.2349399999998</v>
      </c>
      <c r="BN154" s="381">
        <f>BH154+(BN132-BH132)*BN157</f>
        <v>1548.3770900000004</v>
      </c>
      <c r="BO154" s="381">
        <f>BI154+(BO132-BI132)*BO157</f>
        <v>1500.6263560000002</v>
      </c>
      <c r="BP154" s="286">
        <f>SUM(BL154:BO154)</f>
        <v>6481.7902860000013</v>
      </c>
      <c r="BQ154" s="381"/>
      <c r="BR154" s="381">
        <f>BL154+(BR132-BL132)*BR157</f>
        <v>1824.9945738000001</v>
      </c>
      <c r="BS154" s="381">
        <f>BM154+(BS132-BM132)*BS157</f>
        <v>1783.4861538</v>
      </c>
      <c r="BT154" s="381">
        <f>BN154+(BT132-BN132)*BT157</f>
        <v>1637.0780723000005</v>
      </c>
      <c r="BU154" s="381">
        <f>BO154+(BU132-BO132)*BU157</f>
        <v>1587.8352576400002</v>
      </c>
      <c r="BV154" s="286">
        <f>SUM(BR154:BU154)</f>
        <v>6833.3940575400011</v>
      </c>
      <c r="BW154" s="379"/>
      <c r="BX154" s="381">
        <f>BR154+(BX132-BR132)*BX157</f>
        <v>1914.4472524860003</v>
      </c>
      <c r="BY154" s="381">
        <f>BS154+(BY132-BS132)*BY157</f>
        <v>1875.845230638</v>
      </c>
      <c r="BZ154" s="381">
        <f>BT154+(BZ132-BT132)*BZ157</f>
        <v>1728.8796708530006</v>
      </c>
      <c r="CA154" s="381">
        <f>BU154+(CA132-BU132)*CA157</f>
        <v>1678.1016327676002</v>
      </c>
      <c r="CB154" s="286">
        <f>SUM(BX154:CA154)</f>
        <v>7197.2737867446012</v>
      </c>
      <c r="CC154" s="379"/>
      <c r="CD154" s="381">
        <f>BX154+(CD132-BX132)*CD157</f>
        <v>2007.0169051914609</v>
      </c>
      <c r="CE154" s="381">
        <f>BY154+(CE132-BY132)*CE157</f>
        <v>1971.4226194701005</v>
      </c>
      <c r="CF154" s="381">
        <f>BZ154+(CF132-BZ132)*CF157</f>
        <v>1823.8924876179508</v>
      </c>
      <c r="CG154" s="381">
        <f>CA154+(CG132-CA132)*CG157</f>
        <v>1771.5348538449643</v>
      </c>
      <c r="CH154" s="286">
        <f>SUM(CD154:CG154)</f>
        <v>7573.8668661244765</v>
      </c>
      <c r="CI154" s="379"/>
      <c r="CJ154" s="381">
        <f>CD154+(CJ132-CD132)*CJ157</f>
        <v>2102.8143768833197</v>
      </c>
      <c r="CK154" s="381">
        <f>CE154+(CK132-CE132)*CK157</f>
        <v>2070.3327712436817</v>
      </c>
      <c r="CL154" s="381">
        <f>CF154+(CL132-CF132)*CL157</f>
        <v>1922.2311459514242</v>
      </c>
      <c r="CM154" s="381">
        <f>CG154+(CM132-CG132)*CM157</f>
        <v>1868.2482804384231</v>
      </c>
      <c r="CN154" s="286">
        <f>SUM(CJ154:CM154)</f>
        <v>7963.6265745168494</v>
      </c>
      <c r="CO154" s="379"/>
    </row>
    <row r="155" spans="2:93" s="137" customFormat="1" ht="18" customHeight="1" thickBot="1" x14ac:dyDescent="0.3">
      <c r="B155" s="209" t="s">
        <v>117</v>
      </c>
      <c r="C155" s="210"/>
      <c r="D155" s="180">
        <f>D154/D132</f>
        <v>0.15463414634146341</v>
      </c>
      <c r="E155" s="180">
        <f>E154/E132</f>
        <v>0.18148820326678766</v>
      </c>
      <c r="F155" s="180">
        <f>F154/F132</f>
        <v>0.1809250920998772</v>
      </c>
      <c r="G155" s="180">
        <f>G154/G132</f>
        <v>0.15807365439093485</v>
      </c>
      <c r="H155" s="180">
        <f>H154/H132</f>
        <v>0.16917879417879417</v>
      </c>
      <c r="I155" s="210"/>
      <c r="J155" s="180">
        <f>J154/J132</f>
        <v>0.19675885150607716</v>
      </c>
      <c r="K155" s="180">
        <f>K154/K132</f>
        <v>0.18697342838626052</v>
      </c>
      <c r="L155" s="180">
        <f>L154/L132</f>
        <v>0.18616927679042758</v>
      </c>
      <c r="M155" s="180">
        <f>M154/M132</f>
        <v>0.1481156879929886</v>
      </c>
      <c r="N155" s="180">
        <f>N154/N132</f>
        <v>0.17962731850066704</v>
      </c>
      <c r="O155" s="211"/>
      <c r="P155" s="180">
        <f>P154/P132</f>
        <v>0.18474374255065554</v>
      </c>
      <c r="Q155" s="180">
        <f>Q154/Q132</f>
        <v>0.19282511210762332</v>
      </c>
      <c r="R155" s="180">
        <f>R154/R132</f>
        <v>0.17772735866893552</v>
      </c>
      <c r="S155" s="180">
        <f>S154/S132</f>
        <v>0.13127490039840636</v>
      </c>
      <c r="T155" s="180">
        <f>T154/T132</f>
        <v>0.17356174665548149</v>
      </c>
      <c r="U155" s="211"/>
      <c r="V155" s="180">
        <f>V154/V132</f>
        <v>0.14862981885740828</v>
      </c>
      <c r="W155" s="180">
        <f>W154/W132</f>
        <v>0.12796442687747037</v>
      </c>
      <c r="X155" s="180">
        <f>X154/X132</f>
        <v>0.14423076923076922</v>
      </c>
      <c r="Y155" s="180">
        <f>Y154/Y132</f>
        <v>0.13975155279503104</v>
      </c>
      <c r="Z155" s="180">
        <f>Z154/Z132</f>
        <v>0.1402648067147417</v>
      </c>
      <c r="AA155" s="211"/>
      <c r="AB155" s="180">
        <f>AB154/AB132</f>
        <v>0.19087745008243268</v>
      </c>
      <c r="AC155" s="180">
        <f>AC154/AC132</f>
        <v>0.18193069306930693</v>
      </c>
      <c r="AD155" s="180">
        <f>AD154/AD132</f>
        <v>0.16479543292102758</v>
      </c>
      <c r="AE155" s="180">
        <f>AE154/AE132</f>
        <v>0.13859832635983263</v>
      </c>
      <c r="AF155" s="180">
        <f>AF154/AF132</f>
        <v>0.16882294399710485</v>
      </c>
      <c r="AG155" s="210"/>
      <c r="AH155" s="180">
        <f>AH154/AH132</f>
        <v>0.17285363859362224</v>
      </c>
      <c r="AI155" s="180">
        <f>AI154/AI132</f>
        <v>0.16393170893419526</v>
      </c>
      <c r="AJ155" s="180">
        <f>AJ154/AJ132</f>
        <v>0.19263862332695986</v>
      </c>
      <c r="AK155" s="180">
        <f>AK154/AK132</f>
        <v>0.21738495252008766</v>
      </c>
      <c r="AL155" s="180">
        <f>AL154/AL132</f>
        <v>0.18770034429538168</v>
      </c>
      <c r="AM155" s="210"/>
      <c r="AN155" s="180">
        <f>AN154/AN132</f>
        <v>0.26534242514082418</v>
      </c>
      <c r="AO155" s="180">
        <f>AO154/AO132</f>
        <v>0.25202683813251325</v>
      </c>
      <c r="AP155" s="180">
        <f>AP154/AP132</f>
        <v>0.2638948421203029</v>
      </c>
      <c r="AQ155" s="180">
        <f>AQ154/AQ132</f>
        <v>0.23546556220279183</v>
      </c>
      <c r="AR155" s="180">
        <f>AR154/AR132</f>
        <v>0.25439492304325628</v>
      </c>
      <c r="AS155" s="211"/>
      <c r="AT155" s="180">
        <f>AT154/AT132</f>
        <v>0.27459526774595266</v>
      </c>
      <c r="AU155" s="180">
        <f>AU154/AU132</f>
        <v>0.26051174622175671</v>
      </c>
      <c r="AV155" s="310">
        <f>AV154/AV132</f>
        <v>0.23420015760441293</v>
      </c>
      <c r="AW155" s="180">
        <f>AW154/AW132</f>
        <v>0.22638858997069683</v>
      </c>
      <c r="AX155" s="180">
        <f>AX154/AX132</f>
        <v>0.24942649349019116</v>
      </c>
      <c r="AY155" s="210"/>
      <c r="AZ155" s="180">
        <f>AZ154/AZ132</f>
        <v>0.26252090515034643</v>
      </c>
      <c r="BA155" s="180">
        <f>BA154/BA132</f>
        <v>0.24589825184940281</v>
      </c>
      <c r="BB155" s="180">
        <f>BB154/BB132</f>
        <v>0.22432996576772149</v>
      </c>
      <c r="BC155" s="180">
        <f>BC154/BC132</f>
        <v>0.22136152713991741</v>
      </c>
      <c r="BD155" s="180">
        <f>BD154/BD132</f>
        <v>0.23850193559624822</v>
      </c>
      <c r="BE155" s="210"/>
      <c r="BF155" s="180">
        <f>BF154/BF132</f>
        <v>0.26904092308592648</v>
      </c>
      <c r="BG155" s="180">
        <f>BG154/BG132</f>
        <v>0.25320754197036832</v>
      </c>
      <c r="BH155" s="180">
        <f>BH154/BH132</f>
        <v>0.23266193973761964</v>
      </c>
      <c r="BI155" s="180">
        <f>BI154/BI132</f>
        <v>0.22983361205831451</v>
      </c>
      <c r="BJ155" s="180">
        <f>BJ154/BJ132</f>
        <v>0.24616149799387918</v>
      </c>
      <c r="BK155" s="210"/>
      <c r="BL155" s="180">
        <f>BL154/BL132</f>
        <v>0.27334089603690731</v>
      </c>
      <c r="BM155" s="180">
        <f>BM154/BM132</f>
        <v>0.25802808425934204</v>
      </c>
      <c r="BN155" s="180">
        <f>BN154/BN132</f>
        <v>0.23817731604457418</v>
      </c>
      <c r="BO155" s="180">
        <f>BO154/BO132</f>
        <v>0.23545780319980031</v>
      </c>
      <c r="BP155" s="180">
        <f>BP154/BP132</f>
        <v>0.25122596704726519</v>
      </c>
      <c r="BQ155" s="210"/>
      <c r="BR155" s="180">
        <f>BR154/BR132</f>
        <v>0.27750297852454275</v>
      </c>
      <c r="BS155" s="180">
        <f>BS154/BS132</f>
        <v>0.26269400111708885</v>
      </c>
      <c r="BT155" s="180">
        <f>BT154/BT132</f>
        <v>0.24351514210962097</v>
      </c>
      <c r="BU155" s="180">
        <f>BU154/BU132</f>
        <v>0.24090045173161678</v>
      </c>
      <c r="BV155" s="180">
        <f>BV154/BV132</f>
        <v>0.25612759766395132</v>
      </c>
      <c r="BW155" s="210"/>
      <c r="BX155" s="180">
        <f>BX154/BX132</f>
        <v>0.28153146982814831</v>
      </c>
      <c r="BY155" s="180">
        <f>BY154/BY132</f>
        <v>0.2672101161578227</v>
      </c>
      <c r="BZ155" s="180">
        <f>BZ154/BZ132</f>
        <v>0.24868097515671192</v>
      </c>
      <c r="CA155" s="180">
        <f>CA154/CA132</f>
        <v>0.24616725356718466</v>
      </c>
      <c r="CB155" s="180">
        <f>CB154/CB132</f>
        <v>0.26087148040834351</v>
      </c>
      <c r="CC155" s="210"/>
      <c r="CD155" s="180">
        <f>CD154/CD132</f>
        <v>0.28543054000521112</v>
      </c>
      <c r="CE155" s="180">
        <f>CE154/CE132</f>
        <v>0.27158110785483236</v>
      </c>
      <c r="CF155" s="180">
        <f>CF154/CF132</f>
        <v>0.25368020473236086</v>
      </c>
      <c r="CG155" s="180">
        <f>CG154/CG132</f>
        <v>0.25126373245211175</v>
      </c>
      <c r="CH155" s="180">
        <f>CH154/CH132</f>
        <v>0.26546255243790046</v>
      </c>
      <c r="CI155" s="210"/>
      <c r="CJ155" s="180">
        <f>CJ154/CJ132</f>
        <v>0.28920423356409242</v>
      </c>
      <c r="CK155" s="180">
        <f>CK154/CK132</f>
        <v>0.27581151367565288</v>
      </c>
      <c r="CL155" s="180">
        <f>CL154/CL132</f>
        <v>0.25851805749099216</v>
      </c>
      <c r="CM155" s="180">
        <f>CM154/CM132</f>
        <v>0.25619524487990514</v>
      </c>
      <c r="CN155" s="180">
        <f>CN154/CN132</f>
        <v>0.26990560187524598</v>
      </c>
      <c r="CO155" s="379"/>
    </row>
    <row r="156" spans="2:93" s="137" customFormat="1" ht="18" customHeight="1" x14ac:dyDescent="0.25">
      <c r="B156" s="136"/>
      <c r="J156" s="104"/>
      <c r="K156" s="104"/>
      <c r="L156" s="104"/>
      <c r="M156" s="104"/>
      <c r="N156" s="104"/>
      <c r="O156" s="205"/>
      <c r="P156" s="104"/>
      <c r="Q156" s="104"/>
      <c r="R156" s="104"/>
      <c r="S156" s="104"/>
      <c r="T156" s="104"/>
      <c r="U156" s="205"/>
      <c r="V156" s="104"/>
      <c r="W156" s="104"/>
      <c r="X156" s="104"/>
      <c r="Y156" s="104"/>
      <c r="Z156" s="104"/>
      <c r="AA156" s="205"/>
      <c r="AB156" s="104"/>
      <c r="AC156" s="104"/>
      <c r="AD156" s="104"/>
      <c r="AE156" s="104"/>
      <c r="AF156" s="104"/>
      <c r="AH156" s="104"/>
      <c r="AI156" s="104"/>
      <c r="AJ156" s="104"/>
      <c r="AK156" s="104"/>
      <c r="AL156" s="104"/>
      <c r="AN156" s="104"/>
      <c r="AO156" s="246"/>
      <c r="AP156" s="104"/>
      <c r="AQ156" s="246"/>
      <c r="AR156" s="246"/>
      <c r="AS156" s="205"/>
      <c r="AT156" s="104"/>
      <c r="AU156" s="246"/>
      <c r="AV156" s="265"/>
      <c r="AW156" s="104"/>
      <c r="AX156" s="104"/>
      <c r="AZ156" s="104"/>
      <c r="BA156" s="104"/>
      <c r="BB156" s="104"/>
      <c r="BC156" s="104"/>
      <c r="BD156" s="104"/>
      <c r="BF156" s="104"/>
      <c r="BG156" s="104"/>
      <c r="BH156" s="104"/>
      <c r="BI156" s="104"/>
      <c r="BJ156" s="104"/>
      <c r="BL156" s="104"/>
      <c r="BM156" s="104"/>
      <c r="BN156" s="104"/>
      <c r="BO156" s="104"/>
      <c r="BP156" s="104"/>
      <c r="BR156" s="104"/>
      <c r="BS156" s="104"/>
      <c r="BT156" s="104"/>
      <c r="BU156" s="104"/>
      <c r="BV156" s="104"/>
      <c r="BX156" s="104"/>
      <c r="BY156" s="104"/>
      <c r="BZ156" s="104"/>
      <c r="CA156" s="104"/>
      <c r="CB156" s="104"/>
      <c r="CD156" s="104"/>
      <c r="CE156" s="104"/>
      <c r="CF156" s="104"/>
      <c r="CG156" s="104"/>
      <c r="CH156" s="104"/>
      <c r="CJ156" s="104"/>
      <c r="CK156" s="104"/>
      <c r="CL156" s="104"/>
      <c r="CM156" s="104"/>
      <c r="CN156" s="104"/>
      <c r="CO156" s="379"/>
    </row>
    <row r="157" spans="2:93" s="137" customFormat="1" ht="18" customHeight="1" x14ac:dyDescent="0.25">
      <c r="B157" s="136" t="s">
        <v>538</v>
      </c>
      <c r="D157" s="67"/>
      <c r="E157" s="67"/>
      <c r="F157" s="67"/>
      <c r="G157" s="67"/>
      <c r="H157" s="67"/>
      <c r="J157" s="67">
        <f>(J154-D154)/(J132-D132)</f>
        <v>0.30627774254914392</v>
      </c>
      <c r="K157" s="67">
        <f>(K154-E154)/(K132-E132)</f>
        <v>0.20939818631492169</v>
      </c>
      <c r="L157" s="67">
        <f>(L154-F154)/(L132-F132)</f>
        <v>0.21831869510664995</v>
      </c>
      <c r="M157" s="67">
        <f>(M154-G154)/(M132-G132)</f>
        <v>1.9512195121951219E-2</v>
      </c>
      <c r="N157" s="67">
        <f>(N154-H154)/(N132-H132)</f>
        <v>0.22992244183137353</v>
      </c>
      <c r="O157" s="205"/>
      <c r="P157" s="67">
        <f>(P154-J154)/(P132-J132)</f>
        <v>-0.16326530612244897</v>
      </c>
      <c r="Q157" s="67">
        <f>(Q154-K154)/(Q132-K132)</f>
        <v>0.31525423728813562</v>
      </c>
      <c r="R157" s="67">
        <f>(R154-L154)/(R132-L132)</f>
        <v>0.29949238578680204</v>
      </c>
      <c r="S157" s="67">
        <f>(S154-M154)/(S132-M132)</f>
        <v>0.27153284671532846</v>
      </c>
      <c r="T157" s="67">
        <f>(T154-N154)/(T132-N132)</f>
        <v>0.41326530612244899</v>
      </c>
      <c r="U157" s="205"/>
      <c r="V157" s="67">
        <f>(V154-P154)/(V132-P132)</f>
        <v>0.28398213146139117</v>
      </c>
      <c r="W157" s="67">
        <f>(W154-Q154)/(W132-Q132)</f>
        <v>0.30136420008267878</v>
      </c>
      <c r="X157" s="67">
        <f>(X154-R154)/(X132-R132)</f>
        <v>0.28791565287915655</v>
      </c>
      <c r="Y157" s="67">
        <f>(Y154-S154)/(Y132-S132)</f>
        <v>5.6640625E-2</v>
      </c>
      <c r="Z157" s="67">
        <f>(Z154-T154)/(Z132-T132)</f>
        <v>0.27185482463793403</v>
      </c>
      <c r="AA157" s="205"/>
      <c r="AB157" s="67">
        <f>(AB154-V154)/(AB132-V132)</f>
        <v>0.34865568083261056</v>
      </c>
      <c r="AC157" s="67">
        <f>(AC154-W154)/(AC132-W132)</f>
        <v>0.31778606965174128</v>
      </c>
      <c r="AD157" s="67">
        <f>(AD154-X154)/(AD132-X132)</f>
        <v>0.23436196830692244</v>
      </c>
      <c r="AE157" s="67">
        <f>(AE154-Y154)/(AE132-Y132)</f>
        <v>0.13436482084690554</v>
      </c>
      <c r="AF157" s="67">
        <f>(AF154-Z154)/(AF132-Z132)</f>
        <v>0.26195065535851964</v>
      </c>
      <c r="AH157" s="67">
        <f>(AH154-AB154)/(AH132-AB132)</f>
        <v>2.2865853658536585E-2</v>
      </c>
      <c r="AI157" s="67">
        <f>(AI154-AC154)/(AI132-AC132)</f>
        <v>-0.10610079575596817</v>
      </c>
      <c r="AJ157" s="67">
        <f>(AJ154-AD154)/(AJ132-AD132)</f>
        <v>0.33594515181194906</v>
      </c>
      <c r="AK157" s="67">
        <f>(AK154-AE154)/(AK132-AE132)</f>
        <v>0.62488728584310194</v>
      </c>
      <c r="AL157" s="67">
        <f>(AL154-AF154)/(AL132-AF132)</f>
        <v>0.31963325956370536</v>
      </c>
      <c r="AN157" s="67">
        <f>(AN154-AH154)/(AN132-AH132)</f>
        <v>1.1616481774960381</v>
      </c>
      <c r="AO157" s="67">
        <f>(AO154-AI154)/(AO132-AI132)</f>
        <v>0.72613737734165928</v>
      </c>
      <c r="AP157" s="67">
        <f>(AP154-AJ154)/(AP132-AJ132)</f>
        <v>0.88243430152143842</v>
      </c>
      <c r="AQ157" s="67">
        <f>(AQ154-AK154)/(AQ132-AK132)</f>
        <v>-0.14417177914110429</v>
      </c>
      <c r="AR157" s="67">
        <f>(AR154-AL154)/(AR132-AL132)</f>
        <v>1.0386226151698463</v>
      </c>
      <c r="AS157" s="205"/>
      <c r="AT157" s="67">
        <f>(AT154-AN154)/(AT132-AN132)</f>
        <v>8.0745341614906832E-2</v>
      </c>
      <c r="AU157" s="67">
        <f>(AU154-AO154)/(AU132-AO132)</f>
        <v>0.1316348195329087</v>
      </c>
      <c r="AV157" s="264">
        <f>(AV154-AP154)/(AV132-AP132)</f>
        <v>0.55198776758409784</v>
      </c>
      <c r="AW157" s="539">
        <v>0.35</v>
      </c>
      <c r="AX157" s="67">
        <f>(AX154-AR154)/(AX132-AR132)</f>
        <v>0.32016669263125092</v>
      </c>
      <c r="AZ157" s="454">
        <v>0.4</v>
      </c>
      <c r="BA157" s="454">
        <v>0.4</v>
      </c>
      <c r="BB157" s="454">
        <v>0.4</v>
      </c>
      <c r="BC157" s="454">
        <v>0.4</v>
      </c>
      <c r="BD157" s="67">
        <f>(BD154-AX154)/(BD132-AX132)</f>
        <v>0.39999999999999991</v>
      </c>
      <c r="BF157" s="454">
        <v>0.4</v>
      </c>
      <c r="BG157" s="454">
        <v>0.4</v>
      </c>
      <c r="BH157" s="454">
        <v>0.4</v>
      </c>
      <c r="BI157" s="454">
        <v>0.4</v>
      </c>
      <c r="BJ157" s="67">
        <f>(BJ154-BD154)/(BJ132-BD132)</f>
        <v>0.4</v>
      </c>
      <c r="BL157" s="454">
        <v>0.4</v>
      </c>
      <c r="BM157" s="454">
        <v>0.4</v>
      </c>
      <c r="BN157" s="454">
        <v>0.4</v>
      </c>
      <c r="BO157" s="454">
        <v>0.4</v>
      </c>
      <c r="BP157" s="67">
        <f>(BP154-BJ154)/(BP132-BJ132)</f>
        <v>0.3999999999999998</v>
      </c>
      <c r="BR157" s="454">
        <v>0.4</v>
      </c>
      <c r="BS157" s="454">
        <v>0.4</v>
      </c>
      <c r="BT157" s="454">
        <v>0.4</v>
      </c>
      <c r="BU157" s="454">
        <v>0.4</v>
      </c>
      <c r="BV157" s="67">
        <f>(BV154-BP154)/(BV132-BP132)</f>
        <v>0.39999999999999958</v>
      </c>
      <c r="BX157" s="454">
        <v>0.4</v>
      </c>
      <c r="BY157" s="454">
        <v>0.4</v>
      </c>
      <c r="BZ157" s="454">
        <v>0.4</v>
      </c>
      <c r="CA157" s="454">
        <v>0.4</v>
      </c>
      <c r="CB157" s="67">
        <f>(CB154-BV154)/(CB132-BV132)</f>
        <v>0.40000000000000158</v>
      </c>
      <c r="CD157" s="454">
        <v>0.4</v>
      </c>
      <c r="CE157" s="454">
        <v>0.4</v>
      </c>
      <c r="CF157" s="454">
        <v>0.4</v>
      </c>
      <c r="CG157" s="454">
        <v>0.4</v>
      </c>
      <c r="CH157" s="67">
        <f>(CH154-CB154)/(CH132-CB132)</f>
        <v>0.40000000000000058</v>
      </c>
      <c r="CJ157" s="454">
        <v>0.4</v>
      </c>
      <c r="CK157" s="454">
        <v>0.4</v>
      </c>
      <c r="CL157" s="454">
        <v>0.4</v>
      </c>
      <c r="CM157" s="454">
        <v>0.4</v>
      </c>
      <c r="CN157" s="67">
        <f>(CN154-CH154)/(CN132-CH132)</f>
        <v>0.39999999999999869</v>
      </c>
      <c r="CO157" s="379"/>
    </row>
    <row r="158" spans="2:93" s="137" customFormat="1" ht="18" customHeight="1" x14ac:dyDescent="0.25">
      <c r="B158" s="136"/>
      <c r="J158" s="104"/>
      <c r="K158" s="104"/>
      <c r="L158" s="104"/>
      <c r="M158" s="104"/>
      <c r="N158" s="104"/>
      <c r="O158" s="205"/>
      <c r="P158" s="104"/>
      <c r="Q158" s="104"/>
      <c r="R158" s="104"/>
      <c r="S158" s="104"/>
      <c r="T158" s="104"/>
      <c r="U158" s="205"/>
      <c r="V158" s="104"/>
      <c r="W158" s="104"/>
      <c r="X158" s="104"/>
      <c r="Y158" s="104"/>
      <c r="Z158" s="104"/>
      <c r="AA158" s="205"/>
      <c r="AB158" s="104"/>
      <c r="AC158" s="104"/>
      <c r="AD158" s="104"/>
      <c r="AE158" s="104"/>
      <c r="AF158" s="104"/>
      <c r="AH158" s="104"/>
      <c r="AI158" s="104"/>
      <c r="AJ158" s="104"/>
      <c r="AK158" s="104"/>
      <c r="AL158" s="104"/>
      <c r="AN158" s="104"/>
      <c r="AO158" s="246"/>
      <c r="AP158" s="104"/>
      <c r="AQ158" s="246"/>
      <c r="AR158" s="246"/>
      <c r="AS158" s="205"/>
      <c r="AT158" s="104"/>
      <c r="AU158" s="246"/>
      <c r="AV158" s="265"/>
      <c r="AW158" s="104"/>
      <c r="AX158" s="104"/>
      <c r="AZ158" s="104"/>
      <c r="BA158" s="104"/>
      <c r="BB158" s="104"/>
      <c r="BC158" s="104"/>
      <c r="BD158" s="104"/>
      <c r="BF158" s="104"/>
      <c r="BG158" s="104"/>
      <c r="BH158" s="104"/>
      <c r="BI158" s="104"/>
      <c r="BJ158" s="104"/>
      <c r="BL158" s="104"/>
      <c r="BM158" s="104"/>
      <c r="BN158" s="104"/>
      <c r="BO158" s="104"/>
      <c r="BP158" s="104"/>
      <c r="BR158" s="104"/>
      <c r="BS158" s="104"/>
      <c r="BT158" s="104"/>
      <c r="BU158" s="104"/>
      <c r="BV158" s="104"/>
      <c r="BX158" s="104"/>
      <c r="BY158" s="104"/>
      <c r="BZ158" s="104"/>
      <c r="CA158" s="104"/>
      <c r="CB158" s="104"/>
      <c r="CD158" s="104"/>
      <c r="CE158" s="104"/>
      <c r="CF158" s="104"/>
      <c r="CG158" s="104"/>
      <c r="CH158" s="104"/>
      <c r="CJ158" s="104"/>
      <c r="CK158" s="104"/>
      <c r="CL158" s="104"/>
      <c r="CM158" s="104"/>
      <c r="CN158" s="104"/>
      <c r="CO158" s="379"/>
    </row>
    <row r="159" spans="2:93" s="435" customFormat="1" ht="18" customHeight="1" x14ac:dyDescent="0.25">
      <c r="B159" s="436" t="s">
        <v>74</v>
      </c>
      <c r="D159" s="440">
        <v>102</v>
      </c>
      <c r="E159" s="440">
        <v>100</v>
      </c>
      <c r="F159" s="440">
        <v>99</v>
      </c>
      <c r="G159" s="443">
        <f>H159-SUM(D159:F159)</f>
        <v>99</v>
      </c>
      <c r="H159" s="440">
        <v>400</v>
      </c>
      <c r="J159" s="440">
        <v>89</v>
      </c>
      <c r="K159" s="440">
        <v>90</v>
      </c>
      <c r="L159" s="440">
        <v>93</v>
      </c>
      <c r="M159" s="443">
        <f>N159-SUM(J159:L159)</f>
        <v>95</v>
      </c>
      <c r="N159" s="440">
        <v>367</v>
      </c>
      <c r="O159" s="439"/>
      <c r="P159" s="440">
        <v>80</v>
      </c>
      <c r="Q159" s="440">
        <v>81</v>
      </c>
      <c r="R159" s="440">
        <v>80</v>
      </c>
      <c r="S159" s="443">
        <f>T159-SUM(P159:R159)</f>
        <v>90</v>
      </c>
      <c r="T159" s="440">
        <v>331</v>
      </c>
      <c r="U159" s="439"/>
      <c r="V159" s="440">
        <v>61</v>
      </c>
      <c r="W159" s="440">
        <v>61</v>
      </c>
      <c r="X159" s="440">
        <v>61</v>
      </c>
      <c r="Y159" s="443">
        <f>Z159-SUM(V159:X159)</f>
        <v>62</v>
      </c>
      <c r="Z159" s="440">
        <v>245</v>
      </c>
      <c r="AA159" s="440"/>
      <c r="AB159" s="440">
        <v>59</v>
      </c>
      <c r="AC159" s="440">
        <v>59</v>
      </c>
      <c r="AD159" s="440">
        <v>60</v>
      </c>
      <c r="AE159" s="443">
        <f>AF159-SUM(AB159:AD159)</f>
        <v>59</v>
      </c>
      <c r="AF159" s="440">
        <f>237</f>
        <v>237</v>
      </c>
      <c r="AG159" s="440"/>
      <c r="AH159" s="440">
        <v>58</v>
      </c>
      <c r="AI159" s="440">
        <v>57</v>
      </c>
      <c r="AJ159" s="440">
        <v>57</v>
      </c>
      <c r="AK159" s="443">
        <f>AL159-SUM(AH159:AJ159)</f>
        <v>59</v>
      </c>
      <c r="AL159" s="440">
        <f>231</f>
        <v>231</v>
      </c>
      <c r="AM159" s="440"/>
      <c r="AN159" s="440">
        <v>54</v>
      </c>
      <c r="AO159" s="440">
        <v>54</v>
      </c>
      <c r="AP159" s="440">
        <v>54</v>
      </c>
      <c r="AQ159" s="443">
        <f>AR159-SUM(AN159:AP159)</f>
        <v>59</v>
      </c>
      <c r="AR159" s="440">
        <f>221</f>
        <v>221</v>
      </c>
      <c r="AS159" s="440"/>
      <c r="AT159" s="440">
        <v>56</v>
      </c>
      <c r="AU159" s="440">
        <v>57</v>
      </c>
      <c r="AV159" s="453">
        <v>60</v>
      </c>
      <c r="AW159" s="541">
        <f t="shared" ref="AW159" si="1579">AQ159*(1+AW165)</f>
        <v>64.900000000000006</v>
      </c>
      <c r="AX159" s="438">
        <f>SUM(AT159:AW159)</f>
        <v>237.9</v>
      </c>
      <c r="AZ159" s="533">
        <f t="shared" ref="AZ159" si="1580">AT159*(1+AZ165)</f>
        <v>58.800000000000004</v>
      </c>
      <c r="BA159" s="533">
        <f t="shared" ref="BA159" si="1581">AU159*(1+BA165)</f>
        <v>59.85</v>
      </c>
      <c r="BB159" s="533">
        <f t="shared" ref="BB159" si="1582">AV159*(1+BB165)</f>
        <v>63</v>
      </c>
      <c r="BC159" s="533">
        <f t="shared" ref="BC159" si="1583">AW159*(1+BC165)</f>
        <v>68.14500000000001</v>
      </c>
      <c r="BD159" s="438">
        <f>SUM(AZ159:BC159)</f>
        <v>249.79500000000002</v>
      </c>
      <c r="BF159" s="533">
        <f t="shared" ref="BF159" si="1584">AZ159*(1+BF165)</f>
        <v>61.740000000000009</v>
      </c>
      <c r="BG159" s="533">
        <f t="shared" ref="BG159" si="1585">BA159*(1+BG165)</f>
        <v>62.842500000000001</v>
      </c>
      <c r="BH159" s="533">
        <f t="shared" ref="BH159" si="1586">BB159*(1+BH165)</f>
        <v>66.150000000000006</v>
      </c>
      <c r="BI159" s="533">
        <f t="shared" ref="BI159" si="1587">BC159*(1+BI165)</f>
        <v>71.552250000000015</v>
      </c>
      <c r="BJ159" s="438">
        <f>SUM(BF159:BI159)</f>
        <v>262.28475000000003</v>
      </c>
      <c r="BL159" s="533">
        <f t="shared" ref="BL159" si="1588">BF159*(1+BL165)</f>
        <v>64.827000000000012</v>
      </c>
      <c r="BM159" s="533">
        <f t="shared" ref="BM159" si="1589">BG159*(1+BM165)</f>
        <v>65.984625000000008</v>
      </c>
      <c r="BN159" s="533">
        <f t="shared" ref="BN159" si="1590">BH159*(1+BN165)</f>
        <v>69.45750000000001</v>
      </c>
      <c r="BO159" s="533">
        <f t="shared" ref="BO159" si="1591">BI159*(1+BO165)</f>
        <v>75.129862500000016</v>
      </c>
      <c r="BP159" s="438">
        <f>SUM(BL159:BO159)</f>
        <v>275.39898750000003</v>
      </c>
      <c r="BR159" s="533">
        <f t="shared" ref="BR159" si="1592">BL159*(1+BR165)</f>
        <v>66.12354000000002</v>
      </c>
      <c r="BS159" s="533">
        <f t="shared" ref="BS159" si="1593">BM159*(1+BS165)</f>
        <v>67.30431750000001</v>
      </c>
      <c r="BT159" s="533">
        <f t="shared" ref="BT159" si="1594">BN159*(1+BT165)</f>
        <v>70.846650000000011</v>
      </c>
      <c r="BU159" s="533">
        <f t="shared" ref="BU159" si="1595">BO159*(1+BU165)</f>
        <v>76.632459750000024</v>
      </c>
      <c r="BV159" s="438">
        <f>SUM(BR159:BU159)</f>
        <v>280.90696725000004</v>
      </c>
      <c r="BX159" s="533">
        <f t="shared" ref="BX159" si="1596">BR159*(1+BX165)</f>
        <v>67.446010800000025</v>
      </c>
      <c r="BY159" s="533">
        <f t="shared" ref="BY159" si="1597">BS159*(1+BY165)</f>
        <v>68.650403850000018</v>
      </c>
      <c r="BZ159" s="533">
        <f t="shared" ref="BZ159" si="1598">BT159*(1+BZ165)</f>
        <v>72.263583000000011</v>
      </c>
      <c r="CA159" s="533">
        <f t="shared" ref="CA159" si="1599">BU159*(1+CA165)</f>
        <v>78.165108945000028</v>
      </c>
      <c r="CB159" s="438">
        <f>SUM(BX159:CA159)</f>
        <v>286.52510659500007</v>
      </c>
      <c r="CD159" s="533">
        <f t="shared" ref="CD159" si="1600">BX159*(1+CD165)</f>
        <v>68.794931016000021</v>
      </c>
      <c r="CE159" s="533">
        <f t="shared" ref="CE159" si="1601">BY159*(1+CE165)</f>
        <v>70.023411927000026</v>
      </c>
      <c r="CF159" s="533">
        <f t="shared" ref="CF159" si="1602">BZ159*(1+CF165)</f>
        <v>73.708854660000014</v>
      </c>
      <c r="CG159" s="533">
        <f t="shared" ref="CG159" si="1603">CA159*(1+CG165)</f>
        <v>79.728411123900031</v>
      </c>
      <c r="CH159" s="438">
        <f>SUM(CD159:CG159)</f>
        <v>292.25560872690011</v>
      </c>
      <c r="CJ159" s="533">
        <f t="shared" ref="CJ159" si="1604">CD159*(1+CJ165)</f>
        <v>70.170829636320022</v>
      </c>
      <c r="CK159" s="533">
        <f t="shared" ref="CK159" si="1605">CE159*(1+CK165)</f>
        <v>71.423880165540027</v>
      </c>
      <c r="CL159" s="533">
        <f t="shared" ref="CL159" si="1606">CF159*(1+CL165)</f>
        <v>75.183031753200012</v>
      </c>
      <c r="CM159" s="533">
        <f t="shared" ref="CM159" si="1607">CG159*(1+CM165)</f>
        <v>81.322979346378034</v>
      </c>
      <c r="CN159" s="438">
        <f>SUM(CJ159:CM159)</f>
        <v>298.10072090143808</v>
      </c>
      <c r="CO159" s="437"/>
    </row>
    <row r="160" spans="2:93" s="137" customFormat="1" ht="18" customHeight="1" thickBot="1" x14ac:dyDescent="0.3">
      <c r="B160" s="136"/>
      <c r="J160" s="104"/>
      <c r="K160" s="104"/>
      <c r="L160" s="104"/>
      <c r="M160" s="104"/>
      <c r="N160" s="104"/>
      <c r="O160" s="205"/>
      <c r="P160" s="104"/>
      <c r="Q160" s="104"/>
      <c r="R160" s="104"/>
      <c r="S160" s="104"/>
      <c r="T160" s="104"/>
      <c r="U160" s="205"/>
      <c r="V160" s="104"/>
      <c r="W160" s="104"/>
      <c r="X160" s="104"/>
      <c r="Y160" s="104"/>
      <c r="Z160" s="104"/>
      <c r="AA160" s="205"/>
      <c r="AB160" s="104"/>
      <c r="AC160" s="104"/>
      <c r="AD160" s="104"/>
      <c r="AE160" s="104"/>
      <c r="AF160" s="104"/>
      <c r="AH160" s="104"/>
      <c r="AI160" s="104"/>
      <c r="AJ160" s="104"/>
      <c r="AK160" s="104"/>
      <c r="AL160" s="104"/>
      <c r="AN160" s="104"/>
      <c r="AO160" s="246"/>
      <c r="AP160" s="104"/>
      <c r="AQ160" s="246"/>
      <c r="AR160" s="246"/>
      <c r="AS160" s="205"/>
      <c r="AT160" s="104"/>
      <c r="AU160" s="246"/>
      <c r="AV160" s="265"/>
      <c r="AW160" s="104"/>
      <c r="AX160" s="104"/>
      <c r="AZ160" s="104"/>
      <c r="BA160" s="104"/>
      <c r="BB160" s="104"/>
      <c r="BC160" s="104"/>
      <c r="BD160" s="104"/>
      <c r="BF160" s="104"/>
      <c r="BG160" s="104"/>
      <c r="BH160" s="104"/>
      <c r="BI160" s="104"/>
      <c r="BJ160" s="104"/>
      <c r="BL160" s="104"/>
      <c r="BM160" s="104"/>
      <c r="BN160" s="104"/>
      <c r="BO160" s="104"/>
      <c r="BP160" s="104"/>
      <c r="BR160" s="104"/>
      <c r="BS160" s="104"/>
      <c r="BT160" s="104"/>
      <c r="BU160" s="104"/>
      <c r="BV160" s="104"/>
      <c r="BX160" s="104"/>
      <c r="BY160" s="104"/>
      <c r="BZ160" s="104"/>
      <c r="CA160" s="104"/>
      <c r="CB160" s="104"/>
      <c r="CD160" s="104"/>
      <c r="CE160" s="104"/>
      <c r="CF160" s="104"/>
      <c r="CG160" s="104"/>
      <c r="CH160" s="104"/>
      <c r="CJ160" s="104"/>
      <c r="CK160" s="104"/>
      <c r="CL160" s="104"/>
      <c r="CM160" s="104"/>
      <c r="CN160" s="104"/>
      <c r="CO160" s="379"/>
    </row>
    <row r="161" spans="1:93" s="137" customFormat="1" ht="18" customHeight="1" x14ac:dyDescent="0.25">
      <c r="B161" s="212" t="s">
        <v>7</v>
      </c>
      <c r="C161" s="207"/>
      <c r="D161" s="213"/>
      <c r="E161" s="213"/>
      <c r="F161" s="213"/>
      <c r="G161" s="213"/>
      <c r="H161" s="213"/>
      <c r="I161" s="207"/>
      <c r="J161" s="213"/>
      <c r="K161" s="213"/>
      <c r="L161" s="213"/>
      <c r="M161" s="213"/>
      <c r="N161" s="213"/>
      <c r="O161" s="208"/>
      <c r="P161" s="213"/>
      <c r="Q161" s="213"/>
      <c r="R161" s="213"/>
      <c r="S161" s="213"/>
      <c r="T161" s="213"/>
      <c r="U161" s="208"/>
      <c r="V161" s="213">
        <f>V154+V159</f>
        <v>701</v>
      </c>
      <c r="W161" s="213">
        <f>W154+W159</f>
        <v>579</v>
      </c>
      <c r="X161" s="213">
        <f>X154+X159</f>
        <v>646</v>
      </c>
      <c r="Y161" s="213">
        <f>Y154+Y159</f>
        <v>692</v>
      </c>
      <c r="Z161" s="213">
        <f>Z154+Z159</f>
        <v>2618</v>
      </c>
      <c r="AA161" s="208"/>
      <c r="AB161" s="213">
        <f>AB154+AB159</f>
        <v>1101</v>
      </c>
      <c r="AC161" s="213">
        <f>AC154+AC159</f>
        <v>1088</v>
      </c>
      <c r="AD161" s="213">
        <f>AD154+AD159</f>
        <v>926</v>
      </c>
      <c r="AE161" s="213">
        <f>AE154+AE159</f>
        <v>854</v>
      </c>
      <c r="AF161" s="213">
        <f>AF154+AF159</f>
        <v>3969</v>
      </c>
      <c r="AG161" s="207"/>
      <c r="AH161" s="213">
        <f>AH154+AH159</f>
        <v>1115</v>
      </c>
      <c r="AI161" s="213">
        <f>AI154+AI159</f>
        <v>1046</v>
      </c>
      <c r="AJ161" s="213">
        <f>AJ154+AJ159</f>
        <v>1266</v>
      </c>
      <c r="AK161" s="213">
        <f>AK154+AK159</f>
        <v>1547</v>
      </c>
      <c r="AL161" s="213">
        <f>AL154+AL159</f>
        <v>4974</v>
      </c>
      <c r="AM161" s="207"/>
      <c r="AN161" s="213">
        <f>AN154+AN159</f>
        <v>1844</v>
      </c>
      <c r="AO161" s="213">
        <f>AO154+AO159</f>
        <v>1857</v>
      </c>
      <c r="AP161" s="213">
        <f>AP154+AP159</f>
        <v>1901</v>
      </c>
      <c r="AQ161" s="213">
        <f>AQ154+AQ159</f>
        <v>1594</v>
      </c>
      <c r="AR161" s="213">
        <f>AR154+AR159</f>
        <v>7196</v>
      </c>
      <c r="AS161" s="208"/>
      <c r="AT161" s="213">
        <f>AT154+AT159</f>
        <v>1820</v>
      </c>
      <c r="AU161" s="213">
        <f>AU154+AU159</f>
        <v>1798</v>
      </c>
      <c r="AV161" s="309">
        <f>AV154+AV159</f>
        <v>1546</v>
      </c>
      <c r="AW161" s="213">
        <f>AW154+AW159</f>
        <v>1432.3550000000002</v>
      </c>
      <c r="AX161" s="213">
        <f t="shared" ref="AX161" si="1608">AX154+AX159</f>
        <v>6596.3549999999996</v>
      </c>
      <c r="AY161" s="207"/>
      <c r="AZ161" s="213">
        <f>AZ154+AZ159</f>
        <v>1597.1200000000001</v>
      </c>
      <c r="BA161" s="213">
        <f>BA154+BA159</f>
        <v>1547.35</v>
      </c>
      <c r="BB161" s="213">
        <f>BB154+BB159</f>
        <v>1406.4</v>
      </c>
      <c r="BC161" s="213">
        <f>BC154+BC159</f>
        <v>1367.6079999999999</v>
      </c>
      <c r="BD161" s="213">
        <f t="shared" ref="BD161" si="1609">BD154+BD159</f>
        <v>5918.4780000000001</v>
      </c>
      <c r="BE161" s="207"/>
      <c r="BF161" s="213">
        <f>BF154+BF159</f>
        <v>1716.7560000000005</v>
      </c>
      <c r="BG161" s="213">
        <f>BG154+BG159</f>
        <v>1670.8275000000001</v>
      </c>
      <c r="BH161" s="213">
        <f>BH154+BH159</f>
        <v>1528.8200000000002</v>
      </c>
      <c r="BI161" s="213">
        <f>BI154+BI159</f>
        <v>1487.9216500000002</v>
      </c>
      <c r="BJ161" s="213">
        <f>BJ154+BJ159</f>
        <v>6404.3251500000006</v>
      </c>
      <c r="BK161" s="207"/>
      <c r="BL161" s="213">
        <f>BL154+BL159</f>
        <v>1803.3789000000006</v>
      </c>
      <c r="BM161" s="213">
        <f>BM154+BM159</f>
        <v>1760.2195649999999</v>
      </c>
      <c r="BN161" s="213">
        <f>BN154+BN159</f>
        <v>1617.8345900000004</v>
      </c>
      <c r="BO161" s="213">
        <f>BO154+BO159</f>
        <v>1575.7562185000002</v>
      </c>
      <c r="BP161" s="213">
        <f>BP154+BP159</f>
        <v>6757.189273500001</v>
      </c>
      <c r="BQ161" s="207"/>
      <c r="BR161" s="213">
        <f>BR154+BR159</f>
        <v>1891.1181138000002</v>
      </c>
      <c r="BS161" s="213">
        <f>BS154+BS159</f>
        <v>1850.7904713</v>
      </c>
      <c r="BT161" s="213">
        <f>BT154+BT159</f>
        <v>1707.9247223000004</v>
      </c>
      <c r="BU161" s="213">
        <f>BU154+BU159</f>
        <v>1664.4677173900002</v>
      </c>
      <c r="BV161" s="213">
        <f>BV154+BV159</f>
        <v>7114.3010247900011</v>
      </c>
      <c r="BW161" s="207"/>
      <c r="BX161" s="213">
        <f>BX154+BX159</f>
        <v>1981.8932632860003</v>
      </c>
      <c r="BY161" s="213">
        <f>BY154+BY159</f>
        <v>1944.495634488</v>
      </c>
      <c r="BZ161" s="213">
        <f>BZ154+BZ159</f>
        <v>1801.1432538530005</v>
      </c>
      <c r="CA161" s="213">
        <f>CA154+CA159</f>
        <v>1756.2667417126002</v>
      </c>
      <c r="CB161" s="213">
        <f>CB154+CB159</f>
        <v>7483.7988933396009</v>
      </c>
      <c r="CC161" s="207"/>
      <c r="CD161" s="213">
        <f>CD154+CD159</f>
        <v>2075.8118362074611</v>
      </c>
      <c r="CE161" s="213">
        <f>CE154+CE159</f>
        <v>2041.4460313971006</v>
      </c>
      <c r="CF161" s="213">
        <f>CF154+CF159</f>
        <v>1897.6013422779508</v>
      </c>
      <c r="CG161" s="213">
        <f>CG154+CG159</f>
        <v>1851.2632649688644</v>
      </c>
      <c r="CH161" s="213">
        <f>CH154+CH159</f>
        <v>7866.1224748513769</v>
      </c>
      <c r="CI161" s="207"/>
      <c r="CJ161" s="213">
        <f>CJ154+CJ159</f>
        <v>2172.9852065196396</v>
      </c>
      <c r="CK161" s="213">
        <f t="shared" ref="CK161:CN161" si="1610">CK154+CK159</f>
        <v>2141.7566514092218</v>
      </c>
      <c r="CL161" s="213">
        <f t="shared" si="1610"/>
        <v>1997.4141777046243</v>
      </c>
      <c r="CM161" s="213">
        <f t="shared" si="1610"/>
        <v>1949.5712597848012</v>
      </c>
      <c r="CN161" s="213">
        <f t="shared" si="1610"/>
        <v>8261.7272954182881</v>
      </c>
      <c r="CO161" s="379"/>
    </row>
    <row r="162" spans="1:93" s="137" customFormat="1" ht="18" customHeight="1" thickBot="1" x14ac:dyDescent="0.3">
      <c r="B162" s="209" t="s">
        <v>8</v>
      </c>
      <c r="C162" s="210"/>
      <c r="D162" s="180">
        <f>D161/D132</f>
        <v>0</v>
      </c>
      <c r="E162" s="180">
        <f>E161/E132</f>
        <v>0</v>
      </c>
      <c r="F162" s="180">
        <f>F161/F132</f>
        <v>0</v>
      </c>
      <c r="G162" s="180">
        <f>G161/G132</f>
        <v>0</v>
      </c>
      <c r="H162" s="180">
        <f>H161/H132</f>
        <v>0</v>
      </c>
      <c r="I162" s="210"/>
      <c r="J162" s="180">
        <f>J161/J132</f>
        <v>0</v>
      </c>
      <c r="K162" s="180">
        <f>K161/K132</f>
        <v>0</v>
      </c>
      <c r="L162" s="180">
        <f>L161/L132</f>
        <v>0</v>
      </c>
      <c r="M162" s="180">
        <f>M161/M132</f>
        <v>0</v>
      </c>
      <c r="N162" s="180">
        <f>N161/N132</f>
        <v>0</v>
      </c>
      <c r="O162" s="211"/>
      <c r="P162" s="180">
        <f>P161/P132</f>
        <v>0</v>
      </c>
      <c r="Q162" s="180">
        <f>Q161/Q132</f>
        <v>0</v>
      </c>
      <c r="R162" s="180">
        <f>R161/R132</f>
        <v>0</v>
      </c>
      <c r="S162" s="180">
        <f>S161/S132</f>
        <v>0</v>
      </c>
      <c r="T162" s="180">
        <f>T161/T132</f>
        <v>0</v>
      </c>
      <c r="U162" s="211"/>
      <c r="V162" s="180">
        <f>V161/V132</f>
        <v>0.16279609846725498</v>
      </c>
      <c r="W162" s="180">
        <f>W161/W132</f>
        <v>0.14303359683794467</v>
      </c>
      <c r="X162" s="180">
        <f>X161/X132</f>
        <v>0.15927021696252466</v>
      </c>
      <c r="Y162" s="180">
        <f>Y161/Y132</f>
        <v>0.15350488021295475</v>
      </c>
      <c r="Z162" s="180">
        <f>Z161/Z132</f>
        <v>0.15474642392717816</v>
      </c>
      <c r="AA162" s="211"/>
      <c r="AB162" s="180">
        <f>AB161/AB132</f>
        <v>0.20168529034621727</v>
      </c>
      <c r="AC162" s="180">
        <f>AC161/AC132</f>
        <v>0.19236209335219237</v>
      </c>
      <c r="AD162" s="180">
        <f>AD161/AD132</f>
        <v>0.17621313035204567</v>
      </c>
      <c r="AE162" s="180">
        <f>AE161/AE132</f>
        <v>0.148884239888424</v>
      </c>
      <c r="AF162" s="180">
        <f>AF161/AF132</f>
        <v>0.17954401519949334</v>
      </c>
      <c r="AG162" s="210"/>
      <c r="AH162" s="180">
        <f>AH161/AH132</f>
        <v>0.18233851185609157</v>
      </c>
      <c r="AI162" s="180">
        <f>AI161/AI132</f>
        <v>0.1733797447372783</v>
      </c>
      <c r="AJ162" s="180">
        <f>AJ161/AJ132</f>
        <v>0.20172084130019122</v>
      </c>
      <c r="AK162" s="180">
        <f>AK161/AK132</f>
        <v>0.22600438276113952</v>
      </c>
      <c r="AL162" s="180">
        <f>AL161/AL132</f>
        <v>0.19684198029205746</v>
      </c>
      <c r="AM162" s="210"/>
      <c r="AN162" s="180">
        <f>AN161/AN132</f>
        <v>0.27334716869255854</v>
      </c>
      <c r="AO162" s="180">
        <f>AO161/AO132</f>
        <v>0.2595750629018731</v>
      </c>
      <c r="AP162" s="180">
        <f>AP161/AP132</f>
        <v>0.27161023003286183</v>
      </c>
      <c r="AQ162" s="180">
        <f>AQ161/AQ132</f>
        <v>0.24451603006596104</v>
      </c>
      <c r="AR162" s="180">
        <f>AR161/AR132</f>
        <v>0.26245532132175942</v>
      </c>
      <c r="AS162" s="211"/>
      <c r="AT162" s="180">
        <f>AT161/AT132</f>
        <v>0.2833125778331258</v>
      </c>
      <c r="AU162" s="180">
        <f>AU161/AU132</f>
        <v>0.26904084991770161</v>
      </c>
      <c r="AV162" s="310">
        <f>AV161/AV132</f>
        <v>0.24365642237982663</v>
      </c>
      <c r="AW162" s="180">
        <f>AW161/AW132</f>
        <v>0.23713308941608863</v>
      </c>
      <c r="AX162" s="180">
        <f>AX161/AX132</f>
        <v>0.25875872322230631</v>
      </c>
      <c r="AY162" s="210"/>
      <c r="AZ162" s="180">
        <f>AZ161/AZ132</f>
        <v>0.27255537731663199</v>
      </c>
      <c r="BA162" s="180">
        <f>BA161/BA132</f>
        <v>0.25579204033557879</v>
      </c>
      <c r="BB162" s="180">
        <f>BB161/BB132</f>
        <v>0.23485012941471153</v>
      </c>
      <c r="BC162" s="180">
        <f>BC161/BC132</f>
        <v>0.23296992327505145</v>
      </c>
      <c r="BD162" s="180">
        <f>BD161/BD132</f>
        <v>0.24901171202972755</v>
      </c>
      <c r="BE162" s="210"/>
      <c r="BF162" s="180">
        <f>BF161/BF132</f>
        <v>0.27907743426849219</v>
      </c>
      <c r="BG162" s="180">
        <f>BG161/BG132</f>
        <v>0.2631032779108608</v>
      </c>
      <c r="BH162" s="180">
        <f>BH161/BH132</f>
        <v>0.24318419514290146</v>
      </c>
      <c r="BI162" s="180">
        <f>BI161/BI132</f>
        <v>0.24144436280483553</v>
      </c>
      <c r="BJ162" s="180">
        <f>BJ161/BJ132</f>
        <v>0.25667338048832677</v>
      </c>
      <c r="BK162" s="210"/>
      <c r="BL162" s="180">
        <f>BL161/BL132</f>
        <v>0.2835332119909979</v>
      </c>
      <c r="BM162" s="180">
        <f>BM161/BM132</f>
        <v>0.26807739086809435</v>
      </c>
      <c r="BN162" s="180">
        <f>BN161/BN132</f>
        <v>0.24886153569365591</v>
      </c>
      <c r="BO162" s="180">
        <f>BO161/BO132</f>
        <v>0.24724615564891125</v>
      </c>
      <c r="BP162" s="180">
        <f>BP161/BP132</f>
        <v>0.26190008236197426</v>
      </c>
      <c r="BQ162" s="210"/>
      <c r="BR162" s="180">
        <f>BR161/BR132</f>
        <v>0.2875575176251054</v>
      </c>
      <c r="BS162" s="180">
        <f>BS161/BS132</f>
        <v>0.27260741727614285</v>
      </c>
      <c r="BT162" s="180">
        <f>BT161/BT132</f>
        <v>0.25405357172678772</v>
      </c>
      <c r="BU162" s="180">
        <f>BU161/BU132</f>
        <v>0.25252684312345314</v>
      </c>
      <c r="BV162" s="180">
        <f>BV161/BV132</f>
        <v>0.26665648361476535</v>
      </c>
      <c r="BW162" s="210"/>
      <c r="BX162" s="180">
        <f>BX161/BX132</f>
        <v>0.29144982852406548</v>
      </c>
      <c r="BY162" s="180">
        <f>BY161/BY132</f>
        <v>0.27698921844591545</v>
      </c>
      <c r="BZ162" s="180">
        <f>BZ161/BZ132</f>
        <v>0.25907532393165678</v>
      </c>
      <c r="CA162" s="180">
        <f>CA161/CA132</f>
        <v>0.25763359733209484</v>
      </c>
      <c r="CB162" s="180">
        <f>CB161/CB132</f>
        <v>0.27125683338314044</v>
      </c>
      <c r="CC162" s="210"/>
      <c r="CD162" s="180">
        <f>CD161/CD132</f>
        <v>0.29521430129726911</v>
      </c>
      <c r="CE162" s="180">
        <f>CE161/CE132</f>
        <v>0.28122745947882943</v>
      </c>
      <c r="CF162" s="180">
        <f>CF161/CF132</f>
        <v>0.26393216720694584</v>
      </c>
      <c r="CG162" s="180">
        <f>CG161/CG132</f>
        <v>0.262571925524344</v>
      </c>
      <c r="CH162" s="180">
        <f>CH161/CH132</f>
        <v>0.2757060543674022</v>
      </c>
      <c r="CI162" s="210"/>
      <c r="CJ162" s="180">
        <f>CJ161/CJ132</f>
        <v>0.29885496699383368</v>
      </c>
      <c r="CK162" s="180">
        <f>CK161/CK132</f>
        <v>0.28532666446429267</v>
      </c>
      <c r="CL162" s="180">
        <f>CL161/CL132</f>
        <v>0.26862931355197994</v>
      </c>
      <c r="CM162" s="180">
        <f>CM161/CM132</f>
        <v>0.26734716768703848</v>
      </c>
      <c r="CN162" s="180">
        <f>CN161/CN132</f>
        <v>0.28000892022417662</v>
      </c>
      <c r="CO162" s="379"/>
    </row>
    <row r="163" spans="1:93" s="137" customFormat="1" ht="18" customHeight="1" x14ac:dyDescent="0.25">
      <c r="B163" s="382"/>
      <c r="C163" s="379"/>
      <c r="D163" s="247"/>
      <c r="E163" s="247"/>
      <c r="F163" s="247"/>
      <c r="G163" s="247"/>
      <c r="H163" s="247"/>
      <c r="I163" s="379"/>
      <c r="J163" s="247"/>
      <c r="K163" s="247"/>
      <c r="L163" s="247"/>
      <c r="M163" s="247"/>
      <c r="N163" s="247"/>
      <c r="O163" s="380"/>
      <c r="P163" s="247"/>
      <c r="Q163" s="247"/>
      <c r="R163" s="247"/>
      <c r="S163" s="247"/>
      <c r="T163" s="247"/>
      <c r="U163" s="380"/>
      <c r="V163" s="247"/>
      <c r="W163" s="247"/>
      <c r="X163" s="247"/>
      <c r="Y163" s="247"/>
      <c r="Z163" s="247"/>
      <c r="AA163" s="380"/>
      <c r="AB163" s="247"/>
      <c r="AC163" s="247"/>
      <c r="AD163" s="247"/>
      <c r="AE163" s="247"/>
      <c r="AF163" s="247"/>
      <c r="AG163" s="379"/>
      <c r="AH163" s="247"/>
      <c r="AI163" s="247"/>
      <c r="AJ163" s="247"/>
      <c r="AK163" s="247"/>
      <c r="AL163" s="247"/>
      <c r="AM163" s="379"/>
      <c r="AN163" s="247"/>
      <c r="AO163" s="247"/>
      <c r="AP163" s="247"/>
      <c r="AQ163" s="247"/>
      <c r="AR163" s="247"/>
      <c r="AS163" s="380"/>
      <c r="AT163" s="247"/>
      <c r="AU163" s="247"/>
      <c r="AV163" s="130"/>
      <c r="AW163" s="247"/>
      <c r="AX163" s="247"/>
      <c r="AY163" s="379"/>
      <c r="AZ163" s="247"/>
      <c r="BA163" s="247"/>
      <c r="BB163" s="247"/>
      <c r="BC163" s="247"/>
      <c r="BD163" s="247"/>
      <c r="BE163" s="379"/>
      <c r="BF163" s="247"/>
      <c r="BG163" s="247"/>
      <c r="BH163" s="247"/>
      <c r="BI163" s="247"/>
      <c r="BJ163" s="247"/>
      <c r="BK163" s="379"/>
      <c r="BL163" s="247"/>
      <c r="BM163" s="247"/>
      <c r="BN163" s="247"/>
      <c r="BO163" s="247"/>
      <c r="BP163" s="247"/>
      <c r="BQ163" s="379"/>
      <c r="BR163" s="247"/>
      <c r="BS163" s="247"/>
      <c r="BT163" s="247"/>
      <c r="BU163" s="247"/>
      <c r="BV163" s="247"/>
      <c r="BW163" s="379"/>
      <c r="BX163" s="247"/>
      <c r="BY163" s="247"/>
      <c r="BZ163" s="247"/>
      <c r="CA163" s="247"/>
      <c r="CB163" s="247"/>
      <c r="CC163" s="379"/>
      <c r="CD163" s="247"/>
      <c r="CE163" s="247"/>
      <c r="CF163" s="247"/>
      <c r="CG163" s="247"/>
      <c r="CH163" s="247"/>
      <c r="CI163" s="379"/>
      <c r="CJ163" s="247"/>
      <c r="CK163" s="247"/>
      <c r="CL163" s="247"/>
      <c r="CM163" s="247"/>
      <c r="CN163" s="247"/>
      <c r="CO163" s="379"/>
    </row>
    <row r="164" spans="1:93" s="435" customFormat="1" ht="18" customHeight="1" x14ac:dyDescent="0.25">
      <c r="B164" s="436" t="s">
        <v>335</v>
      </c>
      <c r="C164" s="437"/>
      <c r="J164" s="438"/>
      <c r="K164" s="438"/>
      <c r="L164" s="438"/>
      <c r="M164" s="438"/>
      <c r="N164" s="438"/>
      <c r="O164" s="439"/>
      <c r="P164" s="438"/>
      <c r="Q164" s="438"/>
      <c r="R164" s="438"/>
      <c r="S164" s="438"/>
      <c r="T164" s="440"/>
      <c r="U164" s="439"/>
      <c r="V164" s="440"/>
      <c r="W164" s="440"/>
      <c r="X164" s="440"/>
      <c r="Y164" s="443"/>
      <c r="Z164" s="440"/>
      <c r="AA164" s="440"/>
      <c r="AB164" s="440">
        <v>28</v>
      </c>
      <c r="AC164" s="440">
        <v>36</v>
      </c>
      <c r="AD164" s="440">
        <v>56</v>
      </c>
      <c r="AE164" s="443">
        <f>AF164-SUM(AB164:AD164)</f>
        <v>135</v>
      </c>
      <c r="AF164" s="440">
        <v>255</v>
      </c>
      <c r="AG164" s="440"/>
      <c r="AH164" s="440">
        <v>32</v>
      </c>
      <c r="AI164" s="440">
        <v>43</v>
      </c>
      <c r="AJ164" s="441">
        <v>74</v>
      </c>
      <c r="AK164" s="443">
        <f>AL164-SUM(AH164:AJ164)</f>
        <v>122</v>
      </c>
      <c r="AL164" s="440">
        <v>271</v>
      </c>
      <c r="AM164" s="440"/>
      <c r="AN164" s="440">
        <v>32</v>
      </c>
      <c r="AO164" s="440">
        <v>51</v>
      </c>
      <c r="AP164" s="440">
        <v>105</v>
      </c>
      <c r="AQ164" s="443">
        <f>AR164-SUM(AN164:AP164)</f>
        <v>188</v>
      </c>
      <c r="AR164" s="440">
        <v>376</v>
      </c>
      <c r="AS164" s="440"/>
      <c r="AT164" s="440">
        <v>58</v>
      </c>
      <c r="AU164" s="440">
        <v>55</v>
      </c>
      <c r="AV164" s="453">
        <v>66</v>
      </c>
      <c r="AW164" s="443">
        <f>AQ164*(1+AW165)</f>
        <v>206.8</v>
      </c>
      <c r="AX164" s="443">
        <f>SUM(AT164:AW164)</f>
        <v>385.8</v>
      </c>
      <c r="AY164" s="437"/>
      <c r="AZ164" s="443">
        <f t="shared" ref="AZ164:BB164" si="1611">AT164*(1+AZ165)</f>
        <v>60.900000000000006</v>
      </c>
      <c r="BA164" s="443">
        <f t="shared" si="1611"/>
        <v>57.75</v>
      </c>
      <c r="BB164" s="443">
        <f t="shared" si="1611"/>
        <v>69.3</v>
      </c>
      <c r="BC164" s="443">
        <f>AW164*(1+BC165)</f>
        <v>217.14000000000001</v>
      </c>
      <c r="BD164" s="443">
        <f>SUM(AZ164:BC164)</f>
        <v>405.09000000000003</v>
      </c>
      <c r="BE164" s="437"/>
      <c r="BF164" s="443">
        <f t="shared" ref="BF164" si="1612">AZ164*(1+BF165)</f>
        <v>63.945000000000007</v>
      </c>
      <c r="BG164" s="443">
        <f t="shared" ref="BG164" si="1613">BA164*(1+BG165)</f>
        <v>60.637500000000003</v>
      </c>
      <c r="BH164" s="443">
        <f t="shared" ref="BH164" si="1614">BB164*(1+BH165)</f>
        <v>72.765000000000001</v>
      </c>
      <c r="BI164" s="443">
        <f>BC164*(1+BI165)</f>
        <v>227.99700000000001</v>
      </c>
      <c r="BJ164" s="443">
        <f>SUM(BF164:BI164)</f>
        <v>425.34450000000004</v>
      </c>
      <c r="BK164" s="437"/>
      <c r="BL164" s="443">
        <f t="shared" ref="BL164" si="1615">BF164*(1+BL165)</f>
        <v>67.142250000000004</v>
      </c>
      <c r="BM164" s="443">
        <f t="shared" ref="BM164" si="1616">BG164*(1+BM165)</f>
        <v>63.669375000000002</v>
      </c>
      <c r="BN164" s="443">
        <f t="shared" ref="BN164" si="1617">BH164*(1+BN165)</f>
        <v>76.40325</v>
      </c>
      <c r="BO164" s="443">
        <f>BI164*(1+BO165)</f>
        <v>239.39685000000003</v>
      </c>
      <c r="BP164" s="443">
        <f>SUM(BL164:BO164)</f>
        <v>446.61172500000004</v>
      </c>
      <c r="BQ164" s="437"/>
      <c r="BR164" s="443">
        <f t="shared" ref="BR164" si="1618">BL164*(1+BR165)</f>
        <v>68.485095000000001</v>
      </c>
      <c r="BS164" s="443">
        <f t="shared" ref="BS164" si="1619">BM164*(1+BS165)</f>
        <v>64.942762500000001</v>
      </c>
      <c r="BT164" s="443">
        <f t="shared" ref="BT164" si="1620">BN164*(1+BT165)</f>
        <v>77.931314999999998</v>
      </c>
      <c r="BU164" s="443">
        <f>BO164*(1+BU165)</f>
        <v>244.18478700000003</v>
      </c>
      <c r="BV164" s="443">
        <f>SUM(BR164:BU164)</f>
        <v>455.54395950000003</v>
      </c>
      <c r="BW164" s="437"/>
      <c r="BX164" s="443">
        <f t="shared" ref="BX164" si="1621">BR164*(1+BX165)</f>
        <v>69.854796899999997</v>
      </c>
      <c r="BY164" s="443">
        <f t="shared" ref="BY164" si="1622">BS164*(1+BY165)</f>
        <v>66.241617750000003</v>
      </c>
      <c r="BZ164" s="443">
        <f t="shared" ref="BZ164" si="1623">BT164*(1+BZ165)</f>
        <v>79.489941299999998</v>
      </c>
      <c r="CA164" s="443">
        <f>BU164*(1+CA165)</f>
        <v>249.06848274000004</v>
      </c>
      <c r="CB164" s="443">
        <f>SUM(BX164:CA164)</f>
        <v>464.65483869000002</v>
      </c>
      <c r="CC164" s="437"/>
      <c r="CD164" s="443">
        <f t="shared" ref="CD164" si="1624">BX164*(1+CD165)</f>
        <v>71.251892838000003</v>
      </c>
      <c r="CE164" s="443">
        <f t="shared" ref="CE164" si="1625">BY164*(1+CE165)</f>
        <v>67.566450105000001</v>
      </c>
      <c r="CF164" s="443">
        <f t="shared" ref="CF164" si="1626">BZ164*(1+CF165)</f>
        <v>81.079740126000004</v>
      </c>
      <c r="CG164" s="443">
        <f>CA164*(1+CG165)</f>
        <v>254.04985239480004</v>
      </c>
      <c r="CH164" s="443">
        <f>SUM(CD164:CG164)</f>
        <v>473.94793546380004</v>
      </c>
      <c r="CI164" s="437"/>
      <c r="CJ164" s="443">
        <f t="shared" ref="CJ164" si="1627">CD164*(1+CJ165)</f>
        <v>72.676930694760003</v>
      </c>
      <c r="CK164" s="443">
        <f t="shared" ref="CK164" si="1628">CE164*(1+CK165)</f>
        <v>68.917779107100003</v>
      </c>
      <c r="CL164" s="443">
        <f t="shared" ref="CL164" si="1629">CF164*(1+CL165)</f>
        <v>82.701334928520012</v>
      </c>
      <c r="CM164" s="443">
        <f>CG164*(1+CM165)</f>
        <v>259.13084944269605</v>
      </c>
      <c r="CN164" s="443">
        <f>SUM(CJ164:CM164)</f>
        <v>483.42689417307605</v>
      </c>
      <c r="CO164" s="437"/>
    </row>
    <row r="165" spans="1:93" s="435" customFormat="1" ht="18" customHeight="1" x14ac:dyDescent="0.25">
      <c r="B165" s="14" t="s">
        <v>139</v>
      </c>
      <c r="C165" s="437"/>
      <c r="J165" s="438"/>
      <c r="K165" s="438"/>
      <c r="L165" s="438"/>
      <c r="M165" s="438"/>
      <c r="N165" s="438"/>
      <c r="O165" s="439"/>
      <c r="P165" s="438"/>
      <c r="Q165" s="438"/>
      <c r="R165" s="438"/>
      <c r="S165" s="438"/>
      <c r="T165" s="440"/>
      <c r="U165" s="439"/>
      <c r="V165" s="440"/>
      <c r="W165" s="440"/>
      <c r="X165" s="440"/>
      <c r="Y165" s="443"/>
      <c r="Z165" s="440"/>
      <c r="AA165" s="440"/>
      <c r="AB165" s="440"/>
      <c r="AC165" s="440"/>
      <c r="AD165" s="440"/>
      <c r="AE165" s="443"/>
      <c r="AF165" s="440"/>
      <c r="AG165" s="440"/>
      <c r="AH165" s="440"/>
      <c r="AI165" s="440"/>
      <c r="AJ165" s="441"/>
      <c r="AK165" s="443"/>
      <c r="AL165" s="440"/>
      <c r="AM165" s="440"/>
      <c r="AN165" s="440"/>
      <c r="AO165" s="440"/>
      <c r="AP165" s="440"/>
      <c r="AQ165" s="443"/>
      <c r="AR165" s="440"/>
      <c r="AS165" s="440"/>
      <c r="AT165" s="440"/>
      <c r="AU165" s="440"/>
      <c r="AV165" s="453"/>
      <c r="AW165" s="539">
        <v>0.1</v>
      </c>
      <c r="AX165" s="445"/>
      <c r="AY165" s="437"/>
      <c r="AZ165" s="454">
        <v>0.05</v>
      </c>
      <c r="BA165" s="454">
        <v>0.05</v>
      </c>
      <c r="BB165" s="454">
        <v>0.05</v>
      </c>
      <c r="BC165" s="454">
        <v>0.05</v>
      </c>
      <c r="BD165" s="445"/>
      <c r="BE165" s="437"/>
      <c r="BF165" s="454">
        <v>0.05</v>
      </c>
      <c r="BG165" s="454">
        <v>0.05</v>
      </c>
      <c r="BH165" s="454">
        <v>0.05</v>
      </c>
      <c r="BI165" s="454">
        <v>0.05</v>
      </c>
      <c r="BJ165" s="445"/>
      <c r="BK165" s="437"/>
      <c r="BL165" s="454">
        <v>0.05</v>
      </c>
      <c r="BM165" s="454">
        <v>0.05</v>
      </c>
      <c r="BN165" s="454">
        <v>0.05</v>
      </c>
      <c r="BO165" s="454">
        <v>0.05</v>
      </c>
      <c r="BP165" s="445"/>
      <c r="BQ165" s="437"/>
      <c r="BR165" s="454">
        <v>0.02</v>
      </c>
      <c r="BS165" s="454">
        <v>0.02</v>
      </c>
      <c r="BT165" s="454">
        <v>0.02</v>
      </c>
      <c r="BU165" s="454">
        <v>0.02</v>
      </c>
      <c r="BV165" s="445"/>
      <c r="BW165" s="437"/>
      <c r="BX165" s="454">
        <v>0.02</v>
      </c>
      <c r="BY165" s="454">
        <v>0.02</v>
      </c>
      <c r="BZ165" s="454">
        <v>0.02</v>
      </c>
      <c r="CA165" s="454">
        <v>0.02</v>
      </c>
      <c r="CB165" s="445"/>
      <c r="CC165" s="437"/>
      <c r="CD165" s="454">
        <v>0.02</v>
      </c>
      <c r="CE165" s="454">
        <v>0.02</v>
      </c>
      <c r="CF165" s="454">
        <v>0.02</v>
      </c>
      <c r="CG165" s="454">
        <v>0.02</v>
      </c>
      <c r="CH165" s="445"/>
      <c r="CI165" s="437"/>
      <c r="CJ165" s="454">
        <v>0.02</v>
      </c>
      <c r="CK165" s="454">
        <v>0.02</v>
      </c>
      <c r="CL165" s="454">
        <v>0.02</v>
      </c>
      <c r="CM165" s="454">
        <v>0.02</v>
      </c>
      <c r="CN165" s="445"/>
      <c r="CO165" s="437"/>
    </row>
    <row r="166" spans="1:93" ht="18" customHeight="1" thickBot="1" x14ac:dyDescent="0.3">
      <c r="B166" s="31"/>
      <c r="D166" s="74"/>
      <c r="E166" s="74"/>
      <c r="F166" s="74"/>
      <c r="G166" s="74"/>
      <c r="H166" s="74"/>
      <c r="I166" s="74"/>
      <c r="J166" s="198"/>
      <c r="K166" s="198"/>
      <c r="L166" s="198"/>
      <c r="M166" s="198"/>
      <c r="N166" s="198"/>
      <c r="O166" s="197"/>
      <c r="P166" s="198"/>
      <c r="Q166" s="198"/>
      <c r="R166" s="198"/>
      <c r="S166" s="198"/>
      <c r="T166" s="198"/>
      <c r="U166" s="197"/>
      <c r="V166" s="198"/>
      <c r="W166" s="198"/>
      <c r="X166" s="198"/>
      <c r="Y166" s="198"/>
      <c r="Z166" s="198"/>
      <c r="AA166" s="197"/>
      <c r="AB166" s="198"/>
      <c r="AC166" s="198"/>
      <c r="AD166" s="198"/>
      <c r="AE166" s="198"/>
      <c r="AF166" s="198"/>
      <c r="AH166" s="198"/>
      <c r="AI166" s="198"/>
      <c r="AJ166" s="249"/>
      <c r="AK166" s="198"/>
      <c r="AL166" s="198"/>
      <c r="AN166" s="198"/>
      <c r="AO166" s="249"/>
      <c r="AP166" s="198"/>
      <c r="AQ166" s="249"/>
      <c r="AR166" s="249"/>
      <c r="AS166" s="120"/>
      <c r="AT166" s="198"/>
      <c r="AU166" s="249"/>
      <c r="AV166" s="289"/>
      <c r="AW166" s="198"/>
      <c r="AX166" s="198"/>
      <c r="AZ166" s="198"/>
      <c r="BA166" s="198"/>
      <c r="BB166" s="198"/>
      <c r="BC166" s="198"/>
      <c r="BD166" s="198"/>
      <c r="BF166" s="198"/>
      <c r="BG166" s="198"/>
      <c r="BH166" s="198"/>
      <c r="BI166" s="198"/>
      <c r="BJ166" s="198"/>
      <c r="BL166" s="198"/>
      <c r="BM166" s="198"/>
      <c r="BN166" s="198"/>
      <c r="BO166" s="198"/>
      <c r="BP166" s="198"/>
      <c r="BR166" s="198"/>
      <c r="BS166" s="198"/>
      <c r="BT166" s="198"/>
      <c r="BU166" s="198"/>
      <c r="BV166" s="198"/>
      <c r="BX166" s="198"/>
      <c r="BY166" s="198"/>
      <c r="BZ166" s="198"/>
      <c r="CA166" s="198"/>
      <c r="CB166" s="198"/>
      <c r="CD166" s="198"/>
      <c r="CE166" s="198"/>
      <c r="CF166" s="198"/>
      <c r="CG166" s="198"/>
      <c r="CH166" s="198"/>
      <c r="CJ166" s="198"/>
      <c r="CK166" s="198"/>
      <c r="CL166" s="198"/>
      <c r="CM166" s="198"/>
      <c r="CN166" s="198"/>
    </row>
    <row r="167" spans="1:93" ht="18" customHeight="1" thickBot="1" x14ac:dyDescent="0.3">
      <c r="A167" s="405" t="s">
        <v>400</v>
      </c>
      <c r="B167" s="189" t="s">
        <v>402</v>
      </c>
      <c r="C167" s="124"/>
      <c r="D167" s="124"/>
      <c r="E167" s="124"/>
      <c r="F167" s="124"/>
      <c r="G167" s="124"/>
      <c r="H167" s="124"/>
      <c r="I167" s="124"/>
      <c r="J167" s="176"/>
      <c r="K167" s="176"/>
      <c r="L167" s="176"/>
      <c r="M167" s="176"/>
      <c r="N167" s="176"/>
      <c r="O167" s="176"/>
      <c r="P167" s="177"/>
      <c r="Q167" s="177"/>
      <c r="R167" s="177"/>
      <c r="S167" s="177"/>
      <c r="T167" s="177"/>
      <c r="U167" s="176"/>
      <c r="V167" s="178"/>
      <c r="W167" s="178"/>
      <c r="X167" s="178"/>
      <c r="Y167" s="178"/>
      <c r="Z167" s="178"/>
      <c r="AA167" s="176"/>
      <c r="AB167" s="178"/>
      <c r="AC167" s="178"/>
      <c r="AD167" s="178"/>
      <c r="AE167" s="178"/>
      <c r="AF167" s="178"/>
      <c r="AG167" s="124"/>
      <c r="AH167" s="179"/>
      <c r="AI167" s="179"/>
      <c r="AJ167" s="179"/>
      <c r="AK167" s="178"/>
      <c r="AL167" s="179"/>
      <c r="AM167" s="124"/>
      <c r="AN167" s="178"/>
      <c r="AO167" s="178"/>
      <c r="AP167" s="178"/>
      <c r="AQ167" s="178"/>
      <c r="AR167" s="178"/>
      <c r="AS167" s="176"/>
      <c r="AT167" s="178"/>
      <c r="AU167" s="178"/>
      <c r="AV167" s="307"/>
      <c r="AW167" s="178"/>
      <c r="AX167" s="178"/>
      <c r="AY167" s="124"/>
      <c r="AZ167" s="178"/>
      <c r="BA167" s="178"/>
      <c r="BB167" s="178"/>
      <c r="BC167" s="178"/>
      <c r="BD167" s="178"/>
      <c r="BE167" s="124"/>
      <c r="BF167" s="178"/>
      <c r="BG167" s="178"/>
      <c r="BH167" s="178"/>
      <c r="BI167" s="178"/>
      <c r="BJ167" s="178"/>
      <c r="BK167" s="124"/>
      <c r="BL167" s="178"/>
      <c r="BM167" s="178"/>
      <c r="BN167" s="178"/>
      <c r="BO167" s="178"/>
      <c r="BP167" s="178"/>
      <c r="BQ167" s="124"/>
      <c r="BR167" s="178"/>
      <c r="BS167" s="178"/>
      <c r="BT167" s="178"/>
      <c r="BU167" s="178"/>
      <c r="BV167" s="178"/>
      <c r="BW167" s="124"/>
      <c r="BX167" s="178"/>
      <c r="BY167" s="178"/>
      <c r="BZ167" s="178"/>
      <c r="CA167" s="178"/>
      <c r="CB167" s="178"/>
      <c r="CC167" s="124"/>
      <c r="CD167" s="178"/>
      <c r="CE167" s="178"/>
      <c r="CF167" s="178"/>
      <c r="CG167" s="178"/>
      <c r="CH167" s="178"/>
      <c r="CI167" s="124"/>
      <c r="CJ167" s="178"/>
      <c r="CK167" s="178"/>
      <c r="CL167" s="178"/>
      <c r="CM167" s="178"/>
      <c r="CN167" s="178"/>
    </row>
    <row r="168" spans="1:93" ht="18" customHeight="1" x14ac:dyDescent="0.25">
      <c r="A168" s="201"/>
      <c r="B168" s="31" t="s">
        <v>374</v>
      </c>
      <c r="D168" s="121">
        <v>598</v>
      </c>
      <c r="E168" s="121">
        <v>612</v>
      </c>
      <c r="F168" s="121">
        <v>581</v>
      </c>
      <c r="G168" s="121">
        <v>791</v>
      </c>
      <c r="H168" s="153">
        <f>SUM(D168:G168)</f>
        <v>2582</v>
      </c>
      <c r="I168" s="121"/>
      <c r="J168" s="121">
        <v>798</v>
      </c>
      <c r="K168" s="121">
        <v>804</v>
      </c>
      <c r="L168" s="121">
        <v>849</v>
      </c>
      <c r="M168" s="121">
        <v>906</v>
      </c>
      <c r="N168" s="153">
        <f>SUM(J168:M168)</f>
        <v>3357</v>
      </c>
      <c r="O168" s="121"/>
      <c r="P168" s="121">
        <v>951</v>
      </c>
      <c r="Q168" s="121">
        <v>1058</v>
      </c>
      <c r="R168" s="121">
        <v>789</v>
      </c>
      <c r="S168" s="121">
        <v>834</v>
      </c>
      <c r="T168" s="153">
        <f>SUM(P168:S168)</f>
        <v>3632</v>
      </c>
      <c r="U168" s="121"/>
      <c r="V168" s="121">
        <v>696</v>
      </c>
      <c r="W168" s="121">
        <v>507</v>
      </c>
      <c r="X168" s="121">
        <v>487</v>
      </c>
      <c r="Y168" s="121">
        <v>596</v>
      </c>
      <c r="Z168" s="153">
        <f>SUM(V168:Y168)</f>
        <v>2286</v>
      </c>
      <c r="AA168" s="121"/>
      <c r="AB168" s="121">
        <v>657</v>
      </c>
      <c r="AC168" s="121">
        <v>799</v>
      </c>
      <c r="AD168" s="121">
        <v>674</v>
      </c>
      <c r="AE168" s="121">
        <v>857</v>
      </c>
      <c r="AF168" s="153">
        <f>SUM(AB168:AE168)</f>
        <v>2987</v>
      </c>
      <c r="AG168" s="121"/>
      <c r="AH168" s="121">
        <v>1018</v>
      </c>
      <c r="AI168" s="121">
        <v>1027</v>
      </c>
      <c r="AJ168" s="121">
        <v>1122</v>
      </c>
      <c r="AK168" s="121">
        <v>1364</v>
      </c>
      <c r="AL168" s="153">
        <f>SUM(AH168:AK168)</f>
        <v>4531</v>
      </c>
      <c r="AM168" s="121"/>
      <c r="AN168" s="121">
        <v>1308</v>
      </c>
      <c r="AO168" s="121">
        <v>1342</v>
      </c>
      <c r="AP168" s="121">
        <v>1366</v>
      </c>
      <c r="AQ168" s="121">
        <v>1240</v>
      </c>
      <c r="AR168" s="153">
        <f>SUM(AN168:AQ168)</f>
        <v>5256</v>
      </c>
      <c r="AS168" s="121"/>
      <c r="AT168" s="121">
        <v>1264</v>
      </c>
      <c r="AU168" s="121">
        <v>1206</v>
      </c>
      <c r="AV168" s="263">
        <v>1131</v>
      </c>
      <c r="AW168" s="153">
        <f>AQ168*(1+AW180)</f>
        <v>1116</v>
      </c>
      <c r="AX168" s="153">
        <f>SUM(AT168:AW168)</f>
        <v>4717</v>
      </c>
      <c r="AY168" s="121"/>
      <c r="AZ168" s="153">
        <f>AT168*(1+AZ180)</f>
        <v>1137.6000000000001</v>
      </c>
      <c r="BA168" s="153">
        <f t="shared" ref="BA168:BA171" si="1630">AU168*(1+BA180)</f>
        <v>1206</v>
      </c>
      <c r="BB168" s="153">
        <f t="shared" ref="BB168:BB171" si="1631">AV168*(1+BB180)</f>
        <v>1176.24</v>
      </c>
      <c r="BC168" s="153">
        <f t="shared" ref="BC168:BC171" si="1632">AW168*(1+BC180)</f>
        <v>1160.6400000000001</v>
      </c>
      <c r="BD168" s="153">
        <f>SUM(AZ168:BC168)</f>
        <v>4680.4800000000005</v>
      </c>
      <c r="BE168" s="121"/>
      <c r="BF168" s="153">
        <f>AZ168*(1+BF180)</f>
        <v>1183.1040000000003</v>
      </c>
      <c r="BG168" s="153">
        <f t="shared" ref="BG168:BG171" si="1633">BA168*(1+BG180)</f>
        <v>1254.24</v>
      </c>
      <c r="BH168" s="153">
        <f t="shared" ref="BH168:BH171" si="1634">BB168*(1+BH180)</f>
        <v>1223.2896000000001</v>
      </c>
      <c r="BI168" s="153">
        <f t="shared" ref="BI168:BI171" si="1635">BC168*(1+BI180)</f>
        <v>1207.0656000000001</v>
      </c>
      <c r="BJ168" s="153">
        <f>SUM(BF168:BI168)</f>
        <v>4867.6992</v>
      </c>
      <c r="BK168" s="27"/>
      <c r="BL168" s="153">
        <f>BF168*(1+BL180)</f>
        <v>1230.4281600000004</v>
      </c>
      <c r="BM168" s="153">
        <f t="shared" ref="BM168:BM171" si="1636">BG168*(1+BM180)</f>
        <v>1304.4096</v>
      </c>
      <c r="BN168" s="153">
        <f t="shared" ref="BN168:BN171" si="1637">BH168*(1+BN180)</f>
        <v>1272.2211840000002</v>
      </c>
      <c r="BO168" s="153">
        <f t="shared" ref="BO168:BO171" si="1638">BI168*(1+BO180)</f>
        <v>1255.3482240000001</v>
      </c>
      <c r="BP168" s="153">
        <f>SUM(BL168:BO168)</f>
        <v>5062.4071680000006</v>
      </c>
      <c r="BQ168" s="27"/>
      <c r="BR168" s="153">
        <f>BL168*(1+BR180)</f>
        <v>1279.6452864000005</v>
      </c>
      <c r="BS168" s="153">
        <f t="shared" ref="BS168:BS171" si="1639">BM168*(1+BS180)</f>
        <v>1356.5859840000001</v>
      </c>
      <c r="BT168" s="153">
        <f t="shared" ref="BT168:BT171" si="1640">BN168*(1+BT180)</f>
        <v>1323.1100313600002</v>
      </c>
      <c r="BU168" s="153">
        <f t="shared" ref="BU168:BU171" si="1641">BO168*(1+BU180)</f>
        <v>1305.56215296</v>
      </c>
      <c r="BV168" s="153">
        <f>SUM(BR168:BU168)</f>
        <v>5264.9034547200008</v>
      </c>
      <c r="BW168" s="27"/>
      <c r="BX168" s="153">
        <f>BR168*(1+BX180)</f>
        <v>1330.8310978560005</v>
      </c>
      <c r="BY168" s="153">
        <f t="shared" ref="BY168:BY171" si="1642">BS168*(1+BY180)</f>
        <v>1410.8494233600002</v>
      </c>
      <c r="BZ168" s="153">
        <f t="shared" ref="BZ168:BZ171" si="1643">BT168*(1+BZ180)</f>
        <v>1376.0344326144002</v>
      </c>
      <c r="CA168" s="153">
        <f t="shared" ref="CA168:CA171" si="1644">BU168*(1+CA180)</f>
        <v>1357.7846390784</v>
      </c>
      <c r="CB168" s="153">
        <f>SUM(BX168:CA168)</f>
        <v>5475.4995929088009</v>
      </c>
      <c r="CC168" s="27"/>
      <c r="CD168" s="153">
        <f>BX168*(1+CD180)</f>
        <v>1384.0643417702406</v>
      </c>
      <c r="CE168" s="153">
        <f t="shared" ref="CE168:CE171" si="1645">BY168*(1+CE180)</f>
        <v>1467.2834002944003</v>
      </c>
      <c r="CF168" s="153">
        <f t="shared" ref="CF168:CF171" si="1646">BZ168*(1+CF180)</f>
        <v>1431.0758099189763</v>
      </c>
      <c r="CG168" s="153">
        <f t="shared" ref="CG168:CG171" si="1647">CA168*(1+CG180)</f>
        <v>1412.0960246415361</v>
      </c>
      <c r="CH168" s="153">
        <f>SUM(CD168:CG168)</f>
        <v>5694.5195766251536</v>
      </c>
      <c r="CI168" s="27"/>
      <c r="CJ168" s="153">
        <f>CD168*(1+CJ180)</f>
        <v>1439.4269154410504</v>
      </c>
      <c r="CK168" s="153">
        <f t="shared" ref="CK168:CK171" si="1648">CE168*(1+CK180)</f>
        <v>1525.9747363061763</v>
      </c>
      <c r="CL168" s="153">
        <f t="shared" ref="CL168:CL171" si="1649">CF168*(1+CL180)</f>
        <v>1488.3188423157355</v>
      </c>
      <c r="CM168" s="153">
        <f t="shared" ref="CM168:CM171" si="1650">CG168*(1+CM180)</f>
        <v>1468.5798656271977</v>
      </c>
      <c r="CN168" s="153">
        <f>SUM(CJ168:CM168)</f>
        <v>5922.3003596901599</v>
      </c>
    </row>
    <row r="169" spans="1:93" ht="18" customHeight="1" x14ac:dyDescent="0.25">
      <c r="A169" s="201"/>
      <c r="B169" s="31" t="s">
        <v>375</v>
      </c>
      <c r="D169" s="121">
        <v>269</v>
      </c>
      <c r="E169" s="121">
        <v>299</v>
      </c>
      <c r="F169" s="121">
        <v>329</v>
      </c>
      <c r="G169" s="121">
        <v>384</v>
      </c>
      <c r="H169" s="153">
        <f>SUM(D169:G169)</f>
        <v>1281</v>
      </c>
      <c r="I169" s="121"/>
      <c r="J169" s="121">
        <v>360</v>
      </c>
      <c r="K169" s="121">
        <v>394</v>
      </c>
      <c r="L169" s="121">
        <v>427</v>
      </c>
      <c r="M169" s="121">
        <v>466</v>
      </c>
      <c r="N169" s="153">
        <f>SUM(J169:M169)</f>
        <v>1647</v>
      </c>
      <c r="O169" s="121"/>
      <c r="P169" s="121">
        <v>423</v>
      </c>
      <c r="Q169" s="121">
        <v>448</v>
      </c>
      <c r="R169" s="121">
        <v>349</v>
      </c>
      <c r="S169" s="121">
        <v>313</v>
      </c>
      <c r="T169" s="153">
        <f>SUM(P169:S169)</f>
        <v>1533</v>
      </c>
      <c r="U169" s="121"/>
      <c r="V169" s="121">
        <v>320</v>
      </c>
      <c r="W169" s="121">
        <v>270</v>
      </c>
      <c r="X169" s="121">
        <v>269</v>
      </c>
      <c r="Y169" s="121">
        <v>394</v>
      </c>
      <c r="Z169" s="153">
        <f>SUM(V169:Y169)</f>
        <v>1253</v>
      </c>
      <c r="AA169" s="121"/>
      <c r="AB169" s="121">
        <v>405</v>
      </c>
      <c r="AC169" s="121">
        <v>487</v>
      </c>
      <c r="AD169" s="121">
        <v>417</v>
      </c>
      <c r="AE169" s="121">
        <v>415</v>
      </c>
      <c r="AF169" s="153">
        <f>SUM(AB169:AE169)</f>
        <v>1724</v>
      </c>
      <c r="AG169" s="121"/>
      <c r="AH169" s="121">
        <v>399</v>
      </c>
      <c r="AI169" s="121">
        <v>466</v>
      </c>
      <c r="AJ169" s="121">
        <v>472</v>
      </c>
      <c r="AK169" s="121">
        <v>503</v>
      </c>
      <c r="AL169" s="153">
        <f>SUM(AH169:AK169)</f>
        <v>1840</v>
      </c>
      <c r="AM169" s="121"/>
      <c r="AN169" s="121">
        <v>474</v>
      </c>
      <c r="AO169" s="121">
        <v>538</v>
      </c>
      <c r="AP169" s="121">
        <v>499</v>
      </c>
      <c r="AQ169" s="121">
        <v>529</v>
      </c>
      <c r="AR169" s="153">
        <f>SUM(AN169:AQ169)</f>
        <v>2040</v>
      </c>
      <c r="AS169" s="121"/>
      <c r="AT169" s="121">
        <v>476</v>
      </c>
      <c r="AU169" s="121">
        <v>524</v>
      </c>
      <c r="AV169" s="263">
        <v>498</v>
      </c>
      <c r="AW169" s="153">
        <f t="shared" ref="AW169:AW171" si="1651">AQ169*(1+AW181)</f>
        <v>502.54999999999995</v>
      </c>
      <c r="AX169" s="153">
        <f t="shared" ref="AX169:AX172" si="1652">SUM(AT169:AW169)</f>
        <v>2000.55</v>
      </c>
      <c r="AY169" s="121"/>
      <c r="AZ169" s="153">
        <f t="shared" ref="AZ169:AZ171" si="1653">AT169*(1+AZ181)</f>
        <v>452.2</v>
      </c>
      <c r="BA169" s="153">
        <f t="shared" si="1630"/>
        <v>524</v>
      </c>
      <c r="BB169" s="153">
        <f t="shared" si="1631"/>
        <v>517.92000000000007</v>
      </c>
      <c r="BC169" s="153">
        <f t="shared" si="1632"/>
        <v>522.65199999999993</v>
      </c>
      <c r="BD169" s="153">
        <f t="shared" ref="BD169:BD172" si="1654">SUM(AZ169:BC169)</f>
        <v>2016.7719999999999</v>
      </c>
      <c r="BE169" s="121"/>
      <c r="BF169" s="153">
        <f t="shared" ref="BF169:BF171" si="1655">AZ169*(1+BF181)</f>
        <v>470.28800000000001</v>
      </c>
      <c r="BG169" s="153">
        <f t="shared" si="1633"/>
        <v>544.96</v>
      </c>
      <c r="BH169" s="153">
        <f t="shared" si="1634"/>
        <v>538.63680000000011</v>
      </c>
      <c r="BI169" s="153">
        <f t="shared" si="1635"/>
        <v>543.5580799999999</v>
      </c>
      <c r="BJ169" s="153">
        <f t="shared" ref="BJ169:BJ172" si="1656">SUM(BF169:BI169)</f>
        <v>2097.4428800000001</v>
      </c>
      <c r="BK169" s="27"/>
      <c r="BL169" s="153">
        <f t="shared" ref="BL169:BL171" si="1657">BF169*(1+BL181)</f>
        <v>489.09952000000004</v>
      </c>
      <c r="BM169" s="153">
        <f t="shared" si="1636"/>
        <v>566.75840000000005</v>
      </c>
      <c r="BN169" s="153">
        <f t="shared" si="1637"/>
        <v>560.18227200000013</v>
      </c>
      <c r="BO169" s="153">
        <f t="shared" si="1638"/>
        <v>565.30040319999989</v>
      </c>
      <c r="BP169" s="153">
        <f t="shared" ref="BP169:BP172" si="1658">SUM(BL169:BO169)</f>
        <v>2181.3405952000003</v>
      </c>
      <c r="BQ169" s="27"/>
      <c r="BR169" s="153">
        <f t="shared" ref="BR169:BR171" si="1659">BL169*(1+BR181)</f>
        <v>508.66350080000007</v>
      </c>
      <c r="BS169" s="153">
        <f t="shared" si="1639"/>
        <v>589.42873600000007</v>
      </c>
      <c r="BT169" s="153">
        <f t="shared" si="1640"/>
        <v>582.58956288000013</v>
      </c>
      <c r="BU169" s="153">
        <f t="shared" si="1641"/>
        <v>587.91241932799994</v>
      </c>
      <c r="BV169" s="153">
        <f t="shared" ref="BV169:BV172" si="1660">SUM(BR169:BU169)</f>
        <v>2268.5942190080004</v>
      </c>
      <c r="BW169" s="27"/>
      <c r="BX169" s="153">
        <f t="shared" ref="BX169:BX171" si="1661">BR169*(1+BX181)</f>
        <v>529.01004083200007</v>
      </c>
      <c r="BY169" s="153">
        <f t="shared" si="1642"/>
        <v>613.00588544000004</v>
      </c>
      <c r="BZ169" s="153">
        <f t="shared" si="1643"/>
        <v>605.89314539520012</v>
      </c>
      <c r="CA169" s="153">
        <f t="shared" si="1644"/>
        <v>611.42891610111997</v>
      </c>
      <c r="CB169" s="153">
        <f t="shared" ref="CB169:CB172" si="1662">SUM(BX169:CA169)</f>
        <v>2359.3379877683201</v>
      </c>
      <c r="CC169" s="27"/>
      <c r="CD169" s="153">
        <f t="shared" ref="CD169:CD171" si="1663">BX169*(1+CD181)</f>
        <v>550.17044246528008</v>
      </c>
      <c r="CE169" s="153">
        <f t="shared" si="1645"/>
        <v>637.52612085760006</v>
      </c>
      <c r="CF169" s="153">
        <f t="shared" si="1646"/>
        <v>630.12887121100812</v>
      </c>
      <c r="CG169" s="153">
        <f t="shared" si="1647"/>
        <v>635.88607274516482</v>
      </c>
      <c r="CH169" s="153">
        <f t="shared" ref="CH169:CH172" si="1664">SUM(CD169:CG169)</f>
        <v>2453.711507279053</v>
      </c>
      <c r="CI169" s="27"/>
      <c r="CJ169" s="153">
        <f t="shared" ref="CJ169:CJ171" si="1665">CD169*(1+CJ181)</f>
        <v>572.17726016389133</v>
      </c>
      <c r="CK169" s="153">
        <f t="shared" si="1648"/>
        <v>663.02716569190409</v>
      </c>
      <c r="CL169" s="153">
        <f t="shared" si="1649"/>
        <v>655.33402605944843</v>
      </c>
      <c r="CM169" s="153">
        <f t="shared" si="1650"/>
        <v>661.32151565497145</v>
      </c>
      <c r="CN169" s="153">
        <f t="shared" ref="CN169:CN172" si="1666">SUM(CJ169:CM169)</f>
        <v>2551.8599675702153</v>
      </c>
    </row>
    <row r="170" spans="1:93" ht="18" customHeight="1" x14ac:dyDescent="0.25">
      <c r="A170" s="201"/>
      <c r="B170" s="31" t="s">
        <v>376</v>
      </c>
      <c r="D170" s="121">
        <v>416</v>
      </c>
      <c r="E170" s="121">
        <v>396</v>
      </c>
      <c r="F170" s="121">
        <v>488</v>
      </c>
      <c r="G170" s="121">
        <v>475</v>
      </c>
      <c r="H170" s="153">
        <f>SUM(D170:G170)</f>
        <v>1775</v>
      </c>
      <c r="I170" s="121"/>
      <c r="J170" s="121">
        <v>520</v>
      </c>
      <c r="K170" s="121">
        <v>569</v>
      </c>
      <c r="L170" s="121">
        <v>574</v>
      </c>
      <c r="M170" s="121">
        <v>554</v>
      </c>
      <c r="N170" s="153">
        <f>SUM(J170:M170)</f>
        <v>2217</v>
      </c>
      <c r="O170" s="121"/>
      <c r="P170" s="121">
        <v>468</v>
      </c>
      <c r="Q170" s="121">
        <v>446</v>
      </c>
      <c r="R170" s="121">
        <v>396</v>
      </c>
      <c r="S170" s="121">
        <v>526</v>
      </c>
      <c r="T170" s="153">
        <f>SUM(P170:S170)</f>
        <v>1836</v>
      </c>
      <c r="U170" s="121"/>
      <c r="V170" s="121">
        <v>395</v>
      </c>
      <c r="W170" s="121">
        <v>379</v>
      </c>
      <c r="X170" s="121">
        <v>384</v>
      </c>
      <c r="Y170" s="121">
        <v>412</v>
      </c>
      <c r="Z170" s="153">
        <f>SUM(V170:Y170)</f>
        <v>1570</v>
      </c>
      <c r="AA170" s="121"/>
      <c r="AB170" s="121">
        <v>474</v>
      </c>
      <c r="AC170" s="121">
        <v>525</v>
      </c>
      <c r="AD170" s="121">
        <v>456</v>
      </c>
      <c r="AE170" s="121">
        <v>532</v>
      </c>
      <c r="AF170" s="153">
        <f>SUM(AB170:AE170)</f>
        <v>1987</v>
      </c>
      <c r="AG170" s="121"/>
      <c r="AH170" s="121">
        <v>594</v>
      </c>
      <c r="AI170" s="121">
        <v>489</v>
      </c>
      <c r="AJ170" s="121">
        <v>526</v>
      </c>
      <c r="AK170" s="121">
        <v>596</v>
      </c>
      <c r="AL170" s="153">
        <f>SUM(AH170:AK170)</f>
        <v>2205</v>
      </c>
      <c r="AM170" s="121"/>
      <c r="AN170" s="121">
        <v>599</v>
      </c>
      <c r="AO170" s="121">
        <v>517</v>
      </c>
      <c r="AP170" s="121">
        <v>508</v>
      </c>
      <c r="AQ170" s="121">
        <v>445</v>
      </c>
      <c r="AR170" s="153">
        <f>SUM(AN170:AQ170)</f>
        <v>2069</v>
      </c>
      <c r="AS170" s="121"/>
      <c r="AT170" s="121">
        <v>465</v>
      </c>
      <c r="AU170" s="121">
        <v>442</v>
      </c>
      <c r="AV170" s="263">
        <v>442</v>
      </c>
      <c r="AW170" s="153">
        <f t="shared" si="1651"/>
        <v>400.5</v>
      </c>
      <c r="AX170" s="153">
        <f t="shared" si="1652"/>
        <v>1749.5</v>
      </c>
      <c r="AY170" s="121"/>
      <c r="AZ170" s="153">
        <f t="shared" si="1653"/>
        <v>418.5</v>
      </c>
      <c r="BA170" s="153">
        <f t="shared" si="1630"/>
        <v>442</v>
      </c>
      <c r="BB170" s="153">
        <f t="shared" si="1631"/>
        <v>459.68</v>
      </c>
      <c r="BC170" s="153">
        <f t="shared" si="1632"/>
        <v>416.52000000000004</v>
      </c>
      <c r="BD170" s="153">
        <f t="shared" si="1654"/>
        <v>1736.7</v>
      </c>
      <c r="BE170" s="121"/>
      <c r="BF170" s="153">
        <f t="shared" si="1655"/>
        <v>435.24</v>
      </c>
      <c r="BG170" s="153">
        <f t="shared" si="1633"/>
        <v>459.68</v>
      </c>
      <c r="BH170" s="153">
        <f t="shared" si="1634"/>
        <v>478.06720000000001</v>
      </c>
      <c r="BI170" s="153">
        <f t="shared" si="1635"/>
        <v>433.18080000000003</v>
      </c>
      <c r="BJ170" s="153">
        <f t="shared" si="1656"/>
        <v>1806.1680000000001</v>
      </c>
      <c r="BK170" s="27"/>
      <c r="BL170" s="153">
        <f t="shared" si="1657"/>
        <v>452.64960000000002</v>
      </c>
      <c r="BM170" s="153">
        <f t="shared" si="1636"/>
        <v>478.06720000000001</v>
      </c>
      <c r="BN170" s="153">
        <f t="shared" si="1637"/>
        <v>497.18988800000005</v>
      </c>
      <c r="BO170" s="153">
        <f t="shared" si="1638"/>
        <v>450.50803200000007</v>
      </c>
      <c r="BP170" s="153">
        <f t="shared" si="1658"/>
        <v>1878.4147200000002</v>
      </c>
      <c r="BQ170" s="27"/>
      <c r="BR170" s="153">
        <f t="shared" si="1659"/>
        <v>470.75558400000006</v>
      </c>
      <c r="BS170" s="153">
        <f t="shared" si="1639"/>
        <v>497.18988800000005</v>
      </c>
      <c r="BT170" s="153">
        <f t="shared" si="1640"/>
        <v>517.0774835200001</v>
      </c>
      <c r="BU170" s="153">
        <f t="shared" si="1641"/>
        <v>468.52835328000009</v>
      </c>
      <c r="BV170" s="153">
        <f t="shared" si="1660"/>
        <v>1953.5513088000005</v>
      </c>
      <c r="BW170" s="27"/>
      <c r="BX170" s="153">
        <f t="shared" si="1661"/>
        <v>489.58580736000005</v>
      </c>
      <c r="BY170" s="153">
        <f t="shared" si="1642"/>
        <v>517.0774835200001</v>
      </c>
      <c r="BZ170" s="153">
        <f t="shared" si="1643"/>
        <v>537.76058286080013</v>
      </c>
      <c r="CA170" s="153">
        <f t="shared" si="1644"/>
        <v>487.26948741120009</v>
      </c>
      <c r="CB170" s="153">
        <f t="shared" si="1662"/>
        <v>2031.6933611520005</v>
      </c>
      <c r="CC170" s="27"/>
      <c r="CD170" s="153">
        <f t="shared" si="1663"/>
        <v>509.16923965440009</v>
      </c>
      <c r="CE170" s="153">
        <f t="shared" si="1645"/>
        <v>537.76058286080013</v>
      </c>
      <c r="CF170" s="153">
        <f t="shared" si="1646"/>
        <v>559.27100617523217</v>
      </c>
      <c r="CG170" s="153">
        <f t="shared" si="1647"/>
        <v>506.76026690764809</v>
      </c>
      <c r="CH170" s="153">
        <f t="shared" si="1664"/>
        <v>2112.9610955980806</v>
      </c>
      <c r="CI170" s="27"/>
      <c r="CJ170" s="153">
        <f t="shared" si="1665"/>
        <v>529.53600924057616</v>
      </c>
      <c r="CK170" s="153">
        <f t="shared" si="1648"/>
        <v>559.27100617523217</v>
      </c>
      <c r="CL170" s="153">
        <f t="shared" si="1649"/>
        <v>581.64184642224143</v>
      </c>
      <c r="CM170" s="153">
        <f t="shared" si="1650"/>
        <v>527.030677583954</v>
      </c>
      <c r="CN170" s="153">
        <f t="shared" si="1666"/>
        <v>2197.4795394220037</v>
      </c>
    </row>
    <row r="171" spans="1:93" ht="18" customHeight="1" x14ac:dyDescent="0.25">
      <c r="A171" s="201"/>
      <c r="B171" s="31" t="s">
        <v>377</v>
      </c>
      <c r="D171" s="121">
        <v>387</v>
      </c>
      <c r="E171" s="121">
        <v>452</v>
      </c>
      <c r="F171" s="121">
        <v>472</v>
      </c>
      <c r="G171" s="121">
        <v>555</v>
      </c>
      <c r="H171" s="153">
        <f>SUM(D171:G171)</f>
        <v>1866</v>
      </c>
      <c r="I171" s="121"/>
      <c r="J171" s="121">
        <v>530</v>
      </c>
      <c r="K171" s="121">
        <v>664</v>
      </c>
      <c r="L171" s="121">
        <v>688</v>
      </c>
      <c r="M171" s="121">
        <v>785</v>
      </c>
      <c r="N171" s="153">
        <f>SUM(J171:M171)</f>
        <v>2667</v>
      </c>
      <c r="O171" s="121"/>
      <c r="P171" s="121">
        <v>805</v>
      </c>
      <c r="Q171" s="121">
        <v>759</v>
      </c>
      <c r="R171" s="121">
        <v>645</v>
      </c>
      <c r="S171" s="121">
        <v>603</v>
      </c>
      <c r="T171" s="153">
        <f>SUM(P171:S171)</f>
        <v>2812</v>
      </c>
      <c r="U171" s="121"/>
      <c r="V171" s="121">
        <v>568</v>
      </c>
      <c r="W171" s="121">
        <v>554</v>
      </c>
      <c r="X171" s="121">
        <v>564</v>
      </c>
      <c r="Y171" s="121">
        <v>651</v>
      </c>
      <c r="Z171" s="153">
        <f>SUM(V171:Y171)</f>
        <v>2337</v>
      </c>
      <c r="AA171" s="121"/>
      <c r="AB171" s="121">
        <v>561</v>
      </c>
      <c r="AC171" s="121">
        <v>660</v>
      </c>
      <c r="AD171" s="121">
        <v>744</v>
      </c>
      <c r="AE171" s="121">
        <v>839</v>
      </c>
      <c r="AF171" s="153">
        <f>SUM(AB171:AE171)</f>
        <v>2804</v>
      </c>
      <c r="AG171" s="121"/>
      <c r="AH171" s="121">
        <v>748</v>
      </c>
      <c r="AI171" s="121">
        <v>913</v>
      </c>
      <c r="AJ171" s="121">
        <v>893</v>
      </c>
      <c r="AK171" s="121">
        <v>883</v>
      </c>
      <c r="AL171" s="153">
        <f>SUM(AH171:AK171)</f>
        <v>3437</v>
      </c>
      <c r="AM171" s="121"/>
      <c r="AN171" s="121">
        <v>978</v>
      </c>
      <c r="AO171" s="121">
        <v>1076</v>
      </c>
      <c r="AP171" s="121">
        <v>886</v>
      </c>
      <c r="AQ171" s="121">
        <v>939</v>
      </c>
      <c r="AR171" s="153">
        <f>SUM(AN171:AQ171)</f>
        <v>3879</v>
      </c>
      <c r="AS171" s="121"/>
      <c r="AT171" s="121">
        <v>891</v>
      </c>
      <c r="AU171" s="121">
        <v>950</v>
      </c>
      <c r="AV171" s="263">
        <v>863</v>
      </c>
      <c r="AW171" s="153">
        <f t="shared" si="1651"/>
        <v>892.05</v>
      </c>
      <c r="AX171" s="153">
        <f t="shared" si="1652"/>
        <v>3596.05</v>
      </c>
      <c r="AY171" s="121"/>
      <c r="AZ171" s="153">
        <f t="shared" si="1653"/>
        <v>801.9</v>
      </c>
      <c r="BA171" s="153">
        <f t="shared" si="1630"/>
        <v>855</v>
      </c>
      <c r="BB171" s="153">
        <f t="shared" si="1631"/>
        <v>863</v>
      </c>
      <c r="BC171" s="153">
        <f t="shared" si="1632"/>
        <v>892.05</v>
      </c>
      <c r="BD171" s="153">
        <f t="shared" si="1654"/>
        <v>3411.95</v>
      </c>
      <c r="BE171" s="121"/>
      <c r="BF171" s="153">
        <f t="shared" si="1655"/>
        <v>833.976</v>
      </c>
      <c r="BG171" s="153">
        <f t="shared" si="1633"/>
        <v>889.2</v>
      </c>
      <c r="BH171" s="153">
        <f t="shared" si="1634"/>
        <v>897.52</v>
      </c>
      <c r="BI171" s="153">
        <f t="shared" si="1635"/>
        <v>927.73199999999997</v>
      </c>
      <c r="BJ171" s="153">
        <f t="shared" si="1656"/>
        <v>3548.4279999999999</v>
      </c>
      <c r="BK171" s="27"/>
      <c r="BL171" s="153">
        <f t="shared" si="1657"/>
        <v>867.33504000000005</v>
      </c>
      <c r="BM171" s="153">
        <f t="shared" si="1636"/>
        <v>924.76800000000003</v>
      </c>
      <c r="BN171" s="153">
        <f t="shared" si="1637"/>
        <v>933.42079999999999</v>
      </c>
      <c r="BO171" s="153">
        <f t="shared" si="1638"/>
        <v>964.84127999999998</v>
      </c>
      <c r="BP171" s="153">
        <f t="shared" si="1658"/>
        <v>3690.3651199999999</v>
      </c>
      <c r="BQ171" s="27"/>
      <c r="BR171" s="153">
        <f t="shared" si="1659"/>
        <v>902.02844160000006</v>
      </c>
      <c r="BS171" s="153">
        <f t="shared" si="1639"/>
        <v>961.75872000000004</v>
      </c>
      <c r="BT171" s="153">
        <f t="shared" si="1640"/>
        <v>970.75763200000006</v>
      </c>
      <c r="BU171" s="153">
        <f t="shared" si="1641"/>
        <v>1003.4349312000001</v>
      </c>
      <c r="BV171" s="153">
        <f t="shared" si="1660"/>
        <v>3837.9797248</v>
      </c>
      <c r="BW171" s="27"/>
      <c r="BX171" s="153">
        <f t="shared" si="1661"/>
        <v>938.1095792640001</v>
      </c>
      <c r="BY171" s="153">
        <f t="shared" si="1642"/>
        <v>1000.2290688000001</v>
      </c>
      <c r="BZ171" s="153">
        <f t="shared" si="1643"/>
        <v>1009.5879372800001</v>
      </c>
      <c r="CA171" s="153">
        <f t="shared" si="1644"/>
        <v>1043.572328448</v>
      </c>
      <c r="CB171" s="153">
        <f t="shared" si="1662"/>
        <v>3991.4989137920002</v>
      </c>
      <c r="CC171" s="27"/>
      <c r="CD171" s="153">
        <f t="shared" si="1663"/>
        <v>975.63396243456009</v>
      </c>
      <c r="CE171" s="153">
        <f t="shared" si="1645"/>
        <v>1040.2382315520001</v>
      </c>
      <c r="CF171" s="153">
        <f t="shared" si="1646"/>
        <v>1049.9714547712001</v>
      </c>
      <c r="CG171" s="153">
        <f t="shared" si="1647"/>
        <v>1085.31522158592</v>
      </c>
      <c r="CH171" s="153">
        <f t="shared" si="1664"/>
        <v>4151.1588703436801</v>
      </c>
      <c r="CI171" s="27"/>
      <c r="CJ171" s="153">
        <f t="shared" si="1665"/>
        <v>1014.6593209319425</v>
      </c>
      <c r="CK171" s="153">
        <f t="shared" si="1648"/>
        <v>1081.8477608140802</v>
      </c>
      <c r="CL171" s="153">
        <f t="shared" si="1649"/>
        <v>1091.9703129620482</v>
      </c>
      <c r="CM171" s="153">
        <f t="shared" si="1650"/>
        <v>1128.7278304493568</v>
      </c>
      <c r="CN171" s="153">
        <f t="shared" si="1666"/>
        <v>4317.2052251574278</v>
      </c>
    </row>
    <row r="172" spans="1:93" ht="18" customHeight="1" x14ac:dyDescent="0.25">
      <c r="A172" s="201"/>
      <c r="B172" s="31" t="s">
        <v>378</v>
      </c>
      <c r="D172" s="121">
        <v>91</v>
      </c>
      <c r="E172" s="121">
        <v>77</v>
      </c>
      <c r="F172" s="121">
        <v>86</v>
      </c>
      <c r="G172" s="121">
        <v>103</v>
      </c>
      <c r="H172" s="153">
        <f>SUM(D172:G172)</f>
        <v>357</v>
      </c>
      <c r="I172" s="121"/>
      <c r="J172" s="121">
        <v>101</v>
      </c>
      <c r="K172" s="121">
        <v>95</v>
      </c>
      <c r="L172" s="121">
        <v>100</v>
      </c>
      <c r="M172" s="121">
        <v>86</v>
      </c>
      <c r="N172" s="153">
        <f>SUM(J172:M172)</f>
        <v>382</v>
      </c>
      <c r="O172" s="121"/>
      <c r="P172" s="121">
        <v>105</v>
      </c>
      <c r="Q172" s="121">
        <v>108</v>
      </c>
      <c r="R172" s="121">
        <v>131</v>
      </c>
      <c r="S172" s="121">
        <v>119</v>
      </c>
      <c r="T172" s="153">
        <f>SUM(P172:S172)</f>
        <v>463</v>
      </c>
      <c r="U172" s="121"/>
      <c r="V172" s="121">
        <v>105</v>
      </c>
      <c r="W172" s="121">
        <v>116</v>
      </c>
      <c r="X172" s="121">
        <v>112</v>
      </c>
      <c r="Y172" s="121">
        <v>127</v>
      </c>
      <c r="Z172" s="153">
        <f>SUM(V172:Y172)</f>
        <v>460</v>
      </c>
      <c r="AA172" s="121"/>
      <c r="AB172" s="121">
        <v>81</v>
      </c>
      <c r="AC172" s="121">
        <v>76</v>
      </c>
      <c r="AD172" s="121">
        <v>75</v>
      </c>
      <c r="AE172" s="121">
        <v>76</v>
      </c>
      <c r="AF172" s="153">
        <f>SUM(AB172:AE172)</f>
        <v>308</v>
      </c>
      <c r="AG172" s="121"/>
      <c r="AH172" s="121">
        <v>71</v>
      </c>
      <c r="AI172" s="121">
        <v>66</v>
      </c>
      <c r="AJ172" s="121">
        <v>74</v>
      </c>
      <c r="AK172" s="121">
        <v>90</v>
      </c>
      <c r="AL172" s="153">
        <f>SUM(AH172:AK172)</f>
        <v>301</v>
      </c>
      <c r="AM172" s="121"/>
      <c r="AN172" s="121">
        <v>68</v>
      </c>
      <c r="AO172" s="121">
        <v>90</v>
      </c>
      <c r="AP172" s="121">
        <v>92</v>
      </c>
      <c r="AQ172" s="121">
        <v>89</v>
      </c>
      <c r="AR172" s="153">
        <f>SUM(AN172:AQ172)</f>
        <v>339</v>
      </c>
      <c r="AS172" s="121"/>
      <c r="AT172" s="121">
        <v>97</v>
      </c>
      <c r="AU172" s="121">
        <v>84</v>
      </c>
      <c r="AV172" s="376">
        <v>94</v>
      </c>
      <c r="AW172" s="540">
        <v>80</v>
      </c>
      <c r="AX172" s="153">
        <f t="shared" si="1652"/>
        <v>355</v>
      </c>
      <c r="AY172" s="121"/>
      <c r="AZ172" s="528">
        <v>80</v>
      </c>
      <c r="BA172" s="528">
        <v>80</v>
      </c>
      <c r="BB172" s="528">
        <v>80</v>
      </c>
      <c r="BC172" s="528">
        <v>80</v>
      </c>
      <c r="BD172" s="153">
        <f t="shared" si="1654"/>
        <v>320</v>
      </c>
      <c r="BE172" s="121"/>
      <c r="BF172" s="528">
        <v>80</v>
      </c>
      <c r="BG172" s="528">
        <v>80</v>
      </c>
      <c r="BH172" s="528">
        <v>80</v>
      </c>
      <c r="BI172" s="528">
        <v>80</v>
      </c>
      <c r="BJ172" s="153">
        <f t="shared" si="1656"/>
        <v>320</v>
      </c>
      <c r="BK172" s="27"/>
      <c r="BL172" s="528">
        <v>80</v>
      </c>
      <c r="BM172" s="528">
        <v>80</v>
      </c>
      <c r="BN172" s="528">
        <v>80</v>
      </c>
      <c r="BO172" s="528">
        <v>80</v>
      </c>
      <c r="BP172" s="153">
        <f t="shared" si="1658"/>
        <v>320</v>
      </c>
      <c r="BQ172" s="27"/>
      <c r="BR172" s="528">
        <v>80</v>
      </c>
      <c r="BS172" s="528">
        <v>80</v>
      </c>
      <c r="BT172" s="528">
        <v>80</v>
      </c>
      <c r="BU172" s="528">
        <v>80</v>
      </c>
      <c r="BV172" s="153">
        <f t="shared" si="1660"/>
        <v>320</v>
      </c>
      <c r="BW172" s="27"/>
      <c r="BX172" s="528">
        <v>80</v>
      </c>
      <c r="BY172" s="528">
        <v>80</v>
      </c>
      <c r="BZ172" s="528">
        <v>80</v>
      </c>
      <c r="CA172" s="528">
        <v>80</v>
      </c>
      <c r="CB172" s="153">
        <f t="shared" si="1662"/>
        <v>320</v>
      </c>
      <c r="CC172" s="27"/>
      <c r="CD172" s="528">
        <v>80</v>
      </c>
      <c r="CE172" s="528">
        <v>80</v>
      </c>
      <c r="CF172" s="528">
        <v>80</v>
      </c>
      <c r="CG172" s="528">
        <v>80</v>
      </c>
      <c r="CH172" s="153">
        <f t="shared" si="1664"/>
        <v>320</v>
      </c>
      <c r="CI172" s="27"/>
      <c r="CJ172" s="528">
        <v>80</v>
      </c>
      <c r="CK172" s="528">
        <v>80</v>
      </c>
      <c r="CL172" s="528">
        <v>80</v>
      </c>
      <c r="CM172" s="528">
        <v>80</v>
      </c>
      <c r="CN172" s="153">
        <f t="shared" si="1666"/>
        <v>320</v>
      </c>
    </row>
    <row r="173" spans="1:93" ht="18" customHeight="1" x14ac:dyDescent="0.25">
      <c r="B173" s="155" t="s">
        <v>141</v>
      </c>
      <c r="C173" s="13"/>
      <c r="D173" s="73">
        <f t="shared" ref="D173" si="1667">SUM(D168:D172)</f>
        <v>1761</v>
      </c>
      <c r="E173" s="73">
        <f t="shared" ref="E173" si="1668">SUM(E168:E172)</f>
        <v>1836</v>
      </c>
      <c r="F173" s="73">
        <f t="shared" ref="F173" si="1669">SUM(F168:F172)</f>
        <v>1956</v>
      </c>
      <c r="G173" s="73">
        <f t="shared" ref="G173" si="1670">SUM(G168:G172)</f>
        <v>2308</v>
      </c>
      <c r="H173" s="73">
        <f t="shared" ref="H173" si="1671">SUM(H168:H172)</f>
        <v>7861</v>
      </c>
      <c r="I173" s="46"/>
      <c r="J173" s="73">
        <f t="shared" ref="J173" si="1672">SUM(J168:J172)</f>
        <v>2309</v>
      </c>
      <c r="K173" s="73">
        <f t="shared" ref="K173" si="1673">SUM(K168:K172)</f>
        <v>2526</v>
      </c>
      <c r="L173" s="73">
        <f t="shared" ref="L173" si="1674">SUM(L168:L172)</f>
        <v>2638</v>
      </c>
      <c r="M173" s="73">
        <f t="shared" ref="M173" si="1675">SUM(M168:M172)</f>
        <v>2797</v>
      </c>
      <c r="N173" s="73">
        <f t="shared" ref="N173" si="1676">SUM(N168:N172)</f>
        <v>10270</v>
      </c>
      <c r="O173" s="73"/>
      <c r="P173" s="73">
        <f t="shared" ref="P173" si="1677">SUM(P168:P172)</f>
        <v>2752</v>
      </c>
      <c r="Q173" s="73">
        <f t="shared" ref="Q173" si="1678">SUM(Q168:Q172)</f>
        <v>2819</v>
      </c>
      <c r="R173" s="73">
        <f t="shared" ref="R173" si="1679">SUM(R168:R172)</f>
        <v>2310</v>
      </c>
      <c r="S173" s="73">
        <f t="shared" ref="S173" si="1680">SUM(S168:S172)</f>
        <v>2395</v>
      </c>
      <c r="T173" s="73">
        <f t="shared" ref="T173" si="1681">SUM(T168:T172)</f>
        <v>10276</v>
      </c>
      <c r="U173" s="73"/>
      <c r="V173" s="73">
        <f t="shared" ref="V173" si="1682">SUM(V168:V172)</f>
        <v>2084</v>
      </c>
      <c r="W173" s="73">
        <f t="shared" ref="W173" si="1683">SUM(W168:W172)</f>
        <v>1826</v>
      </c>
      <c r="X173" s="73">
        <f t="shared" ref="X173" si="1684">SUM(X168:X172)</f>
        <v>1816</v>
      </c>
      <c r="Y173" s="73">
        <f t="shared" ref="Y173" si="1685">SUM(Y168:Y172)</f>
        <v>2180</v>
      </c>
      <c r="Z173" s="73">
        <f t="shared" ref="Z173" si="1686">SUM(Z168:Z172)</f>
        <v>7906</v>
      </c>
      <c r="AA173" s="73"/>
      <c r="AB173" s="73">
        <f t="shared" ref="AB173" si="1687">SUM(AB168:AB172)</f>
        <v>2178</v>
      </c>
      <c r="AC173" s="73">
        <f t="shared" ref="AC173" si="1688">SUM(AC168:AC172)</f>
        <v>2547</v>
      </c>
      <c r="AD173" s="73">
        <f t="shared" ref="AD173" si="1689">SUM(AD168:AD172)</f>
        <v>2366</v>
      </c>
      <c r="AE173" s="73">
        <f t="shared" ref="AE173" si="1690">SUM(AE168:AE172)</f>
        <v>2719</v>
      </c>
      <c r="AF173" s="73">
        <f t="shared" ref="AF173" si="1691">SUM(AF168:AF172)</f>
        <v>9810</v>
      </c>
      <c r="AG173" s="46"/>
      <c r="AH173" s="73">
        <f t="shared" ref="AH173" si="1692">SUM(AH168:AH172)</f>
        <v>2830</v>
      </c>
      <c r="AI173" s="73">
        <f t="shared" ref="AI173" si="1693">SUM(AI168:AI172)</f>
        <v>2961</v>
      </c>
      <c r="AJ173" s="73">
        <f t="shared" ref="AJ173" si="1694">SUM(AJ168:AJ172)</f>
        <v>3087</v>
      </c>
      <c r="AK173" s="73">
        <f t="shared" ref="AK173" si="1695">SUM(AK168:AK172)</f>
        <v>3436</v>
      </c>
      <c r="AL173" s="73">
        <f t="shared" ref="AL173" si="1696">SUM(AL168:AL172)</f>
        <v>12314</v>
      </c>
      <c r="AM173" s="46"/>
      <c r="AN173" s="73">
        <f t="shared" ref="AN173" si="1697">SUM(AN168:AN172)</f>
        <v>3427</v>
      </c>
      <c r="AO173" s="73">
        <f t="shared" ref="AO173" si="1698">SUM(AO168:AO172)</f>
        <v>3563</v>
      </c>
      <c r="AP173" s="73">
        <f t="shared" ref="AP173" si="1699">SUM(AP168:AP172)</f>
        <v>3351</v>
      </c>
      <c r="AQ173" s="73">
        <f t="shared" ref="AQ173" si="1700">SUM(AQ168:AQ172)</f>
        <v>3242</v>
      </c>
      <c r="AR173" s="73">
        <f t="shared" ref="AR173" si="1701">SUM(AR168:AR172)</f>
        <v>13583</v>
      </c>
      <c r="AS173" s="202"/>
      <c r="AT173" s="200">
        <f t="shared" ref="AT173" si="1702">SUM(AT168:AT172)</f>
        <v>3193</v>
      </c>
      <c r="AU173" s="200">
        <f t="shared" ref="AU173" si="1703">SUM(AU168:AU172)</f>
        <v>3206</v>
      </c>
      <c r="AV173" s="311">
        <f t="shared" ref="AV173" si="1704">SUM(AV168:AV172)</f>
        <v>3028</v>
      </c>
      <c r="AW173" s="73">
        <f t="shared" ref="AW173:AX173" si="1705">SUM(AW168:AW172)</f>
        <v>2991.1</v>
      </c>
      <c r="AX173" s="73">
        <f t="shared" si="1705"/>
        <v>12418.099999999999</v>
      </c>
      <c r="AY173" s="46"/>
      <c r="AZ173" s="73">
        <f t="shared" ref="AZ173:BD173" si="1706">SUM(AZ168:AZ172)</f>
        <v>2890.2000000000003</v>
      </c>
      <c r="BA173" s="73">
        <f t="shared" si="1706"/>
        <v>3107</v>
      </c>
      <c r="BB173" s="73">
        <f t="shared" si="1706"/>
        <v>3096.84</v>
      </c>
      <c r="BC173" s="73">
        <f t="shared" si="1706"/>
        <v>3071.8620000000001</v>
      </c>
      <c r="BD173" s="73">
        <f t="shared" si="1706"/>
        <v>12165.902000000002</v>
      </c>
      <c r="BE173" s="46"/>
      <c r="BF173" s="73">
        <f t="shared" ref="BF173:BJ173" si="1707">SUM(BF168:BF172)</f>
        <v>3002.6080000000006</v>
      </c>
      <c r="BG173" s="73">
        <f t="shared" si="1707"/>
        <v>3228.08</v>
      </c>
      <c r="BH173" s="73">
        <f t="shared" si="1707"/>
        <v>3217.5136000000002</v>
      </c>
      <c r="BI173" s="73">
        <f t="shared" si="1707"/>
        <v>3191.5364800000002</v>
      </c>
      <c r="BJ173" s="73">
        <f t="shared" si="1707"/>
        <v>12639.738079999999</v>
      </c>
      <c r="BK173" s="46"/>
      <c r="BL173" s="73">
        <f t="shared" ref="BL173:BP173" si="1708">SUM(BL168:BL172)</f>
        <v>3119.5123200000003</v>
      </c>
      <c r="BM173" s="73">
        <f t="shared" si="1708"/>
        <v>3354.0032000000001</v>
      </c>
      <c r="BN173" s="73">
        <f t="shared" si="1708"/>
        <v>3343.0141440000002</v>
      </c>
      <c r="BO173" s="73">
        <f t="shared" si="1708"/>
        <v>3315.9979392</v>
      </c>
      <c r="BP173" s="73">
        <f t="shared" si="1708"/>
        <v>13132.527603200002</v>
      </c>
      <c r="BQ173" s="46"/>
      <c r="BR173" s="73">
        <f t="shared" ref="BR173:BV173" si="1709">SUM(BR168:BR172)</f>
        <v>3241.0928128000005</v>
      </c>
      <c r="BS173" s="73">
        <f t="shared" si="1709"/>
        <v>3484.9633279999998</v>
      </c>
      <c r="BT173" s="73">
        <f t="shared" si="1709"/>
        <v>3473.5347097600006</v>
      </c>
      <c r="BU173" s="73">
        <f t="shared" si="1709"/>
        <v>3445.4378567680001</v>
      </c>
      <c r="BV173" s="73">
        <f t="shared" si="1709"/>
        <v>13645.028707328001</v>
      </c>
      <c r="BW173" s="46"/>
      <c r="BX173" s="73">
        <f t="shared" ref="BX173:CB173" si="1710">SUM(BX168:BX172)</f>
        <v>3367.5365253120008</v>
      </c>
      <c r="BY173" s="73">
        <f t="shared" si="1710"/>
        <v>3621.1618611200001</v>
      </c>
      <c r="BZ173" s="73">
        <f t="shared" si="1710"/>
        <v>3609.2760981504007</v>
      </c>
      <c r="CA173" s="73">
        <f t="shared" si="1710"/>
        <v>3580.0553710387203</v>
      </c>
      <c r="CB173" s="73">
        <f t="shared" si="1710"/>
        <v>14178.029855621122</v>
      </c>
      <c r="CC173" s="46"/>
      <c r="CD173" s="73">
        <f t="shared" ref="CD173:CH173" si="1711">SUM(CD168:CD172)</f>
        <v>3499.0379863244807</v>
      </c>
      <c r="CE173" s="73">
        <f t="shared" si="1711"/>
        <v>3762.8083355648005</v>
      </c>
      <c r="CF173" s="73">
        <f t="shared" si="1711"/>
        <v>3750.4471420764166</v>
      </c>
      <c r="CG173" s="73">
        <f t="shared" si="1711"/>
        <v>3720.057585880269</v>
      </c>
      <c r="CH173" s="73">
        <f t="shared" si="1711"/>
        <v>14732.351049845965</v>
      </c>
      <c r="CI173" s="46"/>
      <c r="CJ173" s="73">
        <f t="shared" ref="CJ173:CN173" si="1712">SUM(CJ168:CJ172)</f>
        <v>3635.7995057774606</v>
      </c>
      <c r="CK173" s="73">
        <f t="shared" si="1712"/>
        <v>3910.1206689873929</v>
      </c>
      <c r="CL173" s="73">
        <f t="shared" si="1712"/>
        <v>3897.2650277594739</v>
      </c>
      <c r="CM173" s="73">
        <f t="shared" si="1712"/>
        <v>3865.6598893154796</v>
      </c>
      <c r="CN173" s="73">
        <f t="shared" si="1712"/>
        <v>15308.845091839807</v>
      </c>
    </row>
    <row r="174" spans="1:93" ht="18" customHeight="1" x14ac:dyDescent="0.25">
      <c r="B174" s="14" t="s">
        <v>139</v>
      </c>
      <c r="J174" s="67">
        <f>J173/D173-1</f>
        <v>0.31118682566723455</v>
      </c>
      <c r="K174" s="67">
        <f>K173/E173-1</f>
        <v>0.37581699346405228</v>
      </c>
      <c r="L174" s="67">
        <f>L173/F173-1</f>
        <v>0.34867075664621683</v>
      </c>
      <c r="M174" s="67">
        <f>M173/G173-1</f>
        <v>0.21187175043327566</v>
      </c>
      <c r="N174" s="67">
        <f>N173/H173-1</f>
        <v>0.30644956112453881</v>
      </c>
      <c r="O174" s="120"/>
      <c r="P174" s="67">
        <f>P173/J173-1</f>
        <v>0.1918579471632742</v>
      </c>
      <c r="Q174" s="67">
        <f>Q173/K173-1</f>
        <v>0.11599366587490101</v>
      </c>
      <c r="R174" s="67">
        <f>R173/L173-1</f>
        <v>-0.12433661865049284</v>
      </c>
      <c r="S174" s="67">
        <f>S173/M173-1</f>
        <v>-0.14372542009295675</v>
      </c>
      <c r="T174" s="67">
        <f>T173/N173-1</f>
        <v>5.8422590068163416E-4</v>
      </c>
      <c r="U174" s="120"/>
      <c r="V174" s="67">
        <f>V173/P173-1</f>
        <v>-0.24273255813953487</v>
      </c>
      <c r="W174" s="67">
        <f>W173/Q173-1</f>
        <v>-0.35225257183398373</v>
      </c>
      <c r="X174" s="67">
        <f>X173/R173-1</f>
        <v>-0.21385281385281385</v>
      </c>
      <c r="Y174" s="67">
        <f>Y173/S173-1</f>
        <v>-8.9770354906054228E-2</v>
      </c>
      <c r="Z174" s="67">
        <f>Z173/T173-1</f>
        <v>-0.23063448812767617</v>
      </c>
      <c r="AA174" s="120"/>
      <c r="AB174" s="67">
        <f>AB173/V173-1</f>
        <v>4.5105566218810011E-2</v>
      </c>
      <c r="AC174" s="67">
        <f>AC173/W173-1</f>
        <v>0.39485213581599132</v>
      </c>
      <c r="AD174" s="67">
        <f>AD173/X173-1</f>
        <v>0.30286343612334798</v>
      </c>
      <c r="AE174" s="67">
        <f>AE173/Y173-1</f>
        <v>0.24724770642201843</v>
      </c>
      <c r="AF174" s="67">
        <f>AF173/Z173-1</f>
        <v>0.24082974955729819</v>
      </c>
      <c r="AH174" s="67">
        <f>AH173/AB173-1</f>
        <v>0.29935720844811753</v>
      </c>
      <c r="AI174" s="67">
        <f>AI173/AC173-1</f>
        <v>0.16254416961130747</v>
      </c>
      <c r="AJ174" s="67">
        <f>AJ173/AD173-1</f>
        <v>0.30473372781065078</v>
      </c>
      <c r="AK174" s="67">
        <f>AK173/AE173-1</f>
        <v>0.26369988966531821</v>
      </c>
      <c r="AL174" s="67">
        <f>AL173/AF173-1</f>
        <v>0.25524974515800203</v>
      </c>
      <c r="AN174" s="67">
        <f>AN173/AH173-1</f>
        <v>0.21095406360424018</v>
      </c>
      <c r="AO174" s="239">
        <f>AO173/AI173-1</f>
        <v>0.20330969267139487</v>
      </c>
      <c r="AP174" s="67">
        <f>AP173/AJ173-1</f>
        <v>8.5519922254616132E-2</v>
      </c>
      <c r="AQ174" s="239">
        <f>AQ173/AK173-1</f>
        <v>-5.646100116414432E-2</v>
      </c>
      <c r="AR174" s="239">
        <f>AR173/AL173-1</f>
        <v>0.10305343511450382</v>
      </c>
      <c r="AS174" s="120"/>
      <c r="AT174" s="67">
        <f>AT173/AN173-1</f>
        <v>-6.8281295593813796E-2</v>
      </c>
      <c r="AU174" s="239">
        <f>AU173/AO173-1</f>
        <v>-0.10019646365422397</v>
      </c>
      <c r="AV174" s="264">
        <f>AV173/AP173-1</f>
        <v>-9.6389137570874417E-2</v>
      </c>
      <c r="AW174" s="67">
        <f>AW173/AQ173-1</f>
        <v>-7.7390499691548431E-2</v>
      </c>
      <c r="AX174" s="67">
        <f>AX173/AR173-1</f>
        <v>-8.5761613781933366E-2</v>
      </c>
      <c r="AZ174" s="67">
        <f>AZ173/AT173-1</f>
        <v>-9.48324459755715E-2</v>
      </c>
      <c r="BA174" s="67">
        <f>BA173/AU173-1</f>
        <v>-3.0879600748596414E-2</v>
      </c>
      <c r="BB174" s="67">
        <f>BB173/AV173-1</f>
        <v>2.273447820343466E-2</v>
      </c>
      <c r="BC174" s="67">
        <f>BC173/AW173-1</f>
        <v>2.7000768947878839E-2</v>
      </c>
      <c r="BD174" s="67">
        <f>BD173/AX173-1</f>
        <v>-2.0308903938605516E-2</v>
      </c>
      <c r="BF174" s="67">
        <f>BF173/AZ173-1</f>
        <v>3.889281018614632E-2</v>
      </c>
      <c r="BG174" s="67">
        <f>BG173/BA173-1</f>
        <v>3.8970067589314539E-2</v>
      </c>
      <c r="BH174" s="67">
        <f>BH173/BB173-1</f>
        <v>3.8966688624533452E-2</v>
      </c>
      <c r="BI174" s="67">
        <f>BI173/BC173-1</f>
        <v>3.8958286537611464E-2</v>
      </c>
      <c r="BJ174" s="67">
        <f>BJ173/BD173-1</f>
        <v>3.8947879080400094E-2</v>
      </c>
      <c r="BL174" s="67">
        <f>BL173/BF173-1</f>
        <v>3.893425981679921E-2</v>
      </c>
      <c r="BM174" s="67">
        <f>BM173/BG173-1</f>
        <v>3.9008698669177999E-2</v>
      </c>
      <c r="BN174" s="67">
        <f>BN173/BH173-1</f>
        <v>3.9005443209315427E-2</v>
      </c>
      <c r="BO174" s="67">
        <f>BO173/BI173-1</f>
        <v>3.8997348136218024E-2</v>
      </c>
      <c r="BP174" s="67">
        <f>BP173/BJ173-1</f>
        <v>3.898732078790057E-2</v>
      </c>
      <c r="BR174" s="67">
        <f>BR173/BL173-1</f>
        <v>3.8974198633714652E-2</v>
      </c>
      <c r="BS174" s="67">
        <f>BS173/BM173-1</f>
        <v>3.9045916235261657E-2</v>
      </c>
      <c r="BT174" s="67">
        <f>BT173/BN173-1</f>
        <v>3.9042779999676869E-2</v>
      </c>
      <c r="BU174" s="67">
        <f>BU173/BO173-1</f>
        <v>3.9034981306178995E-2</v>
      </c>
      <c r="BV174" s="67">
        <f>BV173/BP173-1</f>
        <v>3.9025320914088057E-2</v>
      </c>
      <c r="BX174" s="67">
        <f>BX173/BR173-1</f>
        <v>3.90126786905447E-2</v>
      </c>
      <c r="BY174" s="67">
        <f>BY173/BS173-1</f>
        <v>3.9081769390716614E-2</v>
      </c>
      <c r="BZ174" s="67">
        <f>BZ173/BT173-1</f>
        <v>3.9078748229862681E-2</v>
      </c>
      <c r="CA174" s="67">
        <f>CA173/BU173-1</f>
        <v>3.90712356069014E-2</v>
      </c>
      <c r="CB174" s="67">
        <f>CB173/BV173-1</f>
        <v>3.9061929419530905E-2</v>
      </c>
      <c r="CD174" s="67">
        <f>CD173/BX173-1</f>
        <v>3.9049750470129263E-2</v>
      </c>
      <c r="CE174" s="67">
        <f>CE173/BY173-1</f>
        <v>3.911630572652447E-2</v>
      </c>
      <c r="CF174" s="67">
        <f>CF173/BZ173-1</f>
        <v>3.9113395619237989E-2</v>
      </c>
      <c r="CG174" s="67">
        <f>CG173/CA173-1</f>
        <v>3.9106159076229163E-2</v>
      </c>
      <c r="CH174" s="67">
        <f>CH173/CB173-1</f>
        <v>3.9097194735069118E-2</v>
      </c>
      <c r="CJ174" s="67">
        <f>CJ173/CD173-1</f>
        <v>3.9085462915090963E-2</v>
      </c>
      <c r="CK174" s="67">
        <f>CK173/CE173-1</f>
        <v>3.9149571353461088E-2</v>
      </c>
      <c r="CL174" s="67">
        <f>CL173/CF173-1</f>
        <v>3.9146768404199506E-2</v>
      </c>
      <c r="CM174" s="67">
        <f>CM173/CG173-1</f>
        <v>3.9139798262224135E-2</v>
      </c>
      <c r="CN174" s="67">
        <f>CN173/CH173-1</f>
        <v>3.9131163793430623E-2</v>
      </c>
    </row>
    <row r="175" spans="1:93" ht="18" customHeight="1" x14ac:dyDescent="0.25">
      <c r="B175" s="14" t="s">
        <v>140</v>
      </c>
      <c r="J175" s="123">
        <f>J173-D173</f>
        <v>548</v>
      </c>
      <c r="K175" s="123">
        <f>K173-E173</f>
        <v>690</v>
      </c>
      <c r="L175" s="123">
        <f>L173-F173</f>
        <v>682</v>
      </c>
      <c r="M175" s="123">
        <f>M173-G173</f>
        <v>489</v>
      </c>
      <c r="N175" s="123">
        <f>N173-H173</f>
        <v>2409</v>
      </c>
      <c r="O175" s="120"/>
      <c r="P175" s="123">
        <f>P173-J173</f>
        <v>443</v>
      </c>
      <c r="Q175" s="123">
        <f>Q173-K173</f>
        <v>293</v>
      </c>
      <c r="R175" s="123">
        <f>R173-L173</f>
        <v>-328</v>
      </c>
      <c r="S175" s="123">
        <f>S173-M173</f>
        <v>-402</v>
      </c>
      <c r="T175" s="123">
        <f>T173-N173</f>
        <v>6</v>
      </c>
      <c r="U175" s="120"/>
      <c r="V175" s="123">
        <f>V173-P173</f>
        <v>-668</v>
      </c>
      <c r="W175" s="123">
        <f>W173-Q173</f>
        <v>-993</v>
      </c>
      <c r="X175" s="123">
        <f>X173-R173</f>
        <v>-494</v>
      </c>
      <c r="Y175" s="123">
        <f>Y173-S173</f>
        <v>-215</v>
      </c>
      <c r="Z175" s="123">
        <f>Z173-T173</f>
        <v>-2370</v>
      </c>
      <c r="AA175" s="120"/>
      <c r="AB175" s="123">
        <f>AB173-V173</f>
        <v>94</v>
      </c>
      <c r="AC175" s="123">
        <f>AC173-W173</f>
        <v>721</v>
      </c>
      <c r="AD175" s="123">
        <f>AD173-X173</f>
        <v>550</v>
      </c>
      <c r="AE175" s="123">
        <f>AE173-Y173</f>
        <v>539</v>
      </c>
      <c r="AF175" s="123">
        <f>AF173-Z173</f>
        <v>1904</v>
      </c>
      <c r="AH175" s="123">
        <f>AH173-AB173</f>
        <v>652</v>
      </c>
      <c r="AI175" s="123">
        <f>AI173-AC173</f>
        <v>414</v>
      </c>
      <c r="AJ175" s="123">
        <f>AJ173-AD173</f>
        <v>721</v>
      </c>
      <c r="AK175" s="123">
        <f>AK173-AE173</f>
        <v>717</v>
      </c>
      <c r="AL175" s="123">
        <f>AL173-AF173</f>
        <v>2504</v>
      </c>
      <c r="AN175" s="123">
        <f>AN173-AH173</f>
        <v>597</v>
      </c>
      <c r="AO175" s="240">
        <f>AO173-AI173</f>
        <v>602</v>
      </c>
      <c r="AP175" s="123">
        <f>AP173-AJ173</f>
        <v>264</v>
      </c>
      <c r="AQ175" s="240">
        <f>AQ173-AK173</f>
        <v>-194</v>
      </c>
      <c r="AR175" s="240">
        <f>AR173-AL173</f>
        <v>1269</v>
      </c>
      <c r="AS175" s="120"/>
      <c r="AT175" s="123">
        <f>AT173-AN173</f>
        <v>-234</v>
      </c>
      <c r="AU175" s="240">
        <f>AU173-AO173</f>
        <v>-357</v>
      </c>
      <c r="AV175" s="303">
        <f>AV173-AP173</f>
        <v>-323</v>
      </c>
      <c r="AW175" s="123">
        <f>AW173-AQ173</f>
        <v>-250.90000000000009</v>
      </c>
      <c r="AX175" s="123">
        <f>AX173-AR173</f>
        <v>-1164.9000000000015</v>
      </c>
      <c r="AZ175" s="123">
        <f>AZ173-AT173</f>
        <v>-302.79999999999973</v>
      </c>
      <c r="BA175" s="123">
        <f>BA173-AU173</f>
        <v>-99</v>
      </c>
      <c r="BB175" s="123">
        <f>BB173-AV173</f>
        <v>68.840000000000146</v>
      </c>
      <c r="BC175" s="123">
        <f>BC173-AW173</f>
        <v>80.762000000000171</v>
      </c>
      <c r="BD175" s="123">
        <f>BD173-AX173</f>
        <v>-252.19799999999668</v>
      </c>
      <c r="BF175" s="123">
        <f>BF173-AZ173</f>
        <v>112.40800000000036</v>
      </c>
      <c r="BG175" s="123">
        <f>BG173-BA173</f>
        <v>121.07999999999993</v>
      </c>
      <c r="BH175" s="123">
        <f>BH173-BB173</f>
        <v>120.67360000000008</v>
      </c>
      <c r="BI175" s="123">
        <f>BI173-BC173</f>
        <v>119.67448000000013</v>
      </c>
      <c r="BJ175" s="123">
        <f>BJ173-BD173</f>
        <v>473.83607999999731</v>
      </c>
      <c r="BL175" s="123">
        <f>BL173-BF173</f>
        <v>116.90431999999964</v>
      </c>
      <c r="BM175" s="123">
        <f>BM173-BG173</f>
        <v>125.92320000000018</v>
      </c>
      <c r="BN175" s="123">
        <f>BN173-BH173</f>
        <v>125.50054399999999</v>
      </c>
      <c r="BO175" s="123">
        <f>BO173-BI173</f>
        <v>124.46145919999981</v>
      </c>
      <c r="BP175" s="123">
        <f>BP173-BJ173</f>
        <v>492.7895232000028</v>
      </c>
      <c r="BR175" s="123">
        <f>BR173-BL173</f>
        <v>121.58049280000023</v>
      </c>
      <c r="BS175" s="123">
        <f>BS173-BM173</f>
        <v>130.96012799999971</v>
      </c>
      <c r="BT175" s="123">
        <f>BT173-BN173</f>
        <v>130.52056576000041</v>
      </c>
      <c r="BU175" s="123">
        <f>BU173-BO173</f>
        <v>129.43991756800006</v>
      </c>
      <c r="BV175" s="123">
        <f>BV173-BP173</f>
        <v>512.5011041279995</v>
      </c>
      <c r="BX175" s="123">
        <f>BX173-BR173</f>
        <v>126.44371251200027</v>
      </c>
      <c r="BY175" s="123">
        <f>BY173-BS173</f>
        <v>136.19853312000032</v>
      </c>
      <c r="BZ175" s="123">
        <f>BZ173-BT173</f>
        <v>135.74138839040006</v>
      </c>
      <c r="CA175" s="123">
        <f>CA173-BU173</f>
        <v>134.61751427072022</v>
      </c>
      <c r="CB175" s="123">
        <f>CB173-BV173</f>
        <v>533.00114829312042</v>
      </c>
      <c r="CD175" s="123">
        <f>CD173-BX173</f>
        <v>131.50146101247992</v>
      </c>
      <c r="CE175" s="123">
        <f>CE173-BY173</f>
        <v>141.64647444480033</v>
      </c>
      <c r="CF175" s="123">
        <f>CF173-BZ173</f>
        <v>141.17104392601595</v>
      </c>
      <c r="CG175" s="123">
        <f>CG173-CA173</f>
        <v>140.00221484154872</v>
      </c>
      <c r="CH175" s="123">
        <f>CH173-CB173</f>
        <v>554.32119422484357</v>
      </c>
      <c r="CJ175" s="123">
        <f>CJ173-CD173</f>
        <v>136.76151945297988</v>
      </c>
      <c r="CK175" s="123">
        <f>CK173-CE173</f>
        <v>147.31233342259247</v>
      </c>
      <c r="CL175" s="123">
        <f>CL173-CF173</f>
        <v>146.81788568305728</v>
      </c>
      <c r="CM175" s="123">
        <f>CM173-CG173</f>
        <v>145.60230343521062</v>
      </c>
      <c r="CN175" s="123">
        <f>CN173-CH173</f>
        <v>576.49404199384117</v>
      </c>
    </row>
    <row r="176" spans="1:93" ht="18" customHeight="1" x14ac:dyDescent="0.25">
      <c r="B176" s="14" t="s">
        <v>149</v>
      </c>
      <c r="J176" s="9">
        <f>J173/G173-1</f>
        <v>4.332755632583396E-4</v>
      </c>
      <c r="K176" s="9">
        <f>K173/J173-1</f>
        <v>9.3980077955825081E-2</v>
      </c>
      <c r="L176" s="9">
        <f>L173/K173-1</f>
        <v>4.4338875692794932E-2</v>
      </c>
      <c r="M176" s="9">
        <f>M173/L173-1</f>
        <v>6.0272934040940029E-2</v>
      </c>
      <c r="N176" s="9">
        <f>AVERAGE(J176:M176)</f>
        <v>4.9756290813204596E-2</v>
      </c>
      <c r="O176" s="120"/>
      <c r="P176" s="9">
        <f>P173/M173-1</f>
        <v>-1.6088666428316079E-2</v>
      </c>
      <c r="Q176" s="9">
        <f>Q173/P173-1</f>
        <v>2.4345930232558155E-2</v>
      </c>
      <c r="R176" s="9">
        <f>R173/Q173-1</f>
        <v>-0.18056048244058176</v>
      </c>
      <c r="S176" s="9">
        <f>S173/R173-1</f>
        <v>3.6796536796536827E-2</v>
      </c>
      <c r="T176" s="9">
        <f>AVERAGE(P176:S176)</f>
        <v>-3.3876670459950714E-2</v>
      </c>
      <c r="U176" s="120"/>
      <c r="V176" s="9">
        <f>V173/S173-1</f>
        <v>-0.12985386221294359</v>
      </c>
      <c r="W176" s="9">
        <f>W173/V173-1</f>
        <v>-0.1238003838771593</v>
      </c>
      <c r="X176" s="9">
        <f>X173/W173-1</f>
        <v>-5.4764512595837367E-3</v>
      </c>
      <c r="Y176" s="9">
        <f>Y173/X173-1</f>
        <v>0.20044052863436113</v>
      </c>
      <c r="Z176" s="9">
        <f>AVERAGE(V176:Y176)</f>
        <v>-1.4672542178831377E-2</v>
      </c>
      <c r="AA176" s="120"/>
      <c r="AB176" s="9">
        <f>AB173/Y173-1</f>
        <v>-9.1743119266052275E-4</v>
      </c>
      <c r="AC176" s="9">
        <f>AC173/AB173-1</f>
        <v>0.16942148760330578</v>
      </c>
      <c r="AD176" s="9">
        <f>AD173/AC173-1</f>
        <v>-7.1063996859049849E-2</v>
      </c>
      <c r="AE176" s="9">
        <f>AE173/AD173-1</f>
        <v>0.1491969568892646</v>
      </c>
      <c r="AF176" s="9">
        <f>AVERAGE(AB176:AE176)</f>
        <v>6.1659254110215E-2</v>
      </c>
      <c r="AH176" s="9">
        <f>AH173/AE173-1</f>
        <v>4.0823832291283502E-2</v>
      </c>
      <c r="AI176" s="9">
        <f>AI173/AH173-1</f>
        <v>4.6289752650176652E-2</v>
      </c>
      <c r="AJ176" s="9">
        <f>AJ173/AI173-1</f>
        <v>4.2553191489361764E-2</v>
      </c>
      <c r="AK176" s="9">
        <f>AK173/AJ173-1</f>
        <v>0.11305474570780683</v>
      </c>
      <c r="AL176" s="9">
        <f>AVERAGE(AH176:AK176)</f>
        <v>6.0680380534657186E-2</v>
      </c>
      <c r="AN176" s="9">
        <f>AN173/AK173-1</f>
        <v>-2.6193247962746913E-3</v>
      </c>
      <c r="AO176" s="241">
        <f>AO173/AN173-1</f>
        <v>3.968485555879786E-2</v>
      </c>
      <c r="AP176" s="9">
        <f>AP173/AO173-1</f>
        <v>-5.95004209935448E-2</v>
      </c>
      <c r="AQ176" s="241">
        <f>AQ173/AP173-1</f>
        <v>-3.2527603700387986E-2</v>
      </c>
      <c r="AR176" s="241">
        <f>AVERAGE(AN176:AQ176)</f>
        <v>-1.3740623482852404E-2</v>
      </c>
      <c r="AS176" s="120"/>
      <c r="AT176" s="9">
        <f>AT173/AQ173-1</f>
        <v>-1.5114127082048068E-2</v>
      </c>
      <c r="AU176" s="241">
        <f>AU173/AT173-1</f>
        <v>4.0714062010647201E-3</v>
      </c>
      <c r="AV176" s="109">
        <f>AV173/AU173-1</f>
        <v>-5.5520898315658096E-2</v>
      </c>
      <c r="AW176" s="9">
        <f>AW173/AV173-1</f>
        <v>-1.2186261558784661E-2</v>
      </c>
      <c r="AX176" s="9">
        <f>AVERAGE(AT176:AW176)</f>
        <v>-1.9687470188856526E-2</v>
      </c>
      <c r="AZ176" s="9">
        <f>AZ173/AW173-1</f>
        <v>-3.3733409113703816E-2</v>
      </c>
      <c r="BA176" s="9">
        <f>BA173/AZ173-1</f>
        <v>7.5012109888588974E-2</v>
      </c>
      <c r="BB176" s="9">
        <f>BB173/BA173-1</f>
        <v>-3.2700354039265633E-3</v>
      </c>
      <c r="BC176" s="9">
        <f>BC173/BB173-1</f>
        <v>-8.0656411051265309E-3</v>
      </c>
      <c r="BD176" s="9">
        <f>AVERAGE(AZ176:BC176)</f>
        <v>7.4857560664580158E-3</v>
      </c>
      <c r="BF176" s="9">
        <f>BF173/BC173-1</f>
        <v>-2.2544632538831322E-2</v>
      </c>
      <c r="BG176" s="9">
        <f>BG173/BF173-1</f>
        <v>7.5092053308323692E-2</v>
      </c>
      <c r="BH176" s="9">
        <f>BH173/BG173-1</f>
        <v>-3.2732769943742968E-3</v>
      </c>
      <c r="BI176" s="9">
        <f>BI173/BH173-1</f>
        <v>-8.0736628432588331E-3</v>
      </c>
      <c r="BJ176" s="9">
        <f>AVERAGE(BF176:BI176)</f>
        <v>1.030012023296481E-2</v>
      </c>
      <c r="BL176" s="9">
        <f>BL173/BI173-1</f>
        <v>-2.2567236956664849E-2</v>
      </c>
      <c r="BM176" s="9">
        <f>BM173/BL173-1</f>
        <v>7.5169082839204648E-2</v>
      </c>
      <c r="BN176" s="9">
        <f>BN173/BM173-1</f>
        <v>-3.2763999748121053E-3</v>
      </c>
      <c r="BO176" s="9">
        <f>BO173/BN173-1</f>
        <v>-8.0813911148083228E-3</v>
      </c>
      <c r="BP176" s="9">
        <f>AVERAGE(BL176:BO176)</f>
        <v>1.0311013698229843E-2</v>
      </c>
      <c r="BR176" s="9">
        <f>BR173/BO173-1</f>
        <v>-2.2589014762195769E-2</v>
      </c>
      <c r="BS176" s="9">
        <f>BS173/BR173-1</f>
        <v>7.5243298876503939E-2</v>
      </c>
      <c r="BT176" s="9">
        <f>BT173/BS173-1</f>
        <v>-3.2794084655570765E-3</v>
      </c>
      <c r="BU176" s="9">
        <f>BU173/BT173-1</f>
        <v>-8.0888361106781215E-3</v>
      </c>
      <c r="BV176" s="9">
        <f>AVERAGE(BR176:BU176)</f>
        <v>1.0321509884518243E-2</v>
      </c>
      <c r="BX176" s="9">
        <f>BX173/BU173-1</f>
        <v>-2.2609994634781971E-2</v>
      </c>
      <c r="BY176" s="9">
        <f>BY173/BX173-1</f>
        <v>7.5314798785887316E-2</v>
      </c>
      <c r="BZ176" s="9">
        <f>BZ173/BY173-1</f>
        <v>-3.2823064600385754E-3</v>
      </c>
      <c r="CA176" s="9">
        <f>CA173/BZ173-1</f>
        <v>-8.0960077082090631E-3</v>
      </c>
      <c r="CB176" s="9">
        <f>AVERAGE(BX176:CA176)</f>
        <v>1.0331622495714426E-2</v>
      </c>
      <c r="CD176" s="9">
        <f>CD173/CA173-1</f>
        <v>-2.26302043732729E-2</v>
      </c>
      <c r="CE176" s="9">
        <f>CE173/CD173-1</f>
        <v>7.5383676962419655E-2</v>
      </c>
      <c r="CF176" s="9">
        <f>CF173/CE173-1</f>
        <v>-3.2850978274789888E-3</v>
      </c>
      <c r="CG176" s="9">
        <f>CG173/CF173-1</f>
        <v>-8.1029154777855217E-3</v>
      </c>
      <c r="CH176" s="9">
        <f>AVERAGE(CD176:CG176)</f>
        <v>1.0341364820970561E-2</v>
      </c>
      <c r="CJ176" s="9">
        <f>CJ173/CG173-1</f>
        <v>-2.2649670914400843E-2</v>
      </c>
      <c r="CK176" s="9">
        <f>CK173/CJ173-1</f>
        <v>7.545002489109276E-2</v>
      </c>
      <c r="CL176" s="9">
        <f>CL173/CK173-1</f>
        <v>-3.2877863156198783E-3</v>
      </c>
      <c r="CM176" s="9">
        <f>CM173/CL173-1</f>
        <v>-8.1095686895494845E-3</v>
      </c>
      <c r="CN176" s="9">
        <f>AVERAGE(CJ176:CM176)</f>
        <v>1.0350749742880638E-2</v>
      </c>
    </row>
    <row r="177" spans="2:93" ht="18" customHeight="1" x14ac:dyDescent="0.25">
      <c r="B177" s="14" t="s">
        <v>146</v>
      </c>
      <c r="J177" s="125">
        <f>J173-G173</f>
        <v>1</v>
      </c>
      <c r="K177" s="125">
        <f>K173-J173</f>
        <v>217</v>
      </c>
      <c r="L177" s="125">
        <f>L173-K173</f>
        <v>112</v>
      </c>
      <c r="M177" s="125">
        <f>M173-L173</f>
        <v>159</v>
      </c>
      <c r="N177" s="125">
        <f>AVERAGE(J177:M177)</f>
        <v>122.25</v>
      </c>
      <c r="O177" s="120"/>
      <c r="P177" s="125">
        <f>P173-M173</f>
        <v>-45</v>
      </c>
      <c r="Q177" s="125">
        <f>Q173-P173</f>
        <v>67</v>
      </c>
      <c r="R177" s="125">
        <f>R173-Q173</f>
        <v>-509</v>
      </c>
      <c r="S177" s="125">
        <f>S173-R173</f>
        <v>85</v>
      </c>
      <c r="T177" s="125">
        <f>AVERAGE(P177:S177)</f>
        <v>-100.5</v>
      </c>
      <c r="U177" s="120"/>
      <c r="V177" s="125">
        <f>V173-S173</f>
        <v>-311</v>
      </c>
      <c r="W177" s="125">
        <f>W173-V173</f>
        <v>-258</v>
      </c>
      <c r="X177" s="125">
        <f>X173-W173</f>
        <v>-10</v>
      </c>
      <c r="Y177" s="125">
        <f>Y173-X173</f>
        <v>364</v>
      </c>
      <c r="Z177" s="125">
        <f>AVERAGE(V177:Y177)</f>
        <v>-53.75</v>
      </c>
      <c r="AA177" s="120"/>
      <c r="AB177" s="125">
        <f>AB173-Y173</f>
        <v>-2</v>
      </c>
      <c r="AC177" s="125">
        <f>AC173-AB173</f>
        <v>369</v>
      </c>
      <c r="AD177" s="125">
        <f>AD173-AC173</f>
        <v>-181</v>
      </c>
      <c r="AE177" s="125">
        <f>AE173-AD173</f>
        <v>353</v>
      </c>
      <c r="AF177" s="125">
        <f>AVERAGE(AB177:AE177)</f>
        <v>134.75</v>
      </c>
      <c r="AH177" s="125">
        <f>AH173-AE173</f>
        <v>111</v>
      </c>
      <c r="AI177" s="125">
        <f>AI173-AH173</f>
        <v>131</v>
      </c>
      <c r="AJ177" s="125">
        <f>AJ173-AI173</f>
        <v>126</v>
      </c>
      <c r="AK177" s="125">
        <f>AK173-AJ173</f>
        <v>349</v>
      </c>
      <c r="AL177" s="125">
        <f>AVERAGE(AH177:AK177)</f>
        <v>179.25</v>
      </c>
      <c r="AN177" s="125">
        <f>AN173-AK173</f>
        <v>-9</v>
      </c>
      <c r="AO177" s="242">
        <f>AO173-AN173</f>
        <v>136</v>
      </c>
      <c r="AP177" s="125">
        <f>AP173-AO173</f>
        <v>-212</v>
      </c>
      <c r="AQ177" s="242">
        <f>AQ173-AP173</f>
        <v>-109</v>
      </c>
      <c r="AR177" s="242">
        <f>AVERAGE(AN177:AQ177)</f>
        <v>-48.5</v>
      </c>
      <c r="AS177" s="120"/>
      <c r="AT177" s="125">
        <f>AT173-AQ173</f>
        <v>-49</v>
      </c>
      <c r="AU177" s="242">
        <f>AU173-AT173</f>
        <v>13</v>
      </c>
      <c r="AV177" s="174">
        <f>AV173-AU173</f>
        <v>-178</v>
      </c>
      <c r="AW177" s="125">
        <f>AW173-AV173</f>
        <v>-36.900000000000091</v>
      </c>
      <c r="AX177" s="125">
        <f>AVERAGE(AT177:AW177)</f>
        <v>-62.725000000000023</v>
      </c>
      <c r="AZ177" s="125">
        <f>AZ173-AW173</f>
        <v>-100.89999999999964</v>
      </c>
      <c r="BA177" s="125">
        <f>BA173-AZ173</f>
        <v>216.79999999999973</v>
      </c>
      <c r="BB177" s="125">
        <f>BB173-BA173</f>
        <v>-10.159999999999854</v>
      </c>
      <c r="BC177" s="125">
        <f>BC173-BB173</f>
        <v>-24.978000000000065</v>
      </c>
      <c r="BD177" s="125">
        <f>AVERAGE(AZ177:BC177)</f>
        <v>20.190500000000043</v>
      </c>
      <c r="BF177" s="125">
        <f>BF173-BC173</f>
        <v>-69.253999999999451</v>
      </c>
      <c r="BG177" s="125">
        <f>BG173-BF173</f>
        <v>225.4719999999993</v>
      </c>
      <c r="BH177" s="125">
        <f>BH173-BG173</f>
        <v>-10.566399999999703</v>
      </c>
      <c r="BI177" s="125">
        <f>BI173-BH173</f>
        <v>-25.977120000000014</v>
      </c>
      <c r="BJ177" s="125">
        <f>AVERAGE(BF177:BI177)</f>
        <v>29.918620000000033</v>
      </c>
      <c r="BL177" s="125">
        <f>BL173-BI173</f>
        <v>-72.024159999999938</v>
      </c>
      <c r="BM177" s="125">
        <f>BM173-BL173</f>
        <v>234.49087999999983</v>
      </c>
      <c r="BN177" s="125">
        <f>BN173-BM173</f>
        <v>-10.989055999999891</v>
      </c>
      <c r="BO177" s="125">
        <f>BO173-BN173</f>
        <v>-27.016204800000196</v>
      </c>
      <c r="BP177" s="125">
        <f>AVERAGE(BL177:BO177)</f>
        <v>31.115364799999952</v>
      </c>
      <c r="BR177" s="125">
        <f>BR173-BO173</f>
        <v>-74.905126399999517</v>
      </c>
      <c r="BS177" s="125">
        <f>BS173-BR173</f>
        <v>243.87051519999932</v>
      </c>
      <c r="BT177" s="125">
        <f>BT173-BS173</f>
        <v>-11.428618239999196</v>
      </c>
      <c r="BU177" s="125">
        <f>BU173-BT173</f>
        <v>-28.096852992000549</v>
      </c>
      <c r="BV177" s="125">
        <f>AVERAGE(BR177:BU177)</f>
        <v>32.359979392000014</v>
      </c>
      <c r="BX177" s="125">
        <f>BX173-BU173</f>
        <v>-77.901331455999298</v>
      </c>
      <c r="BY177" s="125">
        <f>BY173-BX173</f>
        <v>253.62533580799936</v>
      </c>
      <c r="BZ177" s="125">
        <f>BZ173-BY173</f>
        <v>-11.885762969599455</v>
      </c>
      <c r="CA177" s="125">
        <f>CA173-BZ173</f>
        <v>-29.220727111680389</v>
      </c>
      <c r="CB177" s="125">
        <f>AVERAGE(BX177:CA177)</f>
        <v>33.654378567680055</v>
      </c>
      <c r="CD177" s="125">
        <f>CD173-CA173</f>
        <v>-81.017384714239597</v>
      </c>
      <c r="CE177" s="125">
        <f>CE173-CD173</f>
        <v>263.77034924031977</v>
      </c>
      <c r="CF177" s="125">
        <f>CF173-CE173</f>
        <v>-12.361193488383833</v>
      </c>
      <c r="CG177" s="125">
        <f>CG173-CF173</f>
        <v>-30.389556196147623</v>
      </c>
      <c r="CH177" s="125">
        <f>AVERAGE(CD177:CG177)</f>
        <v>35.00055371038718</v>
      </c>
      <c r="CJ177" s="125">
        <f>CJ173-CG173</f>
        <v>-84.258080102808435</v>
      </c>
      <c r="CK177" s="125">
        <f>CK173-CJ173</f>
        <v>274.32116320993237</v>
      </c>
      <c r="CL177" s="125">
        <f>CL173-CK173</f>
        <v>-12.855641227919023</v>
      </c>
      <c r="CM177" s="125">
        <f>CM173-CL173</f>
        <v>-31.605138443994292</v>
      </c>
      <c r="CN177" s="125">
        <f>AVERAGE(CJ177:CM177)</f>
        <v>36.400575858802654</v>
      </c>
    </row>
    <row r="178" spans="2:93" s="137" customFormat="1" ht="18" customHeight="1" x14ac:dyDescent="0.25">
      <c r="B178" s="377"/>
      <c r="D178" s="378"/>
      <c r="E178" s="378"/>
      <c r="F178" s="378"/>
      <c r="G178" s="378"/>
      <c r="H178" s="378"/>
      <c r="J178" s="378"/>
      <c r="K178" s="378"/>
      <c r="L178" s="378"/>
      <c r="M178" s="378"/>
      <c r="N178" s="378"/>
      <c r="O178" s="205"/>
      <c r="P178" s="378"/>
      <c r="Q178" s="378"/>
      <c r="R178" s="378"/>
      <c r="S178" s="378"/>
      <c r="T178" s="378"/>
      <c r="U178" s="205"/>
      <c r="V178" s="378"/>
      <c r="W178" s="378"/>
      <c r="X178" s="378"/>
      <c r="Y178" s="378"/>
      <c r="Z178" s="378"/>
      <c r="AA178" s="205"/>
      <c r="AB178" s="378"/>
      <c r="AC178" s="378"/>
      <c r="AD178" s="378"/>
      <c r="AE178" s="378"/>
      <c r="AF178" s="378"/>
      <c r="AH178" s="378"/>
      <c r="AI178" s="378"/>
      <c r="AJ178" s="378"/>
      <c r="AK178" s="378"/>
      <c r="AL178" s="378"/>
      <c r="AN178" s="378"/>
      <c r="AO178" s="378"/>
      <c r="AP178" s="378"/>
      <c r="AQ178" s="378"/>
      <c r="AR178" s="378"/>
      <c r="AS178" s="205"/>
      <c r="AT178" s="378"/>
      <c r="AU178" s="378"/>
      <c r="AV178" s="391"/>
      <c r="AW178" s="378"/>
      <c r="AX178" s="378"/>
      <c r="AZ178" s="378"/>
      <c r="BA178" s="378"/>
      <c r="BB178" s="378"/>
      <c r="BC178" s="378"/>
      <c r="BD178" s="378"/>
      <c r="BF178" s="378"/>
      <c r="BG178" s="378"/>
      <c r="BH178" s="378"/>
      <c r="BI178" s="378"/>
      <c r="BJ178" s="378"/>
      <c r="BL178" s="378"/>
      <c r="BM178" s="378"/>
      <c r="BN178" s="378"/>
      <c r="BO178" s="378"/>
      <c r="BP178" s="378"/>
      <c r="BR178" s="378"/>
      <c r="BS178" s="378"/>
      <c r="BT178" s="378"/>
      <c r="BU178" s="378"/>
      <c r="BV178" s="378"/>
      <c r="BX178" s="378"/>
      <c r="BY178" s="378"/>
      <c r="BZ178" s="378"/>
      <c r="CA178" s="378"/>
      <c r="CB178" s="378"/>
      <c r="CD178" s="378"/>
      <c r="CE178" s="378"/>
      <c r="CF178" s="378"/>
      <c r="CG178" s="378"/>
      <c r="CH178" s="378"/>
      <c r="CJ178" s="378"/>
      <c r="CK178" s="378"/>
      <c r="CL178" s="378"/>
      <c r="CM178" s="378"/>
      <c r="CN178" s="378"/>
      <c r="CO178" s="379"/>
    </row>
    <row r="179" spans="2:93" s="137" customFormat="1" ht="18" customHeight="1" x14ac:dyDescent="0.25">
      <c r="B179" s="386" t="s">
        <v>381</v>
      </c>
      <c r="D179" s="379"/>
      <c r="E179" s="379"/>
      <c r="F179" s="379"/>
      <c r="G179" s="379"/>
      <c r="H179" s="379"/>
      <c r="J179" s="246"/>
      <c r="K179" s="246"/>
      <c r="L179" s="246"/>
      <c r="M179" s="246"/>
      <c r="N179" s="246"/>
      <c r="O179" s="380"/>
      <c r="P179" s="246"/>
      <c r="Q179" s="246"/>
      <c r="R179" s="246"/>
      <c r="S179" s="246"/>
      <c r="T179" s="246"/>
      <c r="U179" s="380"/>
      <c r="V179" s="246"/>
      <c r="W179" s="246"/>
      <c r="X179" s="246"/>
      <c r="Y179" s="246"/>
      <c r="Z179" s="246"/>
      <c r="AA179" s="380"/>
      <c r="AB179" s="246"/>
      <c r="AC179" s="246"/>
      <c r="AD179" s="246"/>
      <c r="AE179" s="246"/>
      <c r="AF179" s="246"/>
      <c r="AG179" s="379"/>
      <c r="AH179" s="246"/>
      <c r="AI179" s="246"/>
      <c r="AJ179" s="246"/>
      <c r="AK179" s="246"/>
      <c r="AL179" s="246"/>
      <c r="AM179" s="379"/>
      <c r="AN179" s="246"/>
      <c r="AO179" s="246"/>
      <c r="AP179" s="246"/>
      <c r="AQ179" s="246"/>
      <c r="AR179" s="246"/>
      <c r="AS179" s="380"/>
      <c r="AT179" s="246"/>
      <c r="AU179" s="246"/>
      <c r="AV179" s="265"/>
      <c r="AW179" s="246"/>
      <c r="AX179" s="246"/>
      <c r="AY179" s="379"/>
      <c r="AZ179" s="268" t="s">
        <v>534</v>
      </c>
      <c r="BA179" s="246"/>
      <c r="BB179" s="246"/>
      <c r="BC179" s="246"/>
      <c r="BD179" s="246"/>
      <c r="BE179" s="379"/>
      <c r="BF179" s="246"/>
      <c r="BG179" s="268" t="s">
        <v>532</v>
      </c>
      <c r="BH179" s="246"/>
      <c r="BI179" s="246"/>
      <c r="BJ179" s="246"/>
      <c r="BK179" s="379"/>
      <c r="BL179" s="268"/>
      <c r="BM179" s="246"/>
      <c r="BN179" s="246"/>
      <c r="BO179" s="246"/>
      <c r="BP179" s="246"/>
      <c r="BQ179" s="379"/>
      <c r="BR179" s="246"/>
      <c r="BS179" s="246"/>
      <c r="BT179" s="246"/>
      <c r="BU179" s="246"/>
      <c r="BV179" s="246"/>
      <c r="BW179" s="379"/>
      <c r="BX179" s="246"/>
      <c r="BY179" s="246"/>
      <c r="BZ179" s="246"/>
      <c r="CA179" s="246"/>
      <c r="CB179" s="246"/>
      <c r="CC179" s="379"/>
      <c r="CD179" s="246"/>
      <c r="CE179" s="246"/>
      <c r="CF179" s="246"/>
      <c r="CG179" s="246"/>
      <c r="CH179" s="246"/>
      <c r="CI179" s="379"/>
      <c r="CJ179" s="246"/>
      <c r="CK179" s="246"/>
      <c r="CL179" s="246"/>
      <c r="CM179" s="246"/>
      <c r="CN179" s="246"/>
      <c r="CO179" s="379"/>
    </row>
    <row r="180" spans="2:93" s="137" customFormat="1" ht="18" customHeight="1" x14ac:dyDescent="0.25">
      <c r="B180" s="31" t="s">
        <v>374</v>
      </c>
      <c r="D180" s="379"/>
      <c r="E180" s="379"/>
      <c r="F180" s="379"/>
      <c r="G180" s="379"/>
      <c r="H180" s="379"/>
      <c r="J180" s="67">
        <f t="shared" ref="J180:J185" si="1713">J168/D168-1</f>
        <v>0.33444816053511706</v>
      </c>
      <c r="K180" s="67">
        <f t="shared" ref="K180:N185" si="1714">K168/E168-1</f>
        <v>0.31372549019607843</v>
      </c>
      <c r="L180" s="67">
        <f t="shared" si="1714"/>
        <v>0.46127366609294329</v>
      </c>
      <c r="M180" s="67">
        <f t="shared" si="1714"/>
        <v>0.14538558786346401</v>
      </c>
      <c r="N180" s="67">
        <f t="shared" si="1714"/>
        <v>0.3001549186676995</v>
      </c>
      <c r="O180" s="67"/>
      <c r="P180" s="67">
        <f t="shared" ref="P180:T185" si="1715">P168/J168-1</f>
        <v>0.19172932330827064</v>
      </c>
      <c r="Q180" s="67">
        <f t="shared" si="1715"/>
        <v>0.31592039800995031</v>
      </c>
      <c r="R180" s="67">
        <f t="shared" si="1715"/>
        <v>-7.0671378091872739E-2</v>
      </c>
      <c r="S180" s="67">
        <f t="shared" si="1715"/>
        <v>-7.9470198675496651E-2</v>
      </c>
      <c r="T180" s="67">
        <f t="shared" si="1715"/>
        <v>8.1918379505510952E-2</v>
      </c>
      <c r="U180" s="67"/>
      <c r="V180" s="67">
        <f t="shared" ref="V180:Z185" si="1716">V168/P168-1</f>
        <v>-0.26813880126182965</v>
      </c>
      <c r="W180" s="67">
        <f t="shared" si="1716"/>
        <v>-0.5207939508506616</v>
      </c>
      <c r="X180" s="67">
        <f t="shared" si="1716"/>
        <v>-0.38276299112801015</v>
      </c>
      <c r="Y180" s="67">
        <f t="shared" si="1716"/>
        <v>-0.28537170263788969</v>
      </c>
      <c r="Z180" s="67">
        <f t="shared" si="1716"/>
        <v>-0.37059471365638763</v>
      </c>
      <c r="AA180" s="67"/>
      <c r="AB180" s="67">
        <f t="shared" ref="AB180:AF185" si="1717">AB168/V168-1</f>
        <v>-5.6034482758620663E-2</v>
      </c>
      <c r="AC180" s="67">
        <f t="shared" si="1717"/>
        <v>0.57593688362919138</v>
      </c>
      <c r="AD180" s="67">
        <f t="shared" si="1717"/>
        <v>0.38398357289527718</v>
      </c>
      <c r="AE180" s="67">
        <f t="shared" si="1717"/>
        <v>0.43791946308724827</v>
      </c>
      <c r="AF180" s="67">
        <f t="shared" si="1717"/>
        <v>0.30664916885389326</v>
      </c>
      <c r="AG180" s="67"/>
      <c r="AH180" s="67">
        <f t="shared" ref="AH180:AL185" si="1718">AH168/AB168-1</f>
        <v>0.54946727549467278</v>
      </c>
      <c r="AI180" s="67">
        <f t="shared" si="1718"/>
        <v>0.28535669586983725</v>
      </c>
      <c r="AJ180" s="67">
        <f t="shared" si="1718"/>
        <v>0.66468842729970334</v>
      </c>
      <c r="AK180" s="67">
        <f t="shared" si="1718"/>
        <v>0.59159859976662776</v>
      </c>
      <c r="AL180" s="67">
        <f t="shared" si="1718"/>
        <v>0.5169065952460663</v>
      </c>
      <c r="AM180" s="67"/>
      <c r="AN180" s="67">
        <f t="shared" ref="AN180:AR185" si="1719">AN168/AH168-1</f>
        <v>0.28487229862475449</v>
      </c>
      <c r="AO180" s="67">
        <f t="shared" si="1719"/>
        <v>0.30671859785783839</v>
      </c>
      <c r="AP180" s="67">
        <f t="shared" si="1719"/>
        <v>0.21746880570409988</v>
      </c>
      <c r="AQ180" s="67">
        <f t="shared" si="1719"/>
        <v>-9.0909090909090939E-2</v>
      </c>
      <c r="AR180" s="67">
        <f t="shared" si="1719"/>
        <v>0.16000882807327299</v>
      </c>
      <c r="AS180" s="67"/>
      <c r="AT180" s="67">
        <f t="shared" ref="AT180:AV185" si="1720">AT168/AN168-1</f>
        <v>-3.3639143730886834E-2</v>
      </c>
      <c r="AU180" s="67">
        <f t="shared" si="1720"/>
        <v>-0.10134128166915057</v>
      </c>
      <c r="AV180" s="264">
        <f t="shared" si="1720"/>
        <v>-0.17203513909224011</v>
      </c>
      <c r="AW180" s="539">
        <v>-0.1</v>
      </c>
      <c r="AX180" s="67">
        <f t="shared" ref="AX180:AX185" si="1721">AX168/AR168-1</f>
        <v>-0.10254946727549463</v>
      </c>
      <c r="AY180" s="379"/>
      <c r="AZ180" s="454">
        <v>-0.1</v>
      </c>
      <c r="BA180" s="454">
        <v>0</v>
      </c>
      <c r="BB180" s="454">
        <v>0.04</v>
      </c>
      <c r="BC180" s="454">
        <v>0.04</v>
      </c>
      <c r="BD180" s="67">
        <f t="shared" ref="BD180:BD185" si="1722">BD168/AX168-1</f>
        <v>-7.7422090311637382E-3</v>
      </c>
      <c r="BE180" s="379"/>
      <c r="BF180" s="454">
        <v>0.04</v>
      </c>
      <c r="BG180" s="454">
        <v>0.04</v>
      </c>
      <c r="BH180" s="454">
        <v>0.04</v>
      </c>
      <c r="BI180" s="454">
        <v>0.04</v>
      </c>
      <c r="BJ180" s="67">
        <f t="shared" ref="BJ180:BJ185" si="1723">BJ168/BD168-1</f>
        <v>3.9999999999999813E-2</v>
      </c>
      <c r="BK180" s="379"/>
      <c r="BL180" s="454">
        <v>0.04</v>
      </c>
      <c r="BM180" s="454">
        <v>0.04</v>
      </c>
      <c r="BN180" s="454">
        <v>0.04</v>
      </c>
      <c r="BO180" s="454">
        <v>0.04</v>
      </c>
      <c r="BP180" s="67">
        <f t="shared" ref="BP180:BP185" si="1724">BP168/BJ168-1</f>
        <v>4.0000000000000036E-2</v>
      </c>
      <c r="BQ180" s="379"/>
      <c r="BR180" s="454">
        <v>0.04</v>
      </c>
      <c r="BS180" s="454">
        <v>0.04</v>
      </c>
      <c r="BT180" s="454">
        <v>0.04</v>
      </c>
      <c r="BU180" s="454">
        <v>0.04</v>
      </c>
      <c r="BV180" s="67">
        <f t="shared" ref="BV180:BV185" si="1725">BV168/BP168-1</f>
        <v>4.0000000000000036E-2</v>
      </c>
      <c r="BW180" s="379"/>
      <c r="BX180" s="454">
        <v>0.04</v>
      </c>
      <c r="BY180" s="454">
        <v>0.04</v>
      </c>
      <c r="BZ180" s="454">
        <v>0.04</v>
      </c>
      <c r="CA180" s="454">
        <v>0.04</v>
      </c>
      <c r="CB180" s="67">
        <f t="shared" ref="CB180:CB185" si="1726">CB168/BV168-1</f>
        <v>4.0000000000000036E-2</v>
      </c>
      <c r="CC180" s="379"/>
      <c r="CD180" s="454">
        <v>0.04</v>
      </c>
      <c r="CE180" s="454">
        <v>0.04</v>
      </c>
      <c r="CF180" s="454">
        <v>0.04</v>
      </c>
      <c r="CG180" s="454">
        <v>0.04</v>
      </c>
      <c r="CH180" s="67">
        <f t="shared" ref="CH180:CH185" si="1727">CH168/CB168-1</f>
        <v>4.0000000000000036E-2</v>
      </c>
      <c r="CI180" s="379"/>
      <c r="CJ180" s="454">
        <v>0.04</v>
      </c>
      <c r="CK180" s="454">
        <v>0.04</v>
      </c>
      <c r="CL180" s="454">
        <v>0.04</v>
      </c>
      <c r="CM180" s="454">
        <v>0.04</v>
      </c>
      <c r="CN180" s="67">
        <f t="shared" ref="CN180:CN185" si="1728">CN168/CH168-1</f>
        <v>4.0000000000000036E-2</v>
      </c>
      <c r="CO180" s="379"/>
    </row>
    <row r="181" spans="2:93" s="137" customFormat="1" ht="18" customHeight="1" x14ac:dyDescent="0.25">
      <c r="B181" s="31" t="s">
        <v>375</v>
      </c>
      <c r="D181" s="379"/>
      <c r="E181" s="379"/>
      <c r="F181" s="379"/>
      <c r="G181" s="379"/>
      <c r="H181" s="379"/>
      <c r="J181" s="67">
        <f t="shared" si="1713"/>
        <v>0.3382899628252789</v>
      </c>
      <c r="K181" s="67">
        <f t="shared" si="1714"/>
        <v>0.31772575250836121</v>
      </c>
      <c r="L181" s="67">
        <f t="shared" si="1714"/>
        <v>0.2978723404255319</v>
      </c>
      <c r="M181" s="67">
        <f t="shared" si="1714"/>
        <v>0.21354166666666674</v>
      </c>
      <c r="N181" s="67">
        <f t="shared" si="1714"/>
        <v>0.28571428571428581</v>
      </c>
      <c r="O181" s="67"/>
      <c r="P181" s="67">
        <f t="shared" si="1715"/>
        <v>0.17500000000000004</v>
      </c>
      <c r="Q181" s="67">
        <f t="shared" si="1715"/>
        <v>0.13705583756345185</v>
      </c>
      <c r="R181" s="67">
        <f t="shared" si="1715"/>
        <v>-0.18266978922716626</v>
      </c>
      <c r="S181" s="67">
        <f t="shared" si="1715"/>
        <v>-0.3283261802575107</v>
      </c>
      <c r="T181" s="67">
        <f t="shared" si="1715"/>
        <v>-6.9216757741347945E-2</v>
      </c>
      <c r="U181" s="67"/>
      <c r="V181" s="67">
        <f t="shared" si="1716"/>
        <v>-0.24349881796690309</v>
      </c>
      <c r="W181" s="67">
        <f t="shared" si="1716"/>
        <v>-0.3973214285714286</v>
      </c>
      <c r="X181" s="67">
        <f t="shared" si="1716"/>
        <v>-0.22922636103151861</v>
      </c>
      <c r="Y181" s="67">
        <f t="shared" si="1716"/>
        <v>0.2587859424920127</v>
      </c>
      <c r="Z181" s="67">
        <f t="shared" si="1716"/>
        <v>-0.18264840182648401</v>
      </c>
      <c r="AA181" s="67"/>
      <c r="AB181" s="67">
        <f t="shared" si="1717"/>
        <v>0.265625</v>
      </c>
      <c r="AC181" s="67">
        <f t="shared" si="1717"/>
        <v>0.80370370370370381</v>
      </c>
      <c r="AD181" s="67">
        <f t="shared" si="1717"/>
        <v>0.55018587360594795</v>
      </c>
      <c r="AE181" s="67">
        <f t="shared" si="1717"/>
        <v>5.3299492385786795E-2</v>
      </c>
      <c r="AF181" s="67">
        <f t="shared" si="1717"/>
        <v>0.3758978451715882</v>
      </c>
      <c r="AG181" s="67"/>
      <c r="AH181" s="67">
        <f t="shared" si="1718"/>
        <v>-1.4814814814814836E-2</v>
      </c>
      <c r="AI181" s="67">
        <f t="shared" si="1718"/>
        <v>-4.3121149897330624E-2</v>
      </c>
      <c r="AJ181" s="67">
        <f t="shared" si="1718"/>
        <v>0.13189448441247009</v>
      </c>
      <c r="AK181" s="67">
        <f t="shared" si="1718"/>
        <v>0.21204819277108444</v>
      </c>
      <c r="AL181" s="67">
        <f t="shared" si="1718"/>
        <v>6.728538283062635E-2</v>
      </c>
      <c r="AM181" s="67"/>
      <c r="AN181" s="67">
        <f t="shared" si="1719"/>
        <v>0.18796992481203012</v>
      </c>
      <c r="AO181" s="67">
        <f t="shared" si="1719"/>
        <v>0.15450643776824036</v>
      </c>
      <c r="AP181" s="67">
        <f t="shared" si="1719"/>
        <v>5.7203389830508433E-2</v>
      </c>
      <c r="AQ181" s="67">
        <f t="shared" si="1719"/>
        <v>5.1689860834990053E-2</v>
      </c>
      <c r="AR181" s="67">
        <f t="shared" si="1719"/>
        <v>0.10869565217391308</v>
      </c>
      <c r="AS181" s="67"/>
      <c r="AT181" s="67">
        <f t="shared" si="1720"/>
        <v>4.2194092827003704E-3</v>
      </c>
      <c r="AU181" s="67">
        <f t="shared" si="1720"/>
        <v>-2.6022304832713727E-2</v>
      </c>
      <c r="AV181" s="264">
        <f t="shared" si="1720"/>
        <v>-2.0040080160320661E-3</v>
      </c>
      <c r="AW181" s="539">
        <v>-0.05</v>
      </c>
      <c r="AX181" s="67">
        <f t="shared" si="1721"/>
        <v>-1.9338235294117712E-2</v>
      </c>
      <c r="AY181" s="379"/>
      <c r="AZ181" s="454">
        <v>-0.05</v>
      </c>
      <c r="BA181" s="454">
        <v>0</v>
      </c>
      <c r="BB181" s="454">
        <v>0.04</v>
      </c>
      <c r="BC181" s="454">
        <v>0.04</v>
      </c>
      <c r="BD181" s="67">
        <f t="shared" si="1722"/>
        <v>8.1087700882256364E-3</v>
      </c>
      <c r="BE181" s="379"/>
      <c r="BF181" s="454">
        <v>0.04</v>
      </c>
      <c r="BG181" s="454">
        <v>0.04</v>
      </c>
      <c r="BH181" s="454">
        <v>0.04</v>
      </c>
      <c r="BI181" s="454">
        <v>0.04</v>
      </c>
      <c r="BJ181" s="67">
        <f t="shared" si="1723"/>
        <v>4.0000000000000036E-2</v>
      </c>
      <c r="BK181" s="379"/>
      <c r="BL181" s="454">
        <v>0.04</v>
      </c>
      <c r="BM181" s="454">
        <v>0.04</v>
      </c>
      <c r="BN181" s="454">
        <v>0.04</v>
      </c>
      <c r="BO181" s="454">
        <v>0.04</v>
      </c>
      <c r="BP181" s="67">
        <f t="shared" si="1724"/>
        <v>4.0000000000000036E-2</v>
      </c>
      <c r="BQ181" s="379"/>
      <c r="BR181" s="454">
        <v>0.04</v>
      </c>
      <c r="BS181" s="454">
        <v>0.04</v>
      </c>
      <c r="BT181" s="454">
        <v>0.04</v>
      </c>
      <c r="BU181" s="454">
        <v>0.04</v>
      </c>
      <c r="BV181" s="67">
        <f t="shared" si="1725"/>
        <v>4.0000000000000036E-2</v>
      </c>
      <c r="BW181" s="379"/>
      <c r="BX181" s="454">
        <v>0.04</v>
      </c>
      <c r="BY181" s="454">
        <v>0.04</v>
      </c>
      <c r="BZ181" s="454">
        <v>0.04</v>
      </c>
      <c r="CA181" s="454">
        <v>0.04</v>
      </c>
      <c r="CB181" s="67">
        <f t="shared" si="1726"/>
        <v>3.9999999999999813E-2</v>
      </c>
      <c r="CC181" s="379"/>
      <c r="CD181" s="454">
        <v>0.04</v>
      </c>
      <c r="CE181" s="454">
        <v>0.04</v>
      </c>
      <c r="CF181" s="454">
        <v>0.04</v>
      </c>
      <c r="CG181" s="454">
        <v>0.04</v>
      </c>
      <c r="CH181" s="67">
        <f t="shared" si="1727"/>
        <v>4.0000000000000036E-2</v>
      </c>
      <c r="CI181" s="379"/>
      <c r="CJ181" s="454">
        <v>0.04</v>
      </c>
      <c r="CK181" s="454">
        <v>0.04</v>
      </c>
      <c r="CL181" s="454">
        <v>0.04</v>
      </c>
      <c r="CM181" s="454">
        <v>0.04</v>
      </c>
      <c r="CN181" s="67">
        <f t="shared" si="1728"/>
        <v>4.0000000000000036E-2</v>
      </c>
      <c r="CO181" s="379"/>
    </row>
    <row r="182" spans="2:93" s="137" customFormat="1" ht="18" customHeight="1" x14ac:dyDescent="0.25">
      <c r="B182" s="31" t="s">
        <v>376</v>
      </c>
      <c r="D182" s="379"/>
      <c r="E182" s="379"/>
      <c r="F182" s="379"/>
      <c r="G182" s="379"/>
      <c r="H182" s="379"/>
      <c r="J182" s="67">
        <f t="shared" si="1713"/>
        <v>0.25</v>
      </c>
      <c r="K182" s="67">
        <f t="shared" si="1714"/>
        <v>0.43686868686868685</v>
      </c>
      <c r="L182" s="67">
        <f t="shared" si="1714"/>
        <v>0.17622950819672134</v>
      </c>
      <c r="M182" s="67">
        <f t="shared" si="1714"/>
        <v>0.16631578947368419</v>
      </c>
      <c r="N182" s="67">
        <f t="shared" si="1714"/>
        <v>0.24901408450704232</v>
      </c>
      <c r="O182" s="67"/>
      <c r="P182" s="67">
        <f t="shared" si="1715"/>
        <v>-9.9999999999999978E-2</v>
      </c>
      <c r="Q182" s="67">
        <f t="shared" si="1715"/>
        <v>-0.21616871704745166</v>
      </c>
      <c r="R182" s="67">
        <f t="shared" si="1715"/>
        <v>-0.31010452961672474</v>
      </c>
      <c r="S182" s="67">
        <f t="shared" si="1715"/>
        <v>-5.0541516245487417E-2</v>
      </c>
      <c r="T182" s="67">
        <f t="shared" si="1715"/>
        <v>-0.17185385656292285</v>
      </c>
      <c r="U182" s="67"/>
      <c r="V182" s="67">
        <f t="shared" si="1716"/>
        <v>-0.15598290598290598</v>
      </c>
      <c r="W182" s="67">
        <f t="shared" si="1716"/>
        <v>-0.15022421524663676</v>
      </c>
      <c r="X182" s="67">
        <f t="shared" si="1716"/>
        <v>-3.0303030303030276E-2</v>
      </c>
      <c r="Y182" s="67">
        <f t="shared" si="1716"/>
        <v>-0.21673003802281365</v>
      </c>
      <c r="Z182" s="67">
        <f t="shared" si="1716"/>
        <v>-0.144880174291939</v>
      </c>
      <c r="AA182" s="67"/>
      <c r="AB182" s="67">
        <f t="shared" si="1717"/>
        <v>0.19999999999999996</v>
      </c>
      <c r="AC182" s="67">
        <f t="shared" si="1717"/>
        <v>0.38522427440633256</v>
      </c>
      <c r="AD182" s="67">
        <f t="shared" si="1717"/>
        <v>0.1875</v>
      </c>
      <c r="AE182" s="67">
        <f t="shared" si="1717"/>
        <v>0.29126213592233019</v>
      </c>
      <c r="AF182" s="67">
        <f t="shared" si="1717"/>
        <v>0.26560509554140133</v>
      </c>
      <c r="AG182" s="67"/>
      <c r="AH182" s="67">
        <f t="shared" si="1718"/>
        <v>0.25316455696202533</v>
      </c>
      <c r="AI182" s="67">
        <f t="shared" si="1718"/>
        <v>-6.8571428571428616E-2</v>
      </c>
      <c r="AJ182" s="67">
        <f t="shared" si="1718"/>
        <v>0.15350877192982448</v>
      </c>
      <c r="AK182" s="67">
        <f t="shared" si="1718"/>
        <v>0.12030075187969924</v>
      </c>
      <c r="AL182" s="67">
        <f t="shared" si="1718"/>
        <v>0.10971313537996985</v>
      </c>
      <c r="AM182" s="67"/>
      <c r="AN182" s="67">
        <f t="shared" si="1719"/>
        <v>8.4175084175084347E-3</v>
      </c>
      <c r="AO182" s="67">
        <f t="shared" si="1719"/>
        <v>5.7259713701431458E-2</v>
      </c>
      <c r="AP182" s="67">
        <f t="shared" si="1719"/>
        <v>-3.4220532319391594E-2</v>
      </c>
      <c r="AQ182" s="67">
        <f t="shared" si="1719"/>
        <v>-0.25335570469798663</v>
      </c>
      <c r="AR182" s="67">
        <f t="shared" si="1719"/>
        <v>-6.1678004535147379E-2</v>
      </c>
      <c r="AS182" s="67"/>
      <c r="AT182" s="67">
        <f t="shared" si="1720"/>
        <v>-0.22370617696160267</v>
      </c>
      <c r="AU182" s="67">
        <f t="shared" si="1720"/>
        <v>-0.14506769825918764</v>
      </c>
      <c r="AV182" s="264">
        <f t="shared" si="1720"/>
        <v>-0.12992125984251968</v>
      </c>
      <c r="AW182" s="539">
        <v>-0.1</v>
      </c>
      <c r="AX182" s="67">
        <f t="shared" si="1721"/>
        <v>-0.15442242629289515</v>
      </c>
      <c r="AY182" s="379"/>
      <c r="AZ182" s="454">
        <v>-0.1</v>
      </c>
      <c r="BA182" s="454">
        <v>0</v>
      </c>
      <c r="BB182" s="454">
        <v>0.04</v>
      </c>
      <c r="BC182" s="454">
        <v>0.04</v>
      </c>
      <c r="BD182" s="67">
        <f t="shared" si="1722"/>
        <v>-7.316376107459277E-3</v>
      </c>
      <c r="BE182" s="379"/>
      <c r="BF182" s="454">
        <v>0.04</v>
      </c>
      <c r="BG182" s="454">
        <v>0.04</v>
      </c>
      <c r="BH182" s="454">
        <v>0.04</v>
      </c>
      <c r="BI182" s="454">
        <v>0.04</v>
      </c>
      <c r="BJ182" s="67">
        <f t="shared" si="1723"/>
        <v>4.0000000000000036E-2</v>
      </c>
      <c r="BK182" s="379"/>
      <c r="BL182" s="454">
        <v>0.04</v>
      </c>
      <c r="BM182" s="454">
        <v>0.04</v>
      </c>
      <c r="BN182" s="454">
        <v>0.04</v>
      </c>
      <c r="BO182" s="454">
        <v>0.04</v>
      </c>
      <c r="BP182" s="67">
        <f t="shared" si="1724"/>
        <v>4.0000000000000036E-2</v>
      </c>
      <c r="BQ182" s="379"/>
      <c r="BR182" s="454">
        <v>0.04</v>
      </c>
      <c r="BS182" s="454">
        <v>0.04</v>
      </c>
      <c r="BT182" s="454">
        <v>0.04</v>
      </c>
      <c r="BU182" s="454">
        <v>0.04</v>
      </c>
      <c r="BV182" s="67">
        <f t="shared" si="1725"/>
        <v>4.0000000000000036E-2</v>
      </c>
      <c r="BW182" s="379"/>
      <c r="BX182" s="454">
        <v>0.04</v>
      </c>
      <c r="BY182" s="454">
        <v>0.04</v>
      </c>
      <c r="BZ182" s="454">
        <v>0.04</v>
      </c>
      <c r="CA182" s="454">
        <v>0.04</v>
      </c>
      <c r="CB182" s="67">
        <f t="shared" si="1726"/>
        <v>4.0000000000000036E-2</v>
      </c>
      <c r="CC182" s="379"/>
      <c r="CD182" s="454">
        <v>0.04</v>
      </c>
      <c r="CE182" s="454">
        <v>0.04</v>
      </c>
      <c r="CF182" s="454">
        <v>0.04</v>
      </c>
      <c r="CG182" s="454">
        <v>0.04</v>
      </c>
      <c r="CH182" s="67">
        <f t="shared" si="1727"/>
        <v>4.0000000000000036E-2</v>
      </c>
      <c r="CI182" s="379"/>
      <c r="CJ182" s="454">
        <v>0.04</v>
      </c>
      <c r="CK182" s="454">
        <v>0.04</v>
      </c>
      <c r="CL182" s="454">
        <v>0.04</v>
      </c>
      <c r="CM182" s="454">
        <v>0.04</v>
      </c>
      <c r="CN182" s="67">
        <f t="shared" si="1728"/>
        <v>3.9999999999999813E-2</v>
      </c>
      <c r="CO182" s="379"/>
    </row>
    <row r="183" spans="2:93" s="137" customFormat="1" ht="18" customHeight="1" x14ac:dyDescent="0.25">
      <c r="B183" s="31" t="s">
        <v>377</v>
      </c>
      <c r="D183" s="379"/>
      <c r="E183" s="379"/>
      <c r="F183" s="379"/>
      <c r="G183" s="379"/>
      <c r="H183" s="379"/>
      <c r="J183" s="67">
        <f t="shared" si="1713"/>
        <v>0.3695090439276485</v>
      </c>
      <c r="K183" s="67">
        <f t="shared" si="1714"/>
        <v>0.46902654867256643</v>
      </c>
      <c r="L183" s="67">
        <f t="shared" si="1714"/>
        <v>0.45762711864406769</v>
      </c>
      <c r="M183" s="67">
        <f t="shared" si="1714"/>
        <v>0.4144144144144144</v>
      </c>
      <c r="N183" s="67">
        <f t="shared" si="1714"/>
        <v>0.42926045016077174</v>
      </c>
      <c r="O183" s="67"/>
      <c r="P183" s="67">
        <f t="shared" si="1715"/>
        <v>0.51886792452830188</v>
      </c>
      <c r="Q183" s="67">
        <f t="shared" si="1715"/>
        <v>0.14307228915662651</v>
      </c>
      <c r="R183" s="67">
        <f t="shared" si="1715"/>
        <v>-6.25E-2</v>
      </c>
      <c r="S183" s="67">
        <f t="shared" si="1715"/>
        <v>-0.23184713375796173</v>
      </c>
      <c r="T183" s="67">
        <f t="shared" si="1715"/>
        <v>5.436820397450326E-2</v>
      </c>
      <c r="U183" s="67"/>
      <c r="V183" s="67">
        <f t="shared" si="1716"/>
        <v>-0.2944099378881988</v>
      </c>
      <c r="W183" s="67">
        <f t="shared" si="1716"/>
        <v>-0.2700922266139657</v>
      </c>
      <c r="X183" s="67">
        <f t="shared" si="1716"/>
        <v>-0.12558139534883717</v>
      </c>
      <c r="Y183" s="67">
        <f t="shared" si="1716"/>
        <v>7.9601990049751326E-2</v>
      </c>
      <c r="Z183" s="67">
        <f t="shared" si="1716"/>
        <v>-0.16891891891891897</v>
      </c>
      <c r="AA183" s="67"/>
      <c r="AB183" s="67">
        <f t="shared" si="1717"/>
        <v>-1.232394366197187E-2</v>
      </c>
      <c r="AC183" s="67">
        <f t="shared" si="1717"/>
        <v>0.19133574007220222</v>
      </c>
      <c r="AD183" s="67">
        <f t="shared" si="1717"/>
        <v>0.31914893617021267</v>
      </c>
      <c r="AE183" s="67">
        <f t="shared" si="1717"/>
        <v>0.28878648233486937</v>
      </c>
      <c r="AF183" s="67">
        <f t="shared" si="1717"/>
        <v>0.199828840393667</v>
      </c>
      <c r="AG183" s="67"/>
      <c r="AH183" s="67">
        <f t="shared" si="1718"/>
        <v>0.33333333333333326</v>
      </c>
      <c r="AI183" s="67">
        <f t="shared" si="1718"/>
        <v>0.3833333333333333</v>
      </c>
      <c r="AJ183" s="67">
        <f t="shared" si="1718"/>
        <v>0.20026881720430101</v>
      </c>
      <c r="AK183" s="67">
        <f t="shared" si="1718"/>
        <v>5.2443384982121533E-2</v>
      </c>
      <c r="AL183" s="67">
        <f t="shared" si="1718"/>
        <v>0.22574893009985741</v>
      </c>
      <c r="AM183" s="67"/>
      <c r="AN183" s="67">
        <f t="shared" si="1719"/>
        <v>0.30748663101604268</v>
      </c>
      <c r="AO183" s="67">
        <f t="shared" si="1719"/>
        <v>0.1785323110624315</v>
      </c>
      <c r="AP183" s="67">
        <f t="shared" si="1719"/>
        <v>-7.838745800671898E-3</v>
      </c>
      <c r="AQ183" s="67">
        <f t="shared" si="1719"/>
        <v>6.3420158550396399E-2</v>
      </c>
      <c r="AR183" s="67">
        <f t="shared" si="1719"/>
        <v>0.12860052371254005</v>
      </c>
      <c r="AS183" s="67"/>
      <c r="AT183" s="67">
        <f t="shared" si="1720"/>
        <v>-8.8957055214723968E-2</v>
      </c>
      <c r="AU183" s="67">
        <f t="shared" si="1720"/>
        <v>-0.11710037174721188</v>
      </c>
      <c r="AV183" s="264">
        <f t="shared" si="1720"/>
        <v>-2.5959367945823875E-2</v>
      </c>
      <c r="AW183" s="539">
        <v>-0.05</v>
      </c>
      <c r="AX183" s="67">
        <f t="shared" si="1721"/>
        <v>-7.2944057746841873E-2</v>
      </c>
      <c r="AY183" s="379"/>
      <c r="AZ183" s="454">
        <v>-0.1</v>
      </c>
      <c r="BA183" s="454">
        <v>-0.1</v>
      </c>
      <c r="BB183" s="454">
        <v>0</v>
      </c>
      <c r="BC183" s="454">
        <v>0</v>
      </c>
      <c r="BD183" s="67">
        <f t="shared" si="1722"/>
        <v>-5.1195061247758078E-2</v>
      </c>
      <c r="BE183" s="379"/>
      <c r="BF183" s="454">
        <v>0.04</v>
      </c>
      <c r="BG183" s="454">
        <v>0.04</v>
      </c>
      <c r="BH183" s="454">
        <v>0.04</v>
      </c>
      <c r="BI183" s="454">
        <v>0.04</v>
      </c>
      <c r="BJ183" s="67">
        <f t="shared" si="1723"/>
        <v>4.0000000000000036E-2</v>
      </c>
      <c r="BK183" s="379"/>
      <c r="BL183" s="454">
        <v>0.04</v>
      </c>
      <c r="BM183" s="454">
        <v>0.04</v>
      </c>
      <c r="BN183" s="454">
        <v>0.04</v>
      </c>
      <c r="BO183" s="454">
        <v>0.04</v>
      </c>
      <c r="BP183" s="67">
        <f t="shared" si="1724"/>
        <v>4.0000000000000036E-2</v>
      </c>
      <c r="BQ183" s="379"/>
      <c r="BR183" s="454">
        <v>0.04</v>
      </c>
      <c r="BS183" s="454">
        <v>0.04</v>
      </c>
      <c r="BT183" s="454">
        <v>0.04</v>
      </c>
      <c r="BU183" s="454">
        <v>0.04</v>
      </c>
      <c r="BV183" s="67">
        <f t="shared" si="1725"/>
        <v>4.0000000000000036E-2</v>
      </c>
      <c r="BW183" s="379"/>
      <c r="BX183" s="454">
        <v>0.04</v>
      </c>
      <c r="BY183" s="454">
        <v>0.04</v>
      </c>
      <c r="BZ183" s="454">
        <v>0.04</v>
      </c>
      <c r="CA183" s="454">
        <v>0.04</v>
      </c>
      <c r="CB183" s="67">
        <f t="shared" si="1726"/>
        <v>4.0000000000000036E-2</v>
      </c>
      <c r="CC183" s="379"/>
      <c r="CD183" s="454">
        <v>0.04</v>
      </c>
      <c r="CE183" s="454">
        <v>0.04</v>
      </c>
      <c r="CF183" s="454">
        <v>0.04</v>
      </c>
      <c r="CG183" s="454">
        <v>0.04</v>
      </c>
      <c r="CH183" s="67">
        <f t="shared" si="1727"/>
        <v>4.0000000000000036E-2</v>
      </c>
      <c r="CI183" s="379"/>
      <c r="CJ183" s="454">
        <v>0.04</v>
      </c>
      <c r="CK183" s="454">
        <v>0.04</v>
      </c>
      <c r="CL183" s="454">
        <v>0.04</v>
      </c>
      <c r="CM183" s="454">
        <v>0.04</v>
      </c>
      <c r="CN183" s="67">
        <f t="shared" si="1728"/>
        <v>4.0000000000000036E-2</v>
      </c>
      <c r="CO183" s="379"/>
    </row>
    <row r="184" spans="2:93" s="137" customFormat="1" ht="18" customHeight="1" x14ac:dyDescent="0.25">
      <c r="B184" s="31" t="s">
        <v>378</v>
      </c>
      <c r="C184" s="31"/>
      <c r="D184" s="31"/>
      <c r="E184" s="31"/>
      <c r="F184" s="31"/>
      <c r="G184" s="31"/>
      <c r="H184" s="31"/>
      <c r="I184" s="31"/>
      <c r="J184" s="390">
        <f t="shared" si="1713"/>
        <v>0.10989010989010994</v>
      </c>
      <c r="K184" s="390">
        <f t="shared" si="1714"/>
        <v>0.23376623376623384</v>
      </c>
      <c r="L184" s="390">
        <f t="shared" si="1714"/>
        <v>0.16279069767441867</v>
      </c>
      <c r="M184" s="390">
        <f t="shared" si="1714"/>
        <v>-0.16504854368932043</v>
      </c>
      <c r="N184" s="390">
        <f t="shared" si="1714"/>
        <v>7.0028011204481766E-2</v>
      </c>
      <c r="O184" s="390"/>
      <c r="P184" s="390">
        <f t="shared" si="1715"/>
        <v>3.9603960396039639E-2</v>
      </c>
      <c r="Q184" s="390">
        <f t="shared" si="1715"/>
        <v>0.13684210526315788</v>
      </c>
      <c r="R184" s="390">
        <f t="shared" si="1715"/>
        <v>0.31000000000000005</v>
      </c>
      <c r="S184" s="390">
        <f t="shared" si="1715"/>
        <v>0.38372093023255816</v>
      </c>
      <c r="T184" s="390">
        <f t="shared" si="1715"/>
        <v>0.21204188481675401</v>
      </c>
      <c r="U184" s="390"/>
      <c r="V184" s="390">
        <f t="shared" si="1716"/>
        <v>0</v>
      </c>
      <c r="W184" s="390">
        <f t="shared" si="1716"/>
        <v>7.4074074074074181E-2</v>
      </c>
      <c r="X184" s="390">
        <f t="shared" si="1716"/>
        <v>-0.14503816793893132</v>
      </c>
      <c r="Y184" s="390">
        <f t="shared" si="1716"/>
        <v>6.7226890756302504E-2</v>
      </c>
      <c r="Z184" s="390">
        <f t="shared" si="1716"/>
        <v>-6.4794816414687206E-3</v>
      </c>
      <c r="AA184" s="390"/>
      <c r="AB184" s="390">
        <f t="shared" si="1717"/>
        <v>-0.22857142857142854</v>
      </c>
      <c r="AC184" s="390">
        <f t="shared" si="1717"/>
        <v>-0.34482758620689657</v>
      </c>
      <c r="AD184" s="390">
        <f t="shared" si="1717"/>
        <v>-0.3303571428571429</v>
      </c>
      <c r="AE184" s="390">
        <f t="shared" si="1717"/>
        <v>-0.40157480314960625</v>
      </c>
      <c r="AF184" s="390">
        <f t="shared" si="1717"/>
        <v>-0.33043478260869563</v>
      </c>
      <c r="AG184" s="390"/>
      <c r="AH184" s="390">
        <f t="shared" si="1718"/>
        <v>-0.12345679012345678</v>
      </c>
      <c r="AI184" s="390">
        <f t="shared" si="1718"/>
        <v>-0.13157894736842102</v>
      </c>
      <c r="AJ184" s="390">
        <f t="shared" si="1718"/>
        <v>-1.3333333333333308E-2</v>
      </c>
      <c r="AK184" s="390">
        <f t="shared" si="1718"/>
        <v>0.18421052631578938</v>
      </c>
      <c r="AL184" s="390">
        <f t="shared" si="1718"/>
        <v>-2.2727272727272707E-2</v>
      </c>
      <c r="AM184" s="390"/>
      <c r="AN184" s="390">
        <f t="shared" si="1719"/>
        <v>-4.2253521126760618E-2</v>
      </c>
      <c r="AO184" s="390">
        <f t="shared" si="1719"/>
        <v>0.36363636363636354</v>
      </c>
      <c r="AP184" s="390">
        <f t="shared" si="1719"/>
        <v>0.2432432432432432</v>
      </c>
      <c r="AQ184" s="390">
        <f t="shared" si="1719"/>
        <v>-1.1111111111111072E-2</v>
      </c>
      <c r="AR184" s="390">
        <f t="shared" si="1719"/>
        <v>0.12624584717607967</v>
      </c>
      <c r="AS184" s="390"/>
      <c r="AT184" s="390">
        <f t="shared" si="1720"/>
        <v>0.42647058823529416</v>
      </c>
      <c r="AU184" s="390">
        <f t="shared" si="1720"/>
        <v>-6.6666666666666652E-2</v>
      </c>
      <c r="AV184" s="392">
        <f t="shared" si="1720"/>
        <v>2.1739130434782705E-2</v>
      </c>
      <c r="AW184" s="390">
        <f t="shared" ref="AW184:AW185" si="1729">AW172/AQ172-1</f>
        <v>-0.101123595505618</v>
      </c>
      <c r="AX184" s="390">
        <f t="shared" si="1721"/>
        <v>4.71976401179941E-2</v>
      </c>
      <c r="AY184" s="31"/>
      <c r="AZ184" s="390">
        <f t="shared" ref="AZ184:AZ185" si="1730">AZ172/AT172-1</f>
        <v>-0.17525773195876293</v>
      </c>
      <c r="BA184" s="390">
        <f t="shared" ref="BA184:BA185" si="1731">BA172/AU172-1</f>
        <v>-4.7619047619047672E-2</v>
      </c>
      <c r="BB184" s="390">
        <f t="shared" ref="BB184:BB185" si="1732">BB172/AV172-1</f>
        <v>-0.14893617021276595</v>
      </c>
      <c r="BC184" s="390">
        <f t="shared" ref="BC184:BC185" si="1733">BC172/AW172-1</f>
        <v>0</v>
      </c>
      <c r="BD184" s="390">
        <f t="shared" si="1722"/>
        <v>-9.8591549295774628E-2</v>
      </c>
      <c r="BE184" s="31"/>
      <c r="BF184" s="390">
        <f t="shared" ref="BF184:BF185" si="1734">BF172/AZ172-1</f>
        <v>0</v>
      </c>
      <c r="BG184" s="390">
        <f t="shared" ref="BG184:BG185" si="1735">BG172/BA172-1</f>
        <v>0</v>
      </c>
      <c r="BH184" s="390">
        <f t="shared" ref="BH184:BH185" si="1736">BH172/BB172-1</f>
        <v>0</v>
      </c>
      <c r="BI184" s="390">
        <f t="shared" ref="BI184:BI185" si="1737">BI172/BC172-1</f>
        <v>0</v>
      </c>
      <c r="BJ184" s="390">
        <f t="shared" si="1723"/>
        <v>0</v>
      </c>
      <c r="BK184" s="31"/>
      <c r="BL184" s="390">
        <f t="shared" ref="BL184:BL185" si="1738">BL172/BF172-1</f>
        <v>0</v>
      </c>
      <c r="BM184" s="390">
        <f t="shared" ref="BM184:BM185" si="1739">BM172/BG172-1</f>
        <v>0</v>
      </c>
      <c r="BN184" s="390">
        <f t="shared" ref="BN184:BN185" si="1740">BN172/BH172-1</f>
        <v>0</v>
      </c>
      <c r="BO184" s="390">
        <f t="shared" ref="BO184:BO185" si="1741">BO172/BI172-1</f>
        <v>0</v>
      </c>
      <c r="BP184" s="390">
        <f t="shared" si="1724"/>
        <v>0</v>
      </c>
      <c r="BQ184" s="31"/>
      <c r="BR184" s="390">
        <f t="shared" ref="BR184:BR185" si="1742">BR172/BL172-1</f>
        <v>0</v>
      </c>
      <c r="BS184" s="390">
        <f t="shared" ref="BS184:BS185" si="1743">BS172/BM172-1</f>
        <v>0</v>
      </c>
      <c r="BT184" s="390">
        <f t="shared" ref="BT184:BT185" si="1744">BT172/BN172-1</f>
        <v>0</v>
      </c>
      <c r="BU184" s="390">
        <f t="shared" ref="BU184:BU185" si="1745">BU172/BO172-1</f>
        <v>0</v>
      </c>
      <c r="BV184" s="390">
        <f t="shared" si="1725"/>
        <v>0</v>
      </c>
      <c r="BW184" s="31"/>
      <c r="BX184" s="390">
        <f t="shared" ref="BX184:BX185" si="1746">BX172/BR172-1</f>
        <v>0</v>
      </c>
      <c r="BY184" s="390">
        <f t="shared" ref="BY184:BY185" si="1747">BY172/BS172-1</f>
        <v>0</v>
      </c>
      <c r="BZ184" s="390">
        <f t="shared" ref="BZ184:BZ185" si="1748">BZ172/BT172-1</f>
        <v>0</v>
      </c>
      <c r="CA184" s="390">
        <f t="shared" ref="CA184:CA185" si="1749">CA172/BU172-1</f>
        <v>0</v>
      </c>
      <c r="CB184" s="390">
        <f t="shared" si="1726"/>
        <v>0</v>
      </c>
      <c r="CC184" s="31"/>
      <c r="CD184" s="390">
        <f t="shared" ref="CD184:CD185" si="1750">CD172/BX172-1</f>
        <v>0</v>
      </c>
      <c r="CE184" s="390">
        <f t="shared" ref="CE184:CE185" si="1751">CE172/BY172-1</f>
        <v>0</v>
      </c>
      <c r="CF184" s="390">
        <f t="shared" ref="CF184:CF185" si="1752">CF172/BZ172-1</f>
        <v>0</v>
      </c>
      <c r="CG184" s="390">
        <f t="shared" ref="CG184:CG185" si="1753">CG172/CA172-1</f>
        <v>0</v>
      </c>
      <c r="CH184" s="390">
        <f t="shared" si="1727"/>
        <v>0</v>
      </c>
      <c r="CI184" s="31"/>
      <c r="CJ184" s="390">
        <f t="shared" ref="CJ184:CJ185" si="1754">CJ172/CD172-1</f>
        <v>0</v>
      </c>
      <c r="CK184" s="390">
        <f t="shared" ref="CK184:CK185" si="1755">CK172/CE172-1</f>
        <v>0</v>
      </c>
      <c r="CL184" s="390">
        <f t="shared" ref="CL184:CL185" si="1756">CL172/CF172-1</f>
        <v>0</v>
      </c>
      <c r="CM184" s="390">
        <f t="shared" ref="CM184:CM185" si="1757">CM172/CG172-1</f>
        <v>0</v>
      </c>
      <c r="CN184" s="390">
        <f t="shared" si="1728"/>
        <v>0</v>
      </c>
      <c r="CO184" s="379"/>
    </row>
    <row r="185" spans="2:93" s="137" customFormat="1" ht="18" customHeight="1" x14ac:dyDescent="0.25">
      <c r="B185" s="155" t="s">
        <v>382</v>
      </c>
      <c r="C185" s="155"/>
      <c r="D185" s="155"/>
      <c r="E185" s="155"/>
      <c r="F185" s="155"/>
      <c r="G185" s="155"/>
      <c r="H185" s="155"/>
      <c r="I185" s="155"/>
      <c r="J185" s="390">
        <f t="shared" si="1713"/>
        <v>0.31118682566723455</v>
      </c>
      <c r="K185" s="390">
        <f t="shared" si="1714"/>
        <v>0.37581699346405228</v>
      </c>
      <c r="L185" s="390">
        <f t="shared" si="1714"/>
        <v>0.34867075664621683</v>
      </c>
      <c r="M185" s="390">
        <f t="shared" si="1714"/>
        <v>0.21187175043327566</v>
      </c>
      <c r="N185" s="390">
        <f t="shared" si="1714"/>
        <v>0.30644956112453881</v>
      </c>
      <c r="O185" s="390"/>
      <c r="P185" s="390">
        <f t="shared" si="1715"/>
        <v>0.1918579471632742</v>
      </c>
      <c r="Q185" s="390">
        <f t="shared" si="1715"/>
        <v>0.11599366587490101</v>
      </c>
      <c r="R185" s="390">
        <f t="shared" si="1715"/>
        <v>-0.12433661865049284</v>
      </c>
      <c r="S185" s="390">
        <f t="shared" si="1715"/>
        <v>-0.14372542009295675</v>
      </c>
      <c r="T185" s="390">
        <f t="shared" si="1715"/>
        <v>5.8422590068163416E-4</v>
      </c>
      <c r="U185" s="390"/>
      <c r="V185" s="390">
        <f t="shared" si="1716"/>
        <v>-0.24273255813953487</v>
      </c>
      <c r="W185" s="390">
        <f t="shared" si="1716"/>
        <v>-0.35225257183398373</v>
      </c>
      <c r="X185" s="390">
        <f t="shared" si="1716"/>
        <v>-0.21385281385281385</v>
      </c>
      <c r="Y185" s="390">
        <f t="shared" si="1716"/>
        <v>-8.9770354906054228E-2</v>
      </c>
      <c r="Z185" s="390">
        <f t="shared" si="1716"/>
        <v>-0.23063448812767617</v>
      </c>
      <c r="AA185" s="390"/>
      <c r="AB185" s="390">
        <f t="shared" si="1717"/>
        <v>4.5105566218810011E-2</v>
      </c>
      <c r="AC185" s="390">
        <f t="shared" si="1717"/>
        <v>0.39485213581599132</v>
      </c>
      <c r="AD185" s="390">
        <f t="shared" si="1717"/>
        <v>0.30286343612334798</v>
      </c>
      <c r="AE185" s="390">
        <f t="shared" si="1717"/>
        <v>0.24724770642201843</v>
      </c>
      <c r="AF185" s="390">
        <f t="shared" si="1717"/>
        <v>0.24082974955729819</v>
      </c>
      <c r="AG185" s="390"/>
      <c r="AH185" s="390">
        <f t="shared" si="1718"/>
        <v>0.29935720844811753</v>
      </c>
      <c r="AI185" s="390">
        <f t="shared" si="1718"/>
        <v>0.16254416961130747</v>
      </c>
      <c r="AJ185" s="390">
        <f t="shared" si="1718"/>
        <v>0.30473372781065078</v>
      </c>
      <c r="AK185" s="390">
        <f t="shared" si="1718"/>
        <v>0.26369988966531821</v>
      </c>
      <c r="AL185" s="390">
        <f t="shared" si="1718"/>
        <v>0.25524974515800203</v>
      </c>
      <c r="AM185" s="390"/>
      <c r="AN185" s="390">
        <f t="shared" si="1719"/>
        <v>0.21095406360424018</v>
      </c>
      <c r="AO185" s="390">
        <f t="shared" si="1719"/>
        <v>0.20330969267139487</v>
      </c>
      <c r="AP185" s="390">
        <f t="shared" si="1719"/>
        <v>8.5519922254616132E-2</v>
      </c>
      <c r="AQ185" s="390">
        <f t="shared" si="1719"/>
        <v>-5.646100116414432E-2</v>
      </c>
      <c r="AR185" s="390">
        <f t="shared" si="1719"/>
        <v>0.10305343511450382</v>
      </c>
      <c r="AS185" s="390"/>
      <c r="AT185" s="390">
        <f t="shared" si="1720"/>
        <v>-6.8281295593813796E-2</v>
      </c>
      <c r="AU185" s="390">
        <f t="shared" si="1720"/>
        <v>-0.10019646365422397</v>
      </c>
      <c r="AV185" s="392">
        <f t="shared" si="1720"/>
        <v>-9.6389137570874417E-2</v>
      </c>
      <c r="AW185" s="390">
        <f t="shared" si="1729"/>
        <v>-7.7390499691548431E-2</v>
      </c>
      <c r="AX185" s="390">
        <f t="shared" si="1721"/>
        <v>-8.5761613781933366E-2</v>
      </c>
      <c r="AY185" s="155"/>
      <c r="AZ185" s="390">
        <f t="shared" si="1730"/>
        <v>-9.48324459755715E-2</v>
      </c>
      <c r="BA185" s="390">
        <f t="shared" si="1731"/>
        <v>-3.0879600748596414E-2</v>
      </c>
      <c r="BB185" s="390">
        <f t="shared" si="1732"/>
        <v>2.273447820343466E-2</v>
      </c>
      <c r="BC185" s="390">
        <f t="shared" si="1733"/>
        <v>2.7000768947878839E-2</v>
      </c>
      <c r="BD185" s="390">
        <f t="shared" si="1722"/>
        <v>-2.0308903938605516E-2</v>
      </c>
      <c r="BE185" s="155"/>
      <c r="BF185" s="390">
        <f t="shared" si="1734"/>
        <v>3.889281018614632E-2</v>
      </c>
      <c r="BG185" s="390">
        <f t="shared" si="1735"/>
        <v>3.8970067589314539E-2</v>
      </c>
      <c r="BH185" s="390">
        <f t="shared" si="1736"/>
        <v>3.8966688624533452E-2</v>
      </c>
      <c r="BI185" s="390">
        <f t="shared" si="1737"/>
        <v>3.8958286537611464E-2</v>
      </c>
      <c r="BJ185" s="390">
        <f t="shared" si="1723"/>
        <v>3.8947879080400094E-2</v>
      </c>
      <c r="BK185" s="155"/>
      <c r="BL185" s="390">
        <f t="shared" si="1738"/>
        <v>3.893425981679921E-2</v>
      </c>
      <c r="BM185" s="390">
        <f t="shared" si="1739"/>
        <v>3.9008698669177999E-2</v>
      </c>
      <c r="BN185" s="390">
        <f t="shared" si="1740"/>
        <v>3.9005443209315427E-2</v>
      </c>
      <c r="BO185" s="390">
        <f t="shared" si="1741"/>
        <v>3.8997348136218024E-2</v>
      </c>
      <c r="BP185" s="390">
        <f t="shared" si="1724"/>
        <v>3.898732078790057E-2</v>
      </c>
      <c r="BQ185" s="155"/>
      <c r="BR185" s="390">
        <f t="shared" si="1742"/>
        <v>3.8974198633714652E-2</v>
      </c>
      <c r="BS185" s="390">
        <f t="shared" si="1743"/>
        <v>3.9045916235261657E-2</v>
      </c>
      <c r="BT185" s="390">
        <f t="shared" si="1744"/>
        <v>3.9042779999676869E-2</v>
      </c>
      <c r="BU185" s="390">
        <f t="shared" si="1745"/>
        <v>3.9034981306178995E-2</v>
      </c>
      <c r="BV185" s="390">
        <f t="shared" si="1725"/>
        <v>3.9025320914088057E-2</v>
      </c>
      <c r="BW185" s="155"/>
      <c r="BX185" s="390">
        <f t="shared" si="1746"/>
        <v>3.90126786905447E-2</v>
      </c>
      <c r="BY185" s="390">
        <f t="shared" si="1747"/>
        <v>3.9081769390716614E-2</v>
      </c>
      <c r="BZ185" s="390">
        <f t="shared" si="1748"/>
        <v>3.9078748229862681E-2</v>
      </c>
      <c r="CA185" s="390">
        <f t="shared" si="1749"/>
        <v>3.90712356069014E-2</v>
      </c>
      <c r="CB185" s="390">
        <f t="shared" si="1726"/>
        <v>3.9061929419530905E-2</v>
      </c>
      <c r="CC185" s="155"/>
      <c r="CD185" s="390">
        <f t="shared" si="1750"/>
        <v>3.9049750470129263E-2</v>
      </c>
      <c r="CE185" s="390">
        <f t="shared" si="1751"/>
        <v>3.911630572652447E-2</v>
      </c>
      <c r="CF185" s="390">
        <f t="shared" si="1752"/>
        <v>3.9113395619237989E-2</v>
      </c>
      <c r="CG185" s="390">
        <f t="shared" si="1753"/>
        <v>3.9106159076229163E-2</v>
      </c>
      <c r="CH185" s="390">
        <f t="shared" si="1727"/>
        <v>3.9097194735069118E-2</v>
      </c>
      <c r="CI185" s="155"/>
      <c r="CJ185" s="390">
        <f t="shared" si="1754"/>
        <v>3.9085462915090963E-2</v>
      </c>
      <c r="CK185" s="390">
        <f t="shared" si="1755"/>
        <v>3.9149571353461088E-2</v>
      </c>
      <c r="CL185" s="390">
        <f t="shared" si="1756"/>
        <v>3.9146768404199506E-2</v>
      </c>
      <c r="CM185" s="390">
        <f t="shared" si="1757"/>
        <v>3.9139798262224135E-2</v>
      </c>
      <c r="CN185" s="390">
        <f t="shared" si="1728"/>
        <v>3.9131163793430623E-2</v>
      </c>
      <c r="CO185" s="379"/>
    </row>
    <row r="186" spans="2:93" s="137" customFormat="1" ht="18" customHeight="1" x14ac:dyDescent="0.25">
      <c r="B186" s="136"/>
      <c r="C186" s="136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6"/>
      <c r="AH186" s="136"/>
      <c r="AI186" s="136"/>
      <c r="AJ186" s="136"/>
      <c r="AK186" s="136"/>
      <c r="AL186" s="136"/>
      <c r="AM186" s="136"/>
      <c r="AN186" s="136"/>
      <c r="AO186" s="136"/>
      <c r="AP186" s="136"/>
      <c r="AQ186" s="136"/>
      <c r="AR186" s="136"/>
      <c r="AS186" s="136"/>
      <c r="AT186" s="136"/>
      <c r="AU186" s="136"/>
      <c r="AV186" s="393"/>
      <c r="AW186" s="136"/>
      <c r="AX186" s="136"/>
      <c r="AY186" s="136"/>
      <c r="AZ186" s="136"/>
      <c r="BA186" s="136"/>
      <c r="BB186" s="136"/>
      <c r="BC186" s="136"/>
      <c r="BD186" s="136"/>
      <c r="BE186" s="136"/>
      <c r="BF186" s="136"/>
      <c r="BG186" s="136"/>
      <c r="BH186" s="136"/>
      <c r="BI186" s="136"/>
      <c r="BJ186" s="136"/>
      <c r="BK186" s="136"/>
      <c r="BL186" s="136"/>
      <c r="BM186" s="136"/>
      <c r="BN186" s="136"/>
      <c r="BO186" s="136"/>
      <c r="BP186" s="136"/>
      <c r="BQ186" s="136"/>
      <c r="BR186" s="136"/>
      <c r="BS186" s="136"/>
      <c r="BT186" s="136"/>
      <c r="BU186" s="136"/>
      <c r="BV186" s="136"/>
      <c r="BW186" s="136"/>
      <c r="BX186" s="136"/>
      <c r="BY186" s="136"/>
      <c r="BZ186" s="136"/>
      <c r="CA186" s="136"/>
      <c r="CB186" s="136"/>
      <c r="CC186" s="136"/>
      <c r="CD186" s="136"/>
      <c r="CE186" s="136"/>
      <c r="CF186" s="136"/>
      <c r="CG186" s="136"/>
      <c r="CH186" s="136"/>
      <c r="CI186" s="136"/>
      <c r="CJ186" s="136"/>
      <c r="CK186" s="136"/>
      <c r="CL186" s="136"/>
      <c r="CM186" s="136"/>
      <c r="CN186" s="136"/>
      <c r="CO186" s="379"/>
    </row>
    <row r="187" spans="2:93" s="137" customFormat="1" ht="18" customHeight="1" x14ac:dyDescent="0.25">
      <c r="B187" s="386" t="s">
        <v>383</v>
      </c>
      <c r="D187" s="379"/>
      <c r="E187" s="379"/>
      <c r="F187" s="379"/>
      <c r="G187" s="379"/>
      <c r="H187" s="379"/>
      <c r="J187" s="246"/>
      <c r="K187" s="246"/>
      <c r="L187" s="246"/>
      <c r="M187" s="246"/>
      <c r="N187" s="246"/>
      <c r="O187" s="246"/>
      <c r="P187" s="246"/>
      <c r="Q187" s="246"/>
      <c r="R187" s="246"/>
      <c r="S187" s="246"/>
      <c r="T187" s="246"/>
      <c r="U187" s="246"/>
      <c r="V187" s="246"/>
      <c r="W187" s="246"/>
      <c r="X187" s="246"/>
      <c r="Y187" s="246"/>
      <c r="Z187" s="246"/>
      <c r="AA187" s="246"/>
      <c r="AB187" s="246"/>
      <c r="AC187" s="246"/>
      <c r="AD187" s="246"/>
      <c r="AE187" s="246"/>
      <c r="AF187" s="246"/>
      <c r="AG187" s="246"/>
      <c r="AH187" s="246"/>
      <c r="AI187" s="246"/>
      <c r="AJ187" s="246"/>
      <c r="AK187" s="246"/>
      <c r="AL187" s="246"/>
      <c r="AM187" s="246"/>
      <c r="AN187" s="246"/>
      <c r="AO187" s="246"/>
      <c r="AP187" s="246"/>
      <c r="AQ187" s="246"/>
      <c r="AR187" s="246"/>
      <c r="AS187" s="246"/>
      <c r="AT187" s="246"/>
      <c r="AU187" s="246"/>
      <c r="AV187" s="265"/>
      <c r="AW187" s="246"/>
      <c r="AX187" s="246"/>
      <c r="AY187" s="379"/>
      <c r="AZ187" s="246"/>
      <c r="BA187" s="246"/>
      <c r="BB187" s="246"/>
      <c r="BC187" s="246"/>
      <c r="BD187" s="246"/>
      <c r="BE187" s="379"/>
      <c r="BF187" s="246"/>
      <c r="BG187" s="246"/>
      <c r="BH187" s="246"/>
      <c r="BI187" s="246"/>
      <c r="BJ187" s="246"/>
      <c r="BK187" s="379"/>
      <c r="BL187" s="246"/>
      <c r="BM187" s="246"/>
      <c r="BN187" s="246"/>
      <c r="BO187" s="246"/>
      <c r="BP187" s="246"/>
      <c r="BQ187" s="379"/>
      <c r="BR187" s="246"/>
      <c r="BS187" s="246"/>
      <c r="BT187" s="246"/>
      <c r="BU187" s="246"/>
      <c r="BV187" s="246"/>
      <c r="BW187" s="379"/>
      <c r="BX187" s="246"/>
      <c r="BY187" s="246"/>
      <c r="BZ187" s="246"/>
      <c r="CA187" s="246"/>
      <c r="CB187" s="246"/>
      <c r="CC187" s="379"/>
      <c r="CD187" s="246"/>
      <c r="CE187" s="246"/>
      <c r="CF187" s="246"/>
      <c r="CG187" s="246"/>
      <c r="CH187" s="246"/>
      <c r="CI187" s="379"/>
      <c r="CJ187" s="246"/>
      <c r="CK187" s="246"/>
      <c r="CL187" s="246"/>
      <c r="CM187" s="246"/>
      <c r="CN187" s="246"/>
      <c r="CO187" s="379"/>
    </row>
    <row r="188" spans="2:93" s="137" customFormat="1" ht="18" customHeight="1" x14ac:dyDescent="0.25">
      <c r="B188" s="31" t="s">
        <v>374</v>
      </c>
      <c r="D188" s="67">
        <f t="shared" ref="D188:H192" si="1758">D168/D$173</f>
        <v>0.33957978421351503</v>
      </c>
      <c r="E188" s="67">
        <f t="shared" si="1758"/>
        <v>0.33333333333333331</v>
      </c>
      <c r="F188" s="67">
        <f t="shared" si="1758"/>
        <v>0.29703476482617586</v>
      </c>
      <c r="G188" s="67">
        <f t="shared" si="1758"/>
        <v>0.34272097053726169</v>
      </c>
      <c r="H188" s="67">
        <f t="shared" si="1758"/>
        <v>0.32845693932069714</v>
      </c>
      <c r="J188" s="67">
        <f t="shared" ref="J188:N192" si="1759">J168/J$173</f>
        <v>0.34560415764400171</v>
      </c>
      <c r="K188" s="67">
        <f t="shared" si="1759"/>
        <v>0.31828978622327792</v>
      </c>
      <c r="L188" s="67">
        <f t="shared" si="1759"/>
        <v>0.32183472327520851</v>
      </c>
      <c r="M188" s="67">
        <f t="shared" si="1759"/>
        <v>0.32391848409009655</v>
      </c>
      <c r="N188" s="67">
        <f t="shared" si="1759"/>
        <v>0.32687439143135344</v>
      </c>
      <c r="O188" s="67"/>
      <c r="P188" s="67">
        <f t="shared" ref="P188:T192" si="1760">P168/P$173</f>
        <v>0.34556686046511625</v>
      </c>
      <c r="Q188" s="67">
        <f t="shared" si="1760"/>
        <v>0.37531039375665132</v>
      </c>
      <c r="R188" s="67">
        <f t="shared" si="1760"/>
        <v>0.34155844155844156</v>
      </c>
      <c r="S188" s="67">
        <f t="shared" si="1760"/>
        <v>0.34822546972860124</v>
      </c>
      <c r="T188" s="67">
        <f t="shared" si="1760"/>
        <v>0.35344492020241342</v>
      </c>
      <c r="U188" s="67"/>
      <c r="V188" s="67">
        <f t="shared" ref="V188:Z192" si="1761">V168/V$173</f>
        <v>0.33397312859884837</v>
      </c>
      <c r="W188" s="67">
        <f t="shared" si="1761"/>
        <v>0.27765607886089816</v>
      </c>
      <c r="X188" s="67">
        <f t="shared" si="1761"/>
        <v>0.26817180616740088</v>
      </c>
      <c r="Y188" s="67">
        <f t="shared" si="1761"/>
        <v>0.27339449541284405</v>
      </c>
      <c r="Z188" s="67">
        <f t="shared" si="1761"/>
        <v>0.28914748292436127</v>
      </c>
      <c r="AA188" s="67"/>
      <c r="AB188" s="67">
        <f t="shared" ref="AB188:AF192" si="1762">AB168/AB$173</f>
        <v>0.30165289256198347</v>
      </c>
      <c r="AC188" s="67">
        <f t="shared" si="1762"/>
        <v>0.31370239497447977</v>
      </c>
      <c r="AD188" s="67">
        <f t="shared" si="1762"/>
        <v>0.28486897717666948</v>
      </c>
      <c r="AE188" s="67">
        <f t="shared" si="1762"/>
        <v>0.31518940787054062</v>
      </c>
      <c r="AF188" s="67">
        <f t="shared" si="1762"/>
        <v>0.30448521916411825</v>
      </c>
      <c r="AG188" s="67"/>
      <c r="AH188" s="67">
        <f t="shared" ref="AH188:AL192" si="1763">AH168/AH$173</f>
        <v>0.3597173144876325</v>
      </c>
      <c r="AI188" s="67">
        <f t="shared" si="1763"/>
        <v>0.34684228301249576</v>
      </c>
      <c r="AJ188" s="67">
        <f t="shared" si="1763"/>
        <v>0.36345966958211856</v>
      </c>
      <c r="AK188" s="67">
        <f t="shared" si="1763"/>
        <v>0.39697322467986029</v>
      </c>
      <c r="AL188" s="67">
        <f t="shared" si="1763"/>
        <v>0.36795517297385089</v>
      </c>
      <c r="AM188" s="67"/>
      <c r="AN188" s="67">
        <f t="shared" ref="AN188:AR192" si="1764">AN168/AN$173</f>
        <v>0.38167493434490807</v>
      </c>
      <c r="AO188" s="67">
        <f t="shared" si="1764"/>
        <v>0.37664889138366547</v>
      </c>
      <c r="AP188" s="67">
        <f t="shared" si="1764"/>
        <v>0.40763951059385256</v>
      </c>
      <c r="AQ188" s="67">
        <f t="shared" si="1764"/>
        <v>0.38247995064774831</v>
      </c>
      <c r="AR188" s="67">
        <f t="shared" si="1764"/>
        <v>0.38695428108665242</v>
      </c>
      <c r="AS188" s="67"/>
      <c r="AT188" s="67">
        <f t="shared" ref="AT188:AX192" si="1765">AT168/AT$173</f>
        <v>0.39586595678045727</v>
      </c>
      <c r="AU188" s="67">
        <f t="shared" si="1765"/>
        <v>0.37616968184653776</v>
      </c>
      <c r="AV188" s="264">
        <f t="shared" si="1765"/>
        <v>0.37351387054161161</v>
      </c>
      <c r="AW188" s="67">
        <f t="shared" si="1765"/>
        <v>0.37310688375514028</v>
      </c>
      <c r="AX188" s="67">
        <f t="shared" si="1765"/>
        <v>0.37984876913537502</v>
      </c>
      <c r="AY188" s="67"/>
      <c r="AZ188" s="67">
        <f t="shared" ref="AZ188:BD192" si="1766">AZ168/AZ$173</f>
        <v>0.39360597882499482</v>
      </c>
      <c r="BA188" s="67">
        <f t="shared" si="1766"/>
        <v>0.3881557772771162</v>
      </c>
      <c r="BB188" s="67">
        <f t="shared" si="1766"/>
        <v>0.37981942883713721</v>
      </c>
      <c r="BC188" s="67">
        <f t="shared" si="1766"/>
        <v>0.37782947280834883</v>
      </c>
      <c r="BD188" s="67">
        <f t="shared" si="1766"/>
        <v>0.38472116576313042</v>
      </c>
      <c r="BE188" s="67"/>
      <c r="BF188" s="67">
        <f t="shared" ref="BF188:BJ192" si="1767">BF168/BF$173</f>
        <v>0.39402546053297666</v>
      </c>
      <c r="BG188" s="67">
        <f t="shared" si="1767"/>
        <v>0.38854055661569725</v>
      </c>
      <c r="BH188" s="67">
        <f t="shared" si="1767"/>
        <v>0.38019718082932114</v>
      </c>
      <c r="BI188" s="67">
        <f t="shared" si="1767"/>
        <v>0.37820830423345186</v>
      </c>
      <c r="BJ188" s="67">
        <f t="shared" si="1767"/>
        <v>0.3851107648901535</v>
      </c>
      <c r="BK188" s="67"/>
      <c r="BL188" s="67">
        <f t="shared" ref="BL188:BP192" si="1768">BL168/BL$173</f>
        <v>0.39442965238874272</v>
      </c>
      <c r="BM188" s="67">
        <f t="shared" si="1768"/>
        <v>0.38891125685270661</v>
      </c>
      <c r="BN188" s="67">
        <f t="shared" si="1768"/>
        <v>0.38056111317487745</v>
      </c>
      <c r="BO188" s="67">
        <f t="shared" si="1768"/>
        <v>0.3785732823171955</v>
      </c>
      <c r="BP188" s="67">
        <f t="shared" si="1768"/>
        <v>0.38548612429845147</v>
      </c>
      <c r="BQ188" s="67"/>
      <c r="BR188" s="67">
        <f t="shared" ref="BR188:BV192" si="1769">BR168/BR$173</f>
        <v>0.39481908118962716</v>
      </c>
      <c r="BS188" s="67">
        <f t="shared" si="1769"/>
        <v>0.38926836707304374</v>
      </c>
      <c r="BT188" s="67">
        <f t="shared" si="1769"/>
        <v>0.38091170577403521</v>
      </c>
      <c r="BU188" s="67">
        <f t="shared" si="1769"/>
        <v>0.37892488770199018</v>
      </c>
      <c r="BV188" s="67">
        <f t="shared" si="1769"/>
        <v>0.3858477374908349</v>
      </c>
      <c r="BW188" s="67"/>
      <c r="BX188" s="67">
        <f t="shared" ref="BX188:CB192" si="1770">BX168/BX$173</f>
        <v>0.39519425783591156</v>
      </c>
      <c r="BY188" s="67">
        <f t="shared" si="1770"/>
        <v>0.38961236129987137</v>
      </c>
      <c r="BZ188" s="67">
        <f t="shared" si="1770"/>
        <v>0.38124942376105803</v>
      </c>
      <c r="CA188" s="67">
        <f t="shared" si="1770"/>
        <v>0.37926358627365342</v>
      </c>
      <c r="CB188" s="67">
        <f t="shared" si="1770"/>
        <v>0.38619608285970319</v>
      </c>
      <c r="CC188" s="67"/>
      <c r="CD188" s="67">
        <f t="shared" ref="CD188:CH192" si="1771">CD168/CD$173</f>
        <v>0.39555567764044575</v>
      </c>
      <c r="CE188" s="67">
        <f t="shared" si="1771"/>
        <v>0.38994369881296648</v>
      </c>
      <c r="CF188" s="67">
        <f t="shared" si="1771"/>
        <v>0.38157471781529184</v>
      </c>
      <c r="CG188" s="67">
        <f t="shared" si="1771"/>
        <v>0.37958982946964109</v>
      </c>
      <c r="CH188" s="67">
        <f t="shared" si="1771"/>
        <v>0.38653162399932717</v>
      </c>
      <c r="CI188" s="67"/>
      <c r="CJ188" s="67">
        <f t="shared" ref="CJ188:CN192" si="1772">CJ168/CJ$173</f>
        <v>0.39590382064625174</v>
      </c>
      <c r="CK188" s="67">
        <f t="shared" si="1772"/>
        <v>0.39026282447220717</v>
      </c>
      <c r="CL188" s="67">
        <f t="shared" si="1772"/>
        <v>0.38188802447735137</v>
      </c>
      <c r="CM188" s="67">
        <f t="shared" si="1772"/>
        <v>0.37990405459266874</v>
      </c>
      <c r="CN188" s="67">
        <f t="shared" si="1772"/>
        <v>0.38685481002397559</v>
      </c>
      <c r="CO188" s="239"/>
    </row>
    <row r="189" spans="2:93" s="137" customFormat="1" ht="18" customHeight="1" x14ac:dyDescent="0.25">
      <c r="B189" s="31" t="s">
        <v>375</v>
      </c>
      <c r="D189" s="67">
        <f t="shared" si="1758"/>
        <v>0.15275411697898922</v>
      </c>
      <c r="E189" s="67">
        <f t="shared" si="1758"/>
        <v>0.16285403050108932</v>
      </c>
      <c r="F189" s="67">
        <f t="shared" si="1758"/>
        <v>0.16820040899795502</v>
      </c>
      <c r="G189" s="67">
        <f t="shared" si="1758"/>
        <v>0.16637781629116119</v>
      </c>
      <c r="H189" s="67">
        <f t="shared" si="1758"/>
        <v>0.16295636687444345</v>
      </c>
      <c r="J189" s="67">
        <f t="shared" si="1759"/>
        <v>0.15591165006496319</v>
      </c>
      <c r="K189" s="67">
        <f t="shared" si="1759"/>
        <v>0.15597783056215361</v>
      </c>
      <c r="L189" s="67">
        <f t="shared" si="1759"/>
        <v>0.16186504927975739</v>
      </c>
      <c r="M189" s="67">
        <f t="shared" si="1759"/>
        <v>0.16660707901322847</v>
      </c>
      <c r="N189" s="67">
        <f t="shared" si="1759"/>
        <v>0.16037000973709833</v>
      </c>
      <c r="O189" s="67"/>
      <c r="P189" s="67">
        <f t="shared" si="1760"/>
        <v>0.1537063953488372</v>
      </c>
      <c r="Q189" s="67">
        <f t="shared" si="1760"/>
        <v>0.15892160340546294</v>
      </c>
      <c r="R189" s="67">
        <f t="shared" si="1760"/>
        <v>0.1510822510822511</v>
      </c>
      <c r="S189" s="67">
        <f t="shared" si="1760"/>
        <v>0.13068893528183717</v>
      </c>
      <c r="T189" s="67">
        <f t="shared" si="1760"/>
        <v>0.14918256130790192</v>
      </c>
      <c r="U189" s="67"/>
      <c r="V189" s="67">
        <f t="shared" si="1761"/>
        <v>0.15355086372360843</v>
      </c>
      <c r="W189" s="67">
        <f t="shared" si="1761"/>
        <v>0.14786418400876233</v>
      </c>
      <c r="X189" s="67">
        <f t="shared" si="1761"/>
        <v>0.14812775330396477</v>
      </c>
      <c r="Y189" s="67">
        <f t="shared" si="1761"/>
        <v>0.18073394495412845</v>
      </c>
      <c r="Z189" s="67">
        <f t="shared" si="1761"/>
        <v>0.15848722489248671</v>
      </c>
      <c r="AA189" s="67"/>
      <c r="AB189" s="67">
        <f t="shared" si="1762"/>
        <v>0.18595041322314049</v>
      </c>
      <c r="AC189" s="67">
        <f t="shared" si="1762"/>
        <v>0.19120533961523362</v>
      </c>
      <c r="AD189" s="67">
        <f t="shared" si="1762"/>
        <v>0.17624683009298395</v>
      </c>
      <c r="AE189" s="67">
        <f t="shared" si="1762"/>
        <v>0.1526296432511953</v>
      </c>
      <c r="AF189" s="67">
        <f t="shared" si="1762"/>
        <v>0.17573904179408767</v>
      </c>
      <c r="AG189" s="67"/>
      <c r="AH189" s="67">
        <f t="shared" si="1763"/>
        <v>0.14098939929328622</v>
      </c>
      <c r="AI189" s="67">
        <f t="shared" si="1763"/>
        <v>0.15737926376224248</v>
      </c>
      <c r="AJ189" s="67">
        <f t="shared" si="1763"/>
        <v>0.15289925494007126</v>
      </c>
      <c r="AK189" s="67">
        <f t="shared" si="1763"/>
        <v>0.14639115250291035</v>
      </c>
      <c r="AL189" s="67">
        <f t="shared" si="1763"/>
        <v>0.14942342049699528</v>
      </c>
      <c r="AM189" s="67"/>
      <c r="AN189" s="67">
        <f t="shared" si="1764"/>
        <v>0.13831339363875109</v>
      </c>
      <c r="AO189" s="67">
        <f t="shared" si="1764"/>
        <v>0.15099635138927869</v>
      </c>
      <c r="AP189" s="67">
        <f t="shared" si="1764"/>
        <v>0.14891077290361085</v>
      </c>
      <c r="AQ189" s="67">
        <f t="shared" si="1764"/>
        <v>0.16317088217149908</v>
      </c>
      <c r="AR189" s="67">
        <f t="shared" si="1764"/>
        <v>0.15018773466833543</v>
      </c>
      <c r="AS189" s="67"/>
      <c r="AT189" s="67">
        <f t="shared" si="1765"/>
        <v>0.14907610397745066</v>
      </c>
      <c r="AU189" s="67">
        <f t="shared" si="1765"/>
        <v>0.16344354335620712</v>
      </c>
      <c r="AV189" s="264">
        <f t="shared" si="1765"/>
        <v>0.16446499339498019</v>
      </c>
      <c r="AW189" s="67">
        <f t="shared" si="1765"/>
        <v>0.16801511149744242</v>
      </c>
      <c r="AX189" s="67">
        <f t="shared" si="1765"/>
        <v>0.16109952408178385</v>
      </c>
      <c r="AY189" s="67"/>
      <c r="AZ189" s="67">
        <f t="shared" si="1766"/>
        <v>0.15645976057020272</v>
      </c>
      <c r="BA189" s="67">
        <f t="shared" si="1766"/>
        <v>0.16865143224975862</v>
      </c>
      <c r="BB189" s="67">
        <f t="shared" si="1766"/>
        <v>0.16724144611926997</v>
      </c>
      <c r="BC189" s="67">
        <f t="shared" si="1766"/>
        <v>0.17014175767010364</v>
      </c>
      <c r="BD189" s="67">
        <f t="shared" si="1766"/>
        <v>0.16577250087991829</v>
      </c>
      <c r="BE189" s="67"/>
      <c r="BF189" s="67">
        <f t="shared" si="1767"/>
        <v>0.15662650602409636</v>
      </c>
      <c r="BG189" s="67">
        <f t="shared" si="1767"/>
        <v>0.16881861663899286</v>
      </c>
      <c r="BH189" s="67">
        <f t="shared" si="1767"/>
        <v>0.16740777723519182</v>
      </c>
      <c r="BI189" s="67">
        <f t="shared" si="1767"/>
        <v>0.17031235062053868</v>
      </c>
      <c r="BJ189" s="67">
        <f t="shared" si="1767"/>
        <v>0.16594037524549718</v>
      </c>
      <c r="BK189" s="67"/>
      <c r="BL189" s="67">
        <f t="shared" si="1768"/>
        <v>0.1567871737079724</v>
      </c>
      <c r="BM189" s="67">
        <f t="shared" si="1768"/>
        <v>0.16897968374031366</v>
      </c>
      <c r="BN189" s="67">
        <f t="shared" si="1768"/>
        <v>0.16756802330777099</v>
      </c>
      <c r="BO189" s="67">
        <f t="shared" si="1768"/>
        <v>0.17047670522267611</v>
      </c>
      <c r="BP189" s="67">
        <f t="shared" si="1768"/>
        <v>0.16610211385875734</v>
      </c>
      <c r="BQ189" s="67"/>
      <c r="BR189" s="67">
        <f t="shared" si="1769"/>
        <v>0.15694197302562357</v>
      </c>
      <c r="BS189" s="67">
        <f t="shared" si="1769"/>
        <v>0.16913484605827109</v>
      </c>
      <c r="BT189" s="67">
        <f t="shared" si="1769"/>
        <v>0.16772239564586167</v>
      </c>
      <c r="BU189" s="67">
        <f t="shared" si="1769"/>
        <v>0.17063503791633972</v>
      </c>
      <c r="BV189" s="67">
        <f t="shared" si="1769"/>
        <v>0.16625792936512196</v>
      </c>
      <c r="BW189" s="67"/>
      <c r="BX189" s="67">
        <f t="shared" si="1770"/>
        <v>0.15709110706170812</v>
      </c>
      <c r="BY189" s="67">
        <f t="shared" si="1770"/>
        <v>0.16928430955317794</v>
      </c>
      <c r="BZ189" s="67">
        <f t="shared" si="1770"/>
        <v>0.1678710990565932</v>
      </c>
      <c r="CA189" s="67">
        <f t="shared" si="1770"/>
        <v>0.17078755849625854</v>
      </c>
      <c r="CB189" s="67">
        <f t="shared" si="1770"/>
        <v>0.16640802789908926</v>
      </c>
      <c r="CC189" s="67"/>
      <c r="CD189" s="67">
        <f t="shared" si="1771"/>
        <v>0.1572347727048255</v>
      </c>
      <c r="CE189" s="67">
        <f t="shared" si="1771"/>
        <v>0.16942827377943154</v>
      </c>
      <c r="CF189" s="67">
        <f t="shared" si="1771"/>
        <v>0.16801433198233007</v>
      </c>
      <c r="CG189" s="67">
        <f t="shared" si="1771"/>
        <v>0.1709344702508675</v>
      </c>
      <c r="CH189" s="67">
        <f t="shared" si="1771"/>
        <v>0.16655260921879186</v>
      </c>
      <c r="CI189" s="67"/>
      <c r="CJ189" s="67">
        <f t="shared" si="1772"/>
        <v>0.15737316077376493</v>
      </c>
      <c r="CK189" s="67">
        <f t="shared" si="1772"/>
        <v>0.16956693202606679</v>
      </c>
      <c r="CL189" s="67">
        <f t="shared" si="1772"/>
        <v>0.16815228663989476</v>
      </c>
      <c r="CM189" s="67">
        <f t="shared" si="1772"/>
        <v>0.17107597010353554</v>
      </c>
      <c r="CN189" s="67">
        <f t="shared" si="1772"/>
        <v>0.16669186684307447</v>
      </c>
      <c r="CO189" s="239"/>
    </row>
    <row r="190" spans="2:93" s="137" customFormat="1" ht="18" customHeight="1" x14ac:dyDescent="0.25">
      <c r="B190" s="31" t="s">
        <v>376</v>
      </c>
      <c r="D190" s="67">
        <f t="shared" si="1758"/>
        <v>0.23622941510505394</v>
      </c>
      <c r="E190" s="67">
        <f t="shared" si="1758"/>
        <v>0.21568627450980393</v>
      </c>
      <c r="F190" s="67">
        <f t="shared" si="1758"/>
        <v>0.24948875255623723</v>
      </c>
      <c r="G190" s="67">
        <f t="shared" si="1758"/>
        <v>0.20580589254766032</v>
      </c>
      <c r="H190" s="67">
        <f t="shared" si="1758"/>
        <v>0.22579824449815544</v>
      </c>
      <c r="J190" s="67">
        <f t="shared" si="1759"/>
        <v>0.22520571676050238</v>
      </c>
      <c r="K190" s="67">
        <f t="shared" si="1759"/>
        <v>0.22525732383214569</v>
      </c>
      <c r="L190" s="67">
        <f t="shared" si="1759"/>
        <v>0.21758908263836241</v>
      </c>
      <c r="M190" s="67">
        <f t="shared" si="1759"/>
        <v>0.19806936002860207</v>
      </c>
      <c r="N190" s="67">
        <f t="shared" si="1759"/>
        <v>0.21587147030185005</v>
      </c>
      <c r="O190" s="67"/>
      <c r="P190" s="67">
        <f t="shared" si="1760"/>
        <v>0.17005813953488372</v>
      </c>
      <c r="Q190" s="67">
        <f t="shared" si="1760"/>
        <v>0.15821213196168854</v>
      </c>
      <c r="R190" s="67">
        <f t="shared" si="1760"/>
        <v>0.17142857142857143</v>
      </c>
      <c r="S190" s="67">
        <f t="shared" si="1760"/>
        <v>0.21962421711899791</v>
      </c>
      <c r="T190" s="67">
        <f t="shared" si="1760"/>
        <v>0.17866874270144026</v>
      </c>
      <c r="U190" s="67"/>
      <c r="V190" s="67">
        <f t="shared" si="1761"/>
        <v>0.18953934740882916</v>
      </c>
      <c r="W190" s="67">
        <f t="shared" si="1761"/>
        <v>0.20755750273822562</v>
      </c>
      <c r="X190" s="67">
        <f t="shared" si="1761"/>
        <v>0.21145374449339208</v>
      </c>
      <c r="Y190" s="67">
        <f t="shared" si="1761"/>
        <v>0.1889908256880734</v>
      </c>
      <c r="Z190" s="67">
        <f t="shared" si="1761"/>
        <v>0.19858335441436883</v>
      </c>
      <c r="AA190" s="67"/>
      <c r="AB190" s="67">
        <f t="shared" si="1762"/>
        <v>0.21763085399449036</v>
      </c>
      <c r="AC190" s="67">
        <f t="shared" si="1762"/>
        <v>0.2061248527679623</v>
      </c>
      <c r="AD190" s="67">
        <f t="shared" si="1762"/>
        <v>0.19273034657650043</v>
      </c>
      <c r="AE190" s="67">
        <f t="shared" si="1762"/>
        <v>0.19566016917984552</v>
      </c>
      <c r="AF190" s="67">
        <f t="shared" si="1762"/>
        <v>0.20254841997961265</v>
      </c>
      <c r="AG190" s="67"/>
      <c r="AH190" s="67">
        <f t="shared" si="1763"/>
        <v>0.20989399293286218</v>
      </c>
      <c r="AI190" s="67">
        <f t="shared" si="1763"/>
        <v>0.1651469098277609</v>
      </c>
      <c r="AJ190" s="67">
        <f t="shared" si="1763"/>
        <v>0.17039196631033365</v>
      </c>
      <c r="AK190" s="67">
        <f t="shared" si="1763"/>
        <v>0.17345750873108265</v>
      </c>
      <c r="AL190" s="67">
        <f t="shared" si="1763"/>
        <v>0.17906447945427967</v>
      </c>
      <c r="AM190" s="67"/>
      <c r="AN190" s="67">
        <f t="shared" si="1764"/>
        <v>0.1747884447038226</v>
      </c>
      <c r="AO190" s="67">
        <f t="shared" si="1764"/>
        <v>0.14510244176255965</v>
      </c>
      <c r="AP190" s="67">
        <f t="shared" si="1764"/>
        <v>0.15159653834676215</v>
      </c>
      <c r="AQ190" s="67">
        <f t="shared" si="1764"/>
        <v>0.13726095003084515</v>
      </c>
      <c r="AR190" s="67">
        <f t="shared" si="1764"/>
        <v>0.15232275638665979</v>
      </c>
      <c r="AS190" s="67"/>
      <c r="AT190" s="67">
        <f t="shared" si="1765"/>
        <v>0.14563106796116504</v>
      </c>
      <c r="AU190" s="67">
        <f t="shared" si="1765"/>
        <v>0.13786650031191516</v>
      </c>
      <c r="AV190" s="264">
        <f t="shared" si="1765"/>
        <v>0.14597093791281374</v>
      </c>
      <c r="AW190" s="67">
        <f t="shared" si="1765"/>
        <v>0.13389722844438501</v>
      </c>
      <c r="AX190" s="67">
        <f t="shared" si="1765"/>
        <v>0.1408830658474324</v>
      </c>
      <c r="AY190" s="67"/>
      <c r="AZ190" s="67">
        <f t="shared" si="1766"/>
        <v>0.14479966784305584</v>
      </c>
      <c r="BA190" s="67">
        <f t="shared" si="1766"/>
        <v>0.14225941422594143</v>
      </c>
      <c r="BB190" s="67">
        <f t="shared" si="1766"/>
        <v>0.14843517908577775</v>
      </c>
      <c r="BC190" s="67">
        <f t="shared" si="1766"/>
        <v>0.13559202854815744</v>
      </c>
      <c r="BD190" s="67">
        <f t="shared" si="1766"/>
        <v>0.14275143758350181</v>
      </c>
      <c r="BE190" s="67"/>
      <c r="BF190" s="67">
        <f t="shared" si="1767"/>
        <v>0.14495398666759027</v>
      </c>
      <c r="BG190" s="67">
        <f t="shared" si="1767"/>
        <v>0.14240043617258558</v>
      </c>
      <c r="BH190" s="67">
        <f t="shared" si="1767"/>
        <v>0.14858280630111401</v>
      </c>
      <c r="BI190" s="67">
        <f t="shared" si="1767"/>
        <v>0.13572798014829521</v>
      </c>
      <c r="BJ190" s="67">
        <f t="shared" si="1767"/>
        <v>0.14289599899684</v>
      </c>
      <c r="BK190" s="67"/>
      <c r="BL190" s="67">
        <f t="shared" si="1768"/>
        <v>0.14510268066516244</v>
      </c>
      <c r="BM190" s="67">
        <f t="shared" si="1768"/>
        <v>0.14253629811682947</v>
      </c>
      <c r="BN190" s="67">
        <f t="shared" si="1768"/>
        <v>0.14872503273500959</v>
      </c>
      <c r="BO190" s="67">
        <f t="shared" si="1768"/>
        <v>0.13585896018641291</v>
      </c>
      <c r="BP190" s="67">
        <f t="shared" si="1768"/>
        <v>0.14303527673852268</v>
      </c>
      <c r="BQ190" s="67"/>
      <c r="BR190" s="67">
        <f t="shared" si="1769"/>
        <v>0.14524594363384224</v>
      </c>
      <c r="BS190" s="67">
        <f t="shared" si="1769"/>
        <v>0.14266717930869433</v>
      </c>
      <c r="BT190" s="67">
        <f t="shared" si="1769"/>
        <v>0.14886204593468044</v>
      </c>
      <c r="BU190" s="67">
        <f t="shared" si="1769"/>
        <v>0.13598514115111746</v>
      </c>
      <c r="BV190" s="67">
        <f t="shared" si="1769"/>
        <v>0.14316945392360036</v>
      </c>
      <c r="BW190" s="67"/>
      <c r="BX190" s="67">
        <f t="shared" si="1770"/>
        <v>0.14538396352349589</v>
      </c>
      <c r="BY190" s="67">
        <f t="shared" si="1770"/>
        <v>0.14279325347806232</v>
      </c>
      <c r="BZ190" s="67">
        <f t="shared" si="1770"/>
        <v>0.14899402767673534</v>
      </c>
      <c r="CA190" s="67">
        <f t="shared" si="1770"/>
        <v>0.13610669023530306</v>
      </c>
      <c r="CB190" s="67">
        <f t="shared" si="1770"/>
        <v>0.14329870806037984</v>
      </c>
      <c r="CC190" s="67"/>
      <c r="CD190" s="67">
        <f t="shared" si="1771"/>
        <v>0.14551692254968926</v>
      </c>
      <c r="CE190" s="67">
        <f t="shared" si="1771"/>
        <v>0.14291468895135256</v>
      </c>
      <c r="CF190" s="67">
        <f t="shared" si="1771"/>
        <v>0.14912115408873475</v>
      </c>
      <c r="CG190" s="67">
        <f t="shared" si="1771"/>
        <v>0.13622376944676637</v>
      </c>
      <c r="CH190" s="67">
        <f t="shared" si="1771"/>
        <v>0.14342321116629736</v>
      </c>
      <c r="CI190" s="67"/>
      <c r="CJ190" s="67">
        <f t="shared" si="1772"/>
        <v>0.14564499731052769</v>
      </c>
      <c r="CK190" s="67">
        <f t="shared" si="1772"/>
        <v>0.14303164877007926</v>
      </c>
      <c r="CL190" s="67">
        <f t="shared" si="1772"/>
        <v>0.149243595772758</v>
      </c>
      <c r="CM190" s="67">
        <f t="shared" si="1772"/>
        <v>0.1363365357207561</v>
      </c>
      <c r="CN190" s="67">
        <f t="shared" si="1772"/>
        <v>0.14354312988596007</v>
      </c>
      <c r="CO190" s="239"/>
    </row>
    <row r="191" spans="2:93" s="137" customFormat="1" ht="18" customHeight="1" x14ac:dyDescent="0.25">
      <c r="B191" s="31" t="s">
        <v>377</v>
      </c>
      <c r="D191" s="67">
        <f t="shared" si="1758"/>
        <v>0.21976149914821125</v>
      </c>
      <c r="E191" s="67">
        <f t="shared" si="1758"/>
        <v>0.24618736383442266</v>
      </c>
      <c r="F191" s="67">
        <f t="shared" si="1758"/>
        <v>0.24130879345603273</v>
      </c>
      <c r="G191" s="67">
        <f t="shared" si="1758"/>
        <v>0.24046793760831889</v>
      </c>
      <c r="H191" s="67">
        <f t="shared" si="1758"/>
        <v>0.23737437984989188</v>
      </c>
      <c r="J191" s="67">
        <f t="shared" si="1759"/>
        <v>0.22953659592897357</v>
      </c>
      <c r="K191" s="67">
        <f t="shared" si="1759"/>
        <v>0.26286619160728425</v>
      </c>
      <c r="L191" s="67">
        <f t="shared" si="1759"/>
        <v>0.26080363912054588</v>
      </c>
      <c r="M191" s="67">
        <f t="shared" si="1759"/>
        <v>0.2806578476939578</v>
      </c>
      <c r="N191" s="67">
        <f t="shared" si="1759"/>
        <v>0.25968841285296984</v>
      </c>
      <c r="O191" s="67"/>
      <c r="P191" s="67">
        <f t="shared" si="1760"/>
        <v>0.29251453488372092</v>
      </c>
      <c r="Q191" s="67">
        <f t="shared" si="1760"/>
        <v>0.26924441291238027</v>
      </c>
      <c r="R191" s="67">
        <f t="shared" si="1760"/>
        <v>0.2792207792207792</v>
      </c>
      <c r="S191" s="67">
        <f t="shared" si="1760"/>
        <v>0.25177453027139873</v>
      </c>
      <c r="T191" s="67">
        <f t="shared" si="1760"/>
        <v>0.27364733359283766</v>
      </c>
      <c r="U191" s="67"/>
      <c r="V191" s="67">
        <f t="shared" si="1761"/>
        <v>0.27255278310940501</v>
      </c>
      <c r="W191" s="67">
        <f t="shared" si="1761"/>
        <v>0.30339539978094193</v>
      </c>
      <c r="X191" s="67">
        <f t="shared" si="1761"/>
        <v>0.31057268722466963</v>
      </c>
      <c r="Y191" s="67">
        <f t="shared" si="1761"/>
        <v>0.29862385321100915</v>
      </c>
      <c r="Z191" s="67">
        <f t="shared" si="1761"/>
        <v>0.29559827978750314</v>
      </c>
      <c r="AA191" s="67"/>
      <c r="AB191" s="67">
        <f t="shared" si="1762"/>
        <v>0.25757575757575757</v>
      </c>
      <c r="AC191" s="67">
        <f t="shared" si="1762"/>
        <v>0.25912838633686691</v>
      </c>
      <c r="AD191" s="67">
        <f t="shared" si="1762"/>
        <v>0.31445477599323751</v>
      </c>
      <c r="AE191" s="67">
        <f t="shared" si="1762"/>
        <v>0.30856932695844058</v>
      </c>
      <c r="AF191" s="67">
        <f t="shared" si="1762"/>
        <v>0.28583078491335373</v>
      </c>
      <c r="AG191" s="67"/>
      <c r="AH191" s="67">
        <f t="shared" si="1763"/>
        <v>0.26431095406360422</v>
      </c>
      <c r="AI191" s="67">
        <f t="shared" si="1763"/>
        <v>0.30834177642688282</v>
      </c>
      <c r="AJ191" s="67">
        <f t="shared" si="1763"/>
        <v>0.28927761580822803</v>
      </c>
      <c r="AK191" s="67">
        <f t="shared" si="1763"/>
        <v>0.25698486612339932</v>
      </c>
      <c r="AL191" s="67">
        <f t="shared" si="1763"/>
        <v>0.2791132044827026</v>
      </c>
      <c r="AM191" s="67"/>
      <c r="AN191" s="67">
        <f t="shared" si="1764"/>
        <v>0.28538079953311934</v>
      </c>
      <c r="AO191" s="67">
        <f t="shared" si="1764"/>
        <v>0.30199270277855739</v>
      </c>
      <c r="AP191" s="67">
        <f t="shared" si="1764"/>
        <v>0.26439868695911667</v>
      </c>
      <c r="AQ191" s="67">
        <f t="shared" si="1764"/>
        <v>0.28963602714373843</v>
      </c>
      <c r="AR191" s="67">
        <f t="shared" si="1764"/>
        <v>0.28557756018552605</v>
      </c>
      <c r="AS191" s="67"/>
      <c r="AT191" s="67">
        <f t="shared" si="1765"/>
        <v>0.27904791731913559</v>
      </c>
      <c r="AU191" s="67">
        <f t="shared" si="1765"/>
        <v>0.29631940112289457</v>
      </c>
      <c r="AV191" s="264">
        <f t="shared" si="1765"/>
        <v>0.28500660501981506</v>
      </c>
      <c r="AW191" s="67">
        <f t="shared" si="1765"/>
        <v>0.29823476313062086</v>
      </c>
      <c r="AX191" s="67">
        <f t="shared" si="1765"/>
        <v>0.28958133691949661</v>
      </c>
      <c r="AY191" s="67"/>
      <c r="AZ191" s="67">
        <f t="shared" si="1766"/>
        <v>0.27745484741540377</v>
      </c>
      <c r="BA191" s="67">
        <f t="shared" si="1766"/>
        <v>0.27518506598004505</v>
      </c>
      <c r="BB191" s="67">
        <f t="shared" si="1766"/>
        <v>0.27867116157114991</v>
      </c>
      <c r="BC191" s="67">
        <f t="shared" si="1766"/>
        <v>0.2903939044136748</v>
      </c>
      <c r="BD191" s="67">
        <f t="shared" si="1766"/>
        <v>0.28045187278345651</v>
      </c>
      <c r="BE191" s="67"/>
      <c r="BF191" s="67">
        <f t="shared" si="1767"/>
        <v>0.27775054219531814</v>
      </c>
      <c r="BG191" s="67">
        <f t="shared" si="1767"/>
        <v>0.27545785730217343</v>
      </c>
      <c r="BH191" s="67">
        <f t="shared" si="1767"/>
        <v>0.27894831586725849</v>
      </c>
      <c r="BI191" s="67">
        <f t="shared" si="1767"/>
        <v>0.2906850684031661</v>
      </c>
      <c r="BJ191" s="67">
        <f t="shared" si="1767"/>
        <v>0.2807358805650188</v>
      </c>
      <c r="BK191" s="67"/>
      <c r="BL191" s="67">
        <f t="shared" si="1768"/>
        <v>0.27803545908098865</v>
      </c>
      <c r="BM191" s="67">
        <f t="shared" si="1768"/>
        <v>0.27572066717169502</v>
      </c>
      <c r="BN191" s="67">
        <f t="shared" si="1768"/>
        <v>0.27921533077426308</v>
      </c>
      <c r="BO191" s="67">
        <f t="shared" si="1768"/>
        <v>0.2909655849281898</v>
      </c>
      <c r="BP191" s="67">
        <f t="shared" si="1768"/>
        <v>0.28100950795647056</v>
      </c>
      <c r="BQ191" s="67"/>
      <c r="BR191" s="67">
        <f t="shared" si="1769"/>
        <v>0.27830996941452352</v>
      </c>
      <c r="BS191" s="67">
        <f t="shared" si="1769"/>
        <v>0.27597384232790412</v>
      </c>
      <c r="BT191" s="67">
        <f t="shared" si="1769"/>
        <v>0.27947255839198837</v>
      </c>
      <c r="BU191" s="67">
        <f t="shared" si="1769"/>
        <v>0.29123582340308823</v>
      </c>
      <c r="BV191" s="67">
        <f t="shared" si="1769"/>
        <v>0.28127311470871658</v>
      </c>
      <c r="BW191" s="67"/>
      <c r="BX191" s="67">
        <f t="shared" si="1770"/>
        <v>0.27857443333211795</v>
      </c>
      <c r="BY191" s="67">
        <f t="shared" si="1770"/>
        <v>0.27621771883199836</v>
      </c>
      <c r="BZ191" s="67">
        <f t="shared" si="1770"/>
        <v>0.27972033998656148</v>
      </c>
      <c r="CA191" s="67">
        <f t="shared" si="1770"/>
        <v>0.29149614190051398</v>
      </c>
      <c r="CB191" s="67">
        <f t="shared" si="1770"/>
        <v>0.28152704955755908</v>
      </c>
      <c r="CC191" s="67"/>
      <c r="CD191" s="67">
        <f t="shared" si="1771"/>
        <v>0.27882919998230776</v>
      </c>
      <c r="CE191" s="67">
        <f t="shared" si="1771"/>
        <v>0.27645262229277473</v>
      </c>
      <c r="CF191" s="67">
        <f t="shared" si="1771"/>
        <v>0.27995900621862613</v>
      </c>
      <c r="CG191" s="67">
        <f t="shared" si="1771"/>
        <v>0.29174688738833171</v>
      </c>
      <c r="CH191" s="67">
        <f t="shared" si="1771"/>
        <v>0.28177165045134345</v>
      </c>
      <c r="CI191" s="67"/>
      <c r="CJ191" s="67">
        <f t="shared" si="1772"/>
        <v>0.27907460774984977</v>
      </c>
      <c r="CK191" s="67">
        <f t="shared" si="1772"/>
        <v>0.27667886809596776</v>
      </c>
      <c r="CL191" s="67">
        <f t="shared" si="1772"/>
        <v>0.28018887737532661</v>
      </c>
      <c r="CM191" s="67">
        <f t="shared" si="1772"/>
        <v>0.29198839597066278</v>
      </c>
      <c r="CN191" s="67">
        <f t="shared" si="1772"/>
        <v>0.28200724478286487</v>
      </c>
      <c r="CO191" s="239"/>
    </row>
    <row r="192" spans="2:93" s="137" customFormat="1" ht="18" customHeight="1" x14ac:dyDescent="0.25">
      <c r="B192" s="31" t="s">
        <v>378</v>
      </c>
      <c r="C192" s="31"/>
      <c r="D192" s="390">
        <f t="shared" si="1758"/>
        <v>5.1675184554230549E-2</v>
      </c>
      <c r="E192" s="390">
        <f t="shared" si="1758"/>
        <v>4.1938997821350764E-2</v>
      </c>
      <c r="F192" s="390">
        <f t="shared" si="1758"/>
        <v>4.396728016359918E-2</v>
      </c>
      <c r="G192" s="390">
        <f t="shared" si="1758"/>
        <v>4.4627383015597918E-2</v>
      </c>
      <c r="H192" s="390">
        <f t="shared" si="1758"/>
        <v>4.541406945681211E-2</v>
      </c>
      <c r="I192" s="31"/>
      <c r="J192" s="390">
        <f t="shared" si="1759"/>
        <v>4.3741879601559119E-2</v>
      </c>
      <c r="K192" s="390">
        <f t="shared" si="1759"/>
        <v>3.7608867775138562E-2</v>
      </c>
      <c r="L192" s="390">
        <f t="shared" si="1759"/>
        <v>3.7907505686125852E-2</v>
      </c>
      <c r="M192" s="390">
        <f t="shared" si="1759"/>
        <v>3.0747229174115123E-2</v>
      </c>
      <c r="N192" s="390">
        <f t="shared" si="1759"/>
        <v>3.7195715676728337E-2</v>
      </c>
      <c r="O192" s="390"/>
      <c r="P192" s="390">
        <f t="shared" si="1760"/>
        <v>3.8154069767441859E-2</v>
      </c>
      <c r="Q192" s="390">
        <f t="shared" si="1760"/>
        <v>3.8311457963816957E-2</v>
      </c>
      <c r="R192" s="390">
        <f t="shared" si="1760"/>
        <v>5.670995670995671E-2</v>
      </c>
      <c r="S192" s="390">
        <f t="shared" si="1760"/>
        <v>4.9686847599164925E-2</v>
      </c>
      <c r="T192" s="390">
        <f t="shared" si="1760"/>
        <v>4.5056442195406776E-2</v>
      </c>
      <c r="U192" s="390"/>
      <c r="V192" s="390">
        <f t="shared" si="1761"/>
        <v>5.0383877159309018E-2</v>
      </c>
      <c r="W192" s="390">
        <f t="shared" si="1761"/>
        <v>6.3526834611171965E-2</v>
      </c>
      <c r="X192" s="390">
        <f t="shared" si="1761"/>
        <v>6.1674008810572688E-2</v>
      </c>
      <c r="Y192" s="390">
        <f t="shared" si="1761"/>
        <v>5.8256880733944957E-2</v>
      </c>
      <c r="Z192" s="390">
        <f t="shared" si="1761"/>
        <v>5.8183657981280043E-2</v>
      </c>
      <c r="AA192" s="390"/>
      <c r="AB192" s="390">
        <f t="shared" si="1762"/>
        <v>3.71900826446281E-2</v>
      </c>
      <c r="AC192" s="390">
        <f t="shared" si="1762"/>
        <v>2.98390263054574E-2</v>
      </c>
      <c r="AD192" s="390">
        <f t="shared" si="1762"/>
        <v>3.1699070160608619E-2</v>
      </c>
      <c r="AE192" s="390">
        <f t="shared" si="1762"/>
        <v>2.7951452739977935E-2</v>
      </c>
      <c r="AF192" s="390">
        <f t="shared" si="1762"/>
        <v>3.1396534148827725E-2</v>
      </c>
      <c r="AG192" s="390"/>
      <c r="AH192" s="390">
        <f t="shared" si="1763"/>
        <v>2.5088339222614841E-2</v>
      </c>
      <c r="AI192" s="390">
        <f t="shared" si="1763"/>
        <v>2.2289766970618033E-2</v>
      </c>
      <c r="AJ192" s="390">
        <f t="shared" si="1763"/>
        <v>2.3971493359248461E-2</v>
      </c>
      <c r="AK192" s="390">
        <f t="shared" si="1763"/>
        <v>2.6193247962747381E-2</v>
      </c>
      <c r="AL192" s="390">
        <f t="shared" si="1763"/>
        <v>2.4443722592171511E-2</v>
      </c>
      <c r="AM192" s="390"/>
      <c r="AN192" s="390">
        <f t="shared" si="1764"/>
        <v>1.9842427779398892E-2</v>
      </c>
      <c r="AO192" s="390">
        <f t="shared" si="1764"/>
        <v>2.5259612685938817E-2</v>
      </c>
      <c r="AP192" s="390">
        <f t="shared" si="1764"/>
        <v>2.7454491196657715E-2</v>
      </c>
      <c r="AQ192" s="390">
        <f t="shared" si="1764"/>
        <v>2.7452190006169032E-2</v>
      </c>
      <c r="AR192" s="390">
        <f t="shared" si="1764"/>
        <v>2.4957667672826329E-2</v>
      </c>
      <c r="AS192" s="390"/>
      <c r="AT192" s="390">
        <f t="shared" si="1765"/>
        <v>3.0378953961791418E-2</v>
      </c>
      <c r="AU192" s="390">
        <f t="shared" si="1765"/>
        <v>2.6200873362445413E-2</v>
      </c>
      <c r="AV192" s="392">
        <f t="shared" si="1765"/>
        <v>3.1043593130779392E-2</v>
      </c>
      <c r="AW192" s="390">
        <f t="shared" si="1765"/>
        <v>2.6746013172411487E-2</v>
      </c>
      <c r="AX192" s="390">
        <f t="shared" si="1765"/>
        <v>2.8587304015912262E-2</v>
      </c>
      <c r="AY192" s="390"/>
      <c r="AZ192" s="390">
        <f t="shared" si="1766"/>
        <v>2.7679745346342811E-2</v>
      </c>
      <c r="BA192" s="390">
        <f t="shared" si="1766"/>
        <v>2.5748310267138717E-2</v>
      </c>
      <c r="BB192" s="390">
        <f t="shared" si="1766"/>
        <v>2.5832784386665114E-2</v>
      </c>
      <c r="BC192" s="390">
        <f t="shared" si="1766"/>
        <v>2.6042836559715246E-2</v>
      </c>
      <c r="BD192" s="390">
        <f t="shared" si="1766"/>
        <v>2.6303022989992847E-2</v>
      </c>
      <c r="BE192" s="390"/>
      <c r="BF192" s="390">
        <f t="shared" si="1767"/>
        <v>2.6643504580018431E-2</v>
      </c>
      <c r="BG192" s="390">
        <f t="shared" si="1767"/>
        <v>2.4782533270550917E-2</v>
      </c>
      <c r="BH192" s="390">
        <f t="shared" si="1767"/>
        <v>2.4863919767114582E-2</v>
      </c>
      <c r="BI192" s="390">
        <f t="shared" si="1767"/>
        <v>2.506629659454809E-2</v>
      </c>
      <c r="BJ192" s="390">
        <f t="shared" si="1767"/>
        <v>2.5316980302490574E-2</v>
      </c>
      <c r="BK192" s="390"/>
      <c r="BL192" s="390">
        <f t="shared" si="1768"/>
        <v>2.5645034157133893E-2</v>
      </c>
      <c r="BM192" s="390">
        <f t="shared" si="1768"/>
        <v>2.3852094118455222E-2</v>
      </c>
      <c r="BN192" s="390">
        <f t="shared" si="1768"/>
        <v>2.3930500008078934E-2</v>
      </c>
      <c r="BO192" s="390">
        <f t="shared" si="1768"/>
        <v>2.4125467345525665E-2</v>
      </c>
      <c r="BP192" s="390">
        <f t="shared" si="1768"/>
        <v>2.4366977147797932E-2</v>
      </c>
      <c r="BQ192" s="390"/>
      <c r="BR192" s="390">
        <f t="shared" si="1769"/>
        <v>2.4683032736383594E-2</v>
      </c>
      <c r="BS192" s="390">
        <f t="shared" si="1769"/>
        <v>2.2955765232086828E-2</v>
      </c>
      <c r="BT192" s="390">
        <f t="shared" si="1769"/>
        <v>2.3031294253434278E-2</v>
      </c>
      <c r="BU192" s="390">
        <f t="shared" si="1769"/>
        <v>2.3219109827464474E-2</v>
      </c>
      <c r="BV192" s="390">
        <f t="shared" si="1769"/>
        <v>2.3451764511726196E-2</v>
      </c>
      <c r="BW192" s="390"/>
      <c r="BX192" s="390">
        <f t="shared" si="1770"/>
        <v>2.3756238246766464E-2</v>
      </c>
      <c r="BY192" s="390">
        <f t="shared" si="1770"/>
        <v>2.2092356836890068E-2</v>
      </c>
      <c r="BZ192" s="390">
        <f t="shared" si="1770"/>
        <v>2.2165109519051915E-2</v>
      </c>
      <c r="CA192" s="390">
        <f t="shared" si="1770"/>
        <v>2.2346023094270952E-2</v>
      </c>
      <c r="CB192" s="390">
        <f t="shared" si="1770"/>
        <v>2.2570131623268555E-2</v>
      </c>
      <c r="CC192" s="390"/>
      <c r="CD192" s="390">
        <f t="shared" si="1771"/>
        <v>2.2863427122731803E-2</v>
      </c>
      <c r="CE192" s="390">
        <f t="shared" si="1771"/>
        <v>2.1260716163474729E-2</v>
      </c>
      <c r="CF192" s="390">
        <f t="shared" si="1771"/>
        <v>2.1330789895017261E-2</v>
      </c>
      <c r="CG192" s="390">
        <f t="shared" si="1771"/>
        <v>2.1505043444393288E-2</v>
      </c>
      <c r="CH192" s="390">
        <f t="shared" si="1771"/>
        <v>2.1720905164240283E-2</v>
      </c>
      <c r="CI192" s="390"/>
      <c r="CJ192" s="390">
        <f t="shared" si="1772"/>
        <v>2.2003413519605837E-2</v>
      </c>
      <c r="CK192" s="390">
        <f t="shared" si="1772"/>
        <v>2.045972663567891E-2</v>
      </c>
      <c r="CL192" s="390">
        <f t="shared" si="1772"/>
        <v>2.0527215734669133E-2</v>
      </c>
      <c r="CM192" s="390">
        <f t="shared" si="1772"/>
        <v>2.0695043612376923E-2</v>
      </c>
      <c r="CN192" s="390">
        <f t="shared" si="1772"/>
        <v>2.0902948464124972E-2</v>
      </c>
      <c r="CO192" s="239"/>
    </row>
    <row r="193" spans="1:93" s="137" customFormat="1" ht="18" customHeight="1" x14ac:dyDescent="0.25">
      <c r="B193" s="155" t="s">
        <v>384</v>
      </c>
      <c r="C193" s="155"/>
      <c r="D193" s="67">
        <f>SUM(D188:D192)</f>
        <v>1</v>
      </c>
      <c r="E193" s="67">
        <f t="shared" ref="E193" si="1773">SUM(E188:E192)</f>
        <v>1</v>
      </c>
      <c r="F193" s="67">
        <f t="shared" ref="F193" si="1774">SUM(F188:F192)</f>
        <v>1</v>
      </c>
      <c r="G193" s="67">
        <f t="shared" ref="G193" si="1775">SUM(G188:G192)</f>
        <v>1</v>
      </c>
      <c r="H193" s="67">
        <f t="shared" ref="H193" si="1776">SUM(H188:H192)</f>
        <v>1</v>
      </c>
      <c r="I193" s="155"/>
      <c r="J193" s="67">
        <f>SUM(J188:J192)</f>
        <v>1</v>
      </c>
      <c r="K193" s="67">
        <f t="shared" ref="K193" si="1777">SUM(K188:K192)</f>
        <v>1</v>
      </c>
      <c r="L193" s="67">
        <f t="shared" ref="L193" si="1778">SUM(L188:L192)</f>
        <v>1</v>
      </c>
      <c r="M193" s="67">
        <f t="shared" ref="M193" si="1779">SUM(M188:M192)</f>
        <v>1</v>
      </c>
      <c r="N193" s="67">
        <f t="shared" ref="N193" si="1780">SUM(N188:N192)</f>
        <v>1</v>
      </c>
      <c r="O193" s="67"/>
      <c r="P193" s="67">
        <f>SUM(P188:P192)</f>
        <v>0.99999999999999989</v>
      </c>
      <c r="Q193" s="67">
        <f t="shared" ref="Q193" si="1781">SUM(Q188:Q192)</f>
        <v>1</v>
      </c>
      <c r="R193" s="67">
        <f t="shared" ref="R193" si="1782">SUM(R188:R192)</f>
        <v>1</v>
      </c>
      <c r="S193" s="67">
        <f t="shared" ref="S193" si="1783">SUM(S188:S192)</f>
        <v>1</v>
      </c>
      <c r="T193" s="67">
        <f t="shared" ref="T193" si="1784">SUM(T188:T192)</f>
        <v>1</v>
      </c>
      <c r="U193" s="67"/>
      <c r="V193" s="67">
        <f>SUM(V188:V192)</f>
        <v>1</v>
      </c>
      <c r="W193" s="67">
        <f t="shared" ref="W193" si="1785">SUM(W188:W192)</f>
        <v>1</v>
      </c>
      <c r="X193" s="67">
        <f t="shared" ref="X193" si="1786">SUM(X188:X192)</f>
        <v>1</v>
      </c>
      <c r="Y193" s="67">
        <f t="shared" ref="Y193" si="1787">SUM(Y188:Y192)</f>
        <v>1</v>
      </c>
      <c r="Z193" s="67">
        <f t="shared" ref="Z193" si="1788">SUM(Z188:Z192)</f>
        <v>1</v>
      </c>
      <c r="AA193" s="67"/>
      <c r="AB193" s="67">
        <f>SUM(AB188:AB192)</f>
        <v>1</v>
      </c>
      <c r="AC193" s="67">
        <f t="shared" ref="AC193" si="1789">SUM(AC188:AC192)</f>
        <v>1</v>
      </c>
      <c r="AD193" s="67">
        <f t="shared" ref="AD193" si="1790">SUM(AD188:AD192)</f>
        <v>1</v>
      </c>
      <c r="AE193" s="67">
        <f t="shared" ref="AE193" si="1791">SUM(AE188:AE192)</f>
        <v>0.99999999999999989</v>
      </c>
      <c r="AF193" s="67">
        <f t="shared" ref="AF193" si="1792">SUM(AF188:AF192)</f>
        <v>0.99999999999999989</v>
      </c>
      <c r="AG193" s="67"/>
      <c r="AH193" s="67">
        <f>SUM(AH188:AH192)</f>
        <v>1</v>
      </c>
      <c r="AI193" s="67">
        <f t="shared" ref="AI193" si="1793">SUM(AI188:AI192)</f>
        <v>0.99999999999999989</v>
      </c>
      <c r="AJ193" s="67">
        <f t="shared" ref="AJ193" si="1794">SUM(AJ188:AJ192)</f>
        <v>0.99999999999999989</v>
      </c>
      <c r="AK193" s="67">
        <f t="shared" ref="AK193" si="1795">SUM(AK188:AK192)</f>
        <v>1</v>
      </c>
      <c r="AL193" s="67">
        <f t="shared" ref="AL193" si="1796">SUM(AL188:AL192)</f>
        <v>1</v>
      </c>
      <c r="AM193" s="67"/>
      <c r="AN193" s="67">
        <f>SUM(AN188:AN192)</f>
        <v>1</v>
      </c>
      <c r="AO193" s="67">
        <f t="shared" ref="AO193" si="1797">SUM(AO188:AO192)</f>
        <v>1</v>
      </c>
      <c r="AP193" s="67">
        <f t="shared" ref="AP193" si="1798">SUM(AP188:AP192)</f>
        <v>0.99999999999999978</v>
      </c>
      <c r="AQ193" s="67">
        <f t="shared" ref="AQ193" si="1799">SUM(AQ188:AQ192)</f>
        <v>1</v>
      </c>
      <c r="AR193" s="67">
        <f t="shared" ref="AR193" si="1800">SUM(AR188:AR192)</f>
        <v>1</v>
      </c>
      <c r="AS193" s="67"/>
      <c r="AT193" s="67">
        <f>SUM(AT188:AT192)</f>
        <v>1</v>
      </c>
      <c r="AU193" s="67">
        <f t="shared" ref="AU193" si="1801">SUM(AU188:AU192)</f>
        <v>1</v>
      </c>
      <c r="AV193" s="264">
        <f t="shared" ref="AV193" si="1802">SUM(AV188:AV192)</f>
        <v>0.99999999999999989</v>
      </c>
      <c r="AW193" s="67">
        <f t="shared" ref="AW193:AX193" si="1803">SUM(AW188:AW192)</f>
        <v>1.0000000000000002</v>
      </c>
      <c r="AX193" s="67">
        <f t="shared" si="1803"/>
        <v>1.0000000000000002</v>
      </c>
      <c r="AY193" s="67"/>
      <c r="AZ193" s="67">
        <f>SUM(AZ188:AZ192)</f>
        <v>0.99999999999999989</v>
      </c>
      <c r="BA193" s="67">
        <f t="shared" ref="BA193" si="1804">SUM(BA188:BA192)</f>
        <v>1</v>
      </c>
      <c r="BB193" s="67">
        <f t="shared" ref="BB193" si="1805">SUM(BB188:BB192)</f>
        <v>1</v>
      </c>
      <c r="BC193" s="67">
        <f t="shared" ref="BC193:BD193" si="1806">SUM(BC188:BC192)</f>
        <v>1</v>
      </c>
      <c r="BD193" s="67">
        <f t="shared" si="1806"/>
        <v>0.99999999999999989</v>
      </c>
      <c r="BE193" s="67"/>
      <c r="BF193" s="67">
        <f>SUM(BF188:BF192)</f>
        <v>0.99999999999999989</v>
      </c>
      <c r="BG193" s="67">
        <f t="shared" ref="BG193" si="1807">SUM(BG188:BG192)</f>
        <v>1</v>
      </c>
      <c r="BH193" s="67">
        <f t="shared" ref="BH193" si="1808">SUM(BH188:BH192)</f>
        <v>1</v>
      </c>
      <c r="BI193" s="67">
        <f t="shared" ref="BI193" si="1809">SUM(BI188:BI192)</f>
        <v>0.99999999999999989</v>
      </c>
      <c r="BJ193" s="67">
        <f t="shared" ref="BJ193" si="1810">SUM(BJ188:BJ192)</f>
        <v>1.0000000000000002</v>
      </c>
      <c r="BK193" s="67"/>
      <c r="BL193" s="67">
        <f>SUM(BL188:BL192)</f>
        <v>1.0000000000000002</v>
      </c>
      <c r="BM193" s="67">
        <f t="shared" ref="BM193" si="1811">SUM(BM188:BM192)</f>
        <v>1</v>
      </c>
      <c r="BN193" s="67">
        <f t="shared" ref="BN193" si="1812">SUM(BN188:BN192)</f>
        <v>1</v>
      </c>
      <c r="BO193" s="67">
        <f t="shared" ref="BO193" si="1813">SUM(BO188:BO192)</f>
        <v>0.99999999999999989</v>
      </c>
      <c r="BP193" s="67">
        <f t="shared" ref="BP193" si="1814">SUM(BP188:BP192)</f>
        <v>1</v>
      </c>
      <c r="BQ193" s="67"/>
      <c r="BR193" s="67">
        <f>SUM(BR188:BR192)</f>
        <v>1</v>
      </c>
      <c r="BS193" s="67">
        <f t="shared" ref="BS193" si="1815">SUM(BS188:BS192)</f>
        <v>1</v>
      </c>
      <c r="BT193" s="67">
        <f t="shared" ref="BT193" si="1816">SUM(BT188:BT192)</f>
        <v>1</v>
      </c>
      <c r="BU193" s="67">
        <f t="shared" ref="BU193" si="1817">SUM(BU188:BU192)</f>
        <v>1.0000000000000002</v>
      </c>
      <c r="BV193" s="67">
        <f t="shared" ref="BV193" si="1818">SUM(BV188:BV192)</f>
        <v>0.99999999999999989</v>
      </c>
      <c r="BW193" s="67"/>
      <c r="BX193" s="67">
        <f>SUM(BX188:BX192)</f>
        <v>1</v>
      </c>
      <c r="BY193" s="67">
        <f t="shared" ref="BY193" si="1819">SUM(BY188:BY192)</f>
        <v>1</v>
      </c>
      <c r="BZ193" s="67">
        <f t="shared" ref="BZ193" si="1820">SUM(BZ188:BZ192)</f>
        <v>0.99999999999999989</v>
      </c>
      <c r="CA193" s="67">
        <f t="shared" ref="CA193" si="1821">SUM(CA188:CA192)</f>
        <v>0.99999999999999989</v>
      </c>
      <c r="CB193" s="67">
        <f t="shared" ref="CB193" si="1822">SUM(CB188:CB192)</f>
        <v>0.99999999999999989</v>
      </c>
      <c r="CC193" s="67"/>
      <c r="CD193" s="67">
        <f>SUM(CD188:CD192)</f>
        <v>1</v>
      </c>
      <c r="CE193" s="67">
        <f t="shared" ref="CE193" si="1823">SUM(CE188:CE192)</f>
        <v>1.0000000000000002</v>
      </c>
      <c r="CF193" s="67">
        <f t="shared" ref="CF193" si="1824">SUM(CF188:CF192)</f>
        <v>1</v>
      </c>
      <c r="CG193" s="67">
        <f t="shared" ref="CG193" si="1825">SUM(CG188:CG192)</f>
        <v>1</v>
      </c>
      <c r="CH193" s="67">
        <f t="shared" ref="CH193" si="1826">SUM(CH188:CH192)</f>
        <v>1</v>
      </c>
      <c r="CI193" s="67"/>
      <c r="CJ193" s="67">
        <f>SUM(CJ188:CJ192)</f>
        <v>1</v>
      </c>
      <c r="CK193" s="67">
        <f t="shared" ref="CK193" si="1827">SUM(CK188:CK192)</f>
        <v>0.99999999999999978</v>
      </c>
      <c r="CL193" s="67">
        <f t="shared" ref="CL193" si="1828">SUM(CL188:CL192)</f>
        <v>0.99999999999999989</v>
      </c>
      <c r="CM193" s="67">
        <f t="shared" ref="CM193" si="1829">SUM(CM188:CM192)</f>
        <v>1</v>
      </c>
      <c r="CN193" s="67">
        <f t="shared" ref="CN193" si="1830">SUM(CN188:CN192)</f>
        <v>1</v>
      </c>
      <c r="CO193" s="239"/>
    </row>
    <row r="194" spans="1:93" s="137" customFormat="1" ht="18" customHeight="1" thickBot="1" x14ac:dyDescent="0.3">
      <c r="B194" s="136"/>
      <c r="D194" s="387"/>
      <c r="E194" s="387"/>
      <c r="F194" s="387"/>
      <c r="G194" s="387"/>
      <c r="H194" s="387"/>
      <c r="I194" s="387"/>
      <c r="J194" s="388"/>
      <c r="K194" s="388"/>
      <c r="L194" s="388"/>
      <c r="M194" s="388"/>
      <c r="N194" s="388"/>
      <c r="O194" s="389"/>
      <c r="P194" s="388"/>
      <c r="Q194" s="388"/>
      <c r="R194" s="388"/>
      <c r="S194" s="388"/>
      <c r="T194" s="388"/>
      <c r="U194" s="389"/>
      <c r="V194" s="388"/>
      <c r="W194" s="388"/>
      <c r="X194" s="388"/>
      <c r="Y194" s="388"/>
      <c r="Z194" s="388"/>
      <c r="AA194" s="389"/>
      <c r="AB194" s="388"/>
      <c r="AC194" s="388"/>
      <c r="AD194" s="388"/>
      <c r="AE194" s="388"/>
      <c r="AF194" s="388"/>
      <c r="AG194" s="387"/>
      <c r="AH194" s="388"/>
      <c r="AI194" s="388"/>
      <c r="AJ194" s="388"/>
      <c r="AK194" s="388"/>
      <c r="AL194" s="388"/>
      <c r="AM194" s="387"/>
      <c r="AN194" s="388"/>
      <c r="AO194" s="388"/>
      <c r="AP194" s="388"/>
      <c r="AQ194" s="388"/>
      <c r="AR194" s="388"/>
      <c r="AS194" s="389"/>
      <c r="AT194" s="388"/>
      <c r="AU194" s="388"/>
      <c r="AV194" s="394"/>
      <c r="AW194" s="388"/>
      <c r="AX194" s="388"/>
      <c r="AY194" s="387"/>
      <c r="AZ194" s="388"/>
      <c r="BA194" s="388"/>
      <c r="BB194" s="388"/>
      <c r="BC194" s="388"/>
      <c r="BD194" s="388"/>
      <c r="BE194" s="387"/>
      <c r="BF194" s="388"/>
      <c r="BG194" s="388"/>
      <c r="BH194" s="388"/>
      <c r="BI194" s="388"/>
      <c r="BJ194" s="388"/>
      <c r="BK194" s="387"/>
      <c r="BL194" s="388"/>
      <c r="BM194" s="388"/>
      <c r="BN194" s="388"/>
      <c r="BO194" s="388"/>
      <c r="BP194" s="388"/>
      <c r="BQ194" s="388"/>
      <c r="BR194" s="388"/>
      <c r="BS194" s="388"/>
      <c r="BT194" s="388"/>
      <c r="BU194" s="388"/>
      <c r="BV194" s="388"/>
      <c r="BW194" s="387"/>
      <c r="BX194" s="388"/>
      <c r="BY194" s="388"/>
      <c r="BZ194" s="388"/>
      <c r="CA194" s="388"/>
      <c r="CB194" s="388"/>
      <c r="CC194" s="387"/>
      <c r="CD194" s="388"/>
      <c r="CE194" s="388"/>
      <c r="CF194" s="388"/>
      <c r="CG194" s="388"/>
      <c r="CH194" s="388"/>
      <c r="CI194" s="387"/>
      <c r="CJ194" s="388"/>
      <c r="CK194" s="388"/>
      <c r="CL194" s="388"/>
      <c r="CM194" s="388"/>
      <c r="CN194" s="388"/>
      <c r="CO194" s="379"/>
    </row>
    <row r="195" spans="1:93" s="137" customFormat="1" ht="18" customHeight="1" x14ac:dyDescent="0.25">
      <c r="B195" s="212" t="s">
        <v>127</v>
      </c>
      <c r="C195" s="207"/>
      <c r="D195" s="250">
        <v>160</v>
      </c>
      <c r="E195" s="250">
        <v>99</v>
      </c>
      <c r="F195" s="250">
        <v>229</v>
      </c>
      <c r="G195" s="250">
        <v>210</v>
      </c>
      <c r="H195" s="286">
        <f>SUM(D195:G195)</f>
        <v>698</v>
      </c>
      <c r="I195" s="379"/>
      <c r="J195" s="250">
        <v>378</v>
      </c>
      <c r="K195" s="250">
        <v>411</v>
      </c>
      <c r="L195" s="250">
        <v>414</v>
      </c>
      <c r="M195" s="250">
        <v>400</v>
      </c>
      <c r="N195" s="286">
        <f>SUM(J195:M195)</f>
        <v>1603</v>
      </c>
      <c r="O195" s="380"/>
      <c r="P195" s="250">
        <v>576</v>
      </c>
      <c r="Q195" s="250">
        <v>481</v>
      </c>
      <c r="R195" s="250">
        <v>311</v>
      </c>
      <c r="S195" s="250">
        <v>261</v>
      </c>
      <c r="T195" s="286">
        <f>SUM(P195:S195)</f>
        <v>1629</v>
      </c>
      <c r="U195" s="380"/>
      <c r="V195" s="250">
        <v>304</v>
      </c>
      <c r="W195" s="250">
        <v>152</v>
      </c>
      <c r="X195" s="250">
        <v>167</v>
      </c>
      <c r="Y195" s="250">
        <v>273</v>
      </c>
      <c r="Z195" s="286">
        <f>SUM(V195:Y195)</f>
        <v>896</v>
      </c>
      <c r="AA195" s="380"/>
      <c r="AB195" s="250">
        <v>312</v>
      </c>
      <c r="AC195" s="250">
        <v>349</v>
      </c>
      <c r="AD195" s="250">
        <v>280</v>
      </c>
      <c r="AE195" s="250">
        <v>288</v>
      </c>
      <c r="AF195" s="286">
        <f>SUM(AB195:AE195)</f>
        <v>1229</v>
      </c>
      <c r="AG195" s="379"/>
      <c r="AH195" s="250">
        <v>361</v>
      </c>
      <c r="AI195" s="250">
        <v>355</v>
      </c>
      <c r="AJ195" s="250">
        <v>506</v>
      </c>
      <c r="AK195" s="250">
        <v>605</v>
      </c>
      <c r="AL195" s="286">
        <f>SUM(AH195:AK195)</f>
        <v>1827</v>
      </c>
      <c r="AM195" s="379"/>
      <c r="AN195" s="250">
        <v>764</v>
      </c>
      <c r="AO195" s="250">
        <v>740</v>
      </c>
      <c r="AP195" s="250">
        <v>730</v>
      </c>
      <c r="AQ195" s="250">
        <v>600</v>
      </c>
      <c r="AR195" s="286">
        <f>SUM(AN195:AQ195)</f>
        <v>2834</v>
      </c>
      <c r="AS195" s="380"/>
      <c r="AT195" s="250">
        <v>730</v>
      </c>
      <c r="AU195" s="250">
        <v>718</v>
      </c>
      <c r="AV195" s="395">
        <v>619</v>
      </c>
      <c r="AW195" s="286">
        <f>AQ195+(AW173-AQ173)*AW198</f>
        <v>574.91</v>
      </c>
      <c r="AX195" s="286">
        <f>SUM(AT195:AW195)</f>
        <v>2641.91</v>
      </c>
      <c r="AY195" s="379"/>
      <c r="AZ195" s="381">
        <f t="shared" ref="AZ195" si="1831">AT195+(AZ173-AT173)*AZ198</f>
        <v>639.16000000000008</v>
      </c>
      <c r="BA195" s="381">
        <f t="shared" ref="BA195" si="1832">AU195+(BA173-AU173)*BA198</f>
        <v>688.3</v>
      </c>
      <c r="BB195" s="381">
        <f t="shared" ref="BB195" si="1833">AV195+(BB173-AV173)*BB198</f>
        <v>639.65200000000004</v>
      </c>
      <c r="BC195" s="381">
        <f t="shared" ref="BC195" si="1834">AW195+(BC173-AW173)*BC198</f>
        <v>599.1386</v>
      </c>
      <c r="BD195" s="286">
        <f>SUM(AZ195:BC195)</f>
        <v>2566.2506000000003</v>
      </c>
      <c r="BE195" s="379"/>
      <c r="BF195" s="381">
        <f t="shared" ref="BF195" si="1835">AZ195+(BF173-AZ173)*BF198</f>
        <v>670.07220000000018</v>
      </c>
      <c r="BG195" s="381">
        <f t="shared" ref="BG195" si="1836">BA195+(BG173-BA173)*BG198</f>
        <v>721.59699999999998</v>
      </c>
      <c r="BH195" s="381">
        <f t="shared" ref="BH195" si="1837">BB195+(BH173-BB173)*BH198</f>
        <v>672.83724000000007</v>
      </c>
      <c r="BI195" s="381">
        <f t="shared" ref="BI195" si="1838">BC195+(BI173-BC173)*BI198</f>
        <v>632.049082</v>
      </c>
      <c r="BJ195" s="286">
        <f>SUM(BF195:BI195)</f>
        <v>2696.5555220000001</v>
      </c>
      <c r="BK195" s="379"/>
      <c r="BL195" s="381">
        <f t="shared" ref="BL195" si="1839">BF195+(BL173-BF173)*BL198</f>
        <v>702.22088800000006</v>
      </c>
      <c r="BM195" s="381">
        <f t="shared" ref="BM195" si="1840">BG195+(BM173-BG173)*BM198</f>
        <v>756.22588000000007</v>
      </c>
      <c r="BN195" s="381">
        <f t="shared" ref="BN195" si="1841">BH195+(BN173-BH173)*BN198</f>
        <v>707.3498896000001</v>
      </c>
      <c r="BO195" s="381">
        <f t="shared" ref="BO195" si="1842">BI195+(BO173-BI173)*BO198</f>
        <v>666.27598327999999</v>
      </c>
      <c r="BP195" s="286">
        <f>SUM(BL195:BO195)</f>
        <v>2832.0726408800001</v>
      </c>
      <c r="BQ195" s="381"/>
      <c r="BR195" s="381">
        <f t="shared" ref="BR195" si="1843">BL195+(BR173-BL173)*BR198</f>
        <v>735.65552352000009</v>
      </c>
      <c r="BS195" s="381">
        <f t="shared" ref="BS195" si="1844">BM195+(BS173-BM173)*BS198</f>
        <v>792.23991520000004</v>
      </c>
      <c r="BT195" s="381">
        <f t="shared" ref="BT195" si="1845">BN195+(BT173-BN173)*BT198</f>
        <v>743.24304518400027</v>
      </c>
      <c r="BU195" s="381">
        <f t="shared" ref="BU195" si="1846">BO195+(BU173-BO173)*BU198</f>
        <v>701.87196061120005</v>
      </c>
      <c r="BV195" s="286">
        <f>SUM(BR195:BU195)</f>
        <v>2973.0104445152001</v>
      </c>
      <c r="BW195" s="379"/>
      <c r="BX195" s="381">
        <f t="shared" ref="BX195" si="1847">BR195+(BX173-BR173)*BX198</f>
        <v>770.42754446080016</v>
      </c>
      <c r="BY195" s="381">
        <f t="shared" ref="BY195" si="1848">BS195+(BY173-BS173)*BY198</f>
        <v>829.69451180800013</v>
      </c>
      <c r="BZ195" s="381">
        <f t="shared" ref="BZ195" si="1849">BT195+(BZ173-BT173)*BZ198</f>
        <v>780.57192699136033</v>
      </c>
      <c r="CA195" s="381">
        <f t="shared" ref="CA195" si="1850">BU195+(CA173-BU173)*CA198</f>
        <v>738.89177703564815</v>
      </c>
      <c r="CB195" s="286">
        <f>SUM(BX195:CA195)</f>
        <v>3119.5857602958085</v>
      </c>
      <c r="CC195" s="379"/>
      <c r="CD195" s="381">
        <f t="shared" ref="CD195" si="1851">BX195+(CD173-BX173)*CD198</f>
        <v>806.59044623923216</v>
      </c>
      <c r="CE195" s="381">
        <f t="shared" ref="CE195" si="1852">BY195+(CE173-BY173)*CE198</f>
        <v>868.64729228032024</v>
      </c>
      <c r="CF195" s="381">
        <f t="shared" ref="CF195" si="1853">BZ195+(CF173-BZ173)*CF198</f>
        <v>819.39396407101469</v>
      </c>
      <c r="CG195" s="381">
        <f t="shared" ref="CG195" si="1854">CA195+(CG173-CA173)*CG198</f>
        <v>777.39238611707401</v>
      </c>
      <c r="CH195" s="286">
        <f>SUM(CD195:CG195)</f>
        <v>3272.0240887076407</v>
      </c>
      <c r="CI195" s="379"/>
      <c r="CJ195" s="381">
        <f t="shared" ref="CJ195" si="1855">CD195+(CJ173-CD173)*CJ198</f>
        <v>844.19986408880163</v>
      </c>
      <c r="CK195" s="381">
        <f t="shared" ref="CK195" si="1856">CE195+(CK173-CE173)*CK198</f>
        <v>909.15818397153316</v>
      </c>
      <c r="CL195" s="381">
        <f t="shared" ref="CL195" si="1857">CF195+(CL173-CF173)*CL198</f>
        <v>859.76888263385547</v>
      </c>
      <c r="CM195" s="381">
        <f t="shared" ref="CM195" si="1858">CG195+(CM173-CG173)*CM198</f>
        <v>817.43301956175696</v>
      </c>
      <c r="CN195" s="286">
        <f>SUM(CJ195:CM195)</f>
        <v>3430.5599502559471</v>
      </c>
      <c r="CO195" s="379"/>
    </row>
    <row r="196" spans="1:93" s="137" customFormat="1" ht="18" customHeight="1" thickBot="1" x14ac:dyDescent="0.3">
      <c r="B196" s="209" t="s">
        <v>117</v>
      </c>
      <c r="C196" s="210"/>
      <c r="D196" s="180">
        <f>D195/D173</f>
        <v>9.0857467348097673E-2</v>
      </c>
      <c r="E196" s="180">
        <f>E195/E173</f>
        <v>5.3921568627450983E-2</v>
      </c>
      <c r="F196" s="180">
        <f>F195/F173</f>
        <v>0.11707566462167689</v>
      </c>
      <c r="G196" s="180">
        <f>G195/G173</f>
        <v>9.0987868284228765E-2</v>
      </c>
      <c r="H196" s="180">
        <f>H195/H173</f>
        <v>8.879277445617606E-2</v>
      </c>
      <c r="I196" s="210"/>
      <c r="J196" s="180">
        <f>J195/J173</f>
        <v>0.16370723256821135</v>
      </c>
      <c r="K196" s="180">
        <f>K195/K173</f>
        <v>0.16270783847980996</v>
      </c>
      <c r="L196" s="180">
        <f>L195/L173</f>
        <v>0.15693707354056102</v>
      </c>
      <c r="M196" s="180">
        <f>M195/M173</f>
        <v>0.14301036825169824</v>
      </c>
      <c r="N196" s="180">
        <f>N195/N173</f>
        <v>0.1560856864654333</v>
      </c>
      <c r="O196" s="211"/>
      <c r="P196" s="180">
        <f>P195/P173</f>
        <v>0.20930232558139536</v>
      </c>
      <c r="Q196" s="180">
        <f>Q195/Q173</f>
        <v>0.17062788222774034</v>
      </c>
      <c r="R196" s="180">
        <f>R195/R173</f>
        <v>0.13463203463203463</v>
      </c>
      <c r="S196" s="180">
        <f>S195/S173</f>
        <v>0.10897703549060543</v>
      </c>
      <c r="T196" s="180">
        <f>T195/T173</f>
        <v>0.15852471778902297</v>
      </c>
      <c r="U196" s="211"/>
      <c r="V196" s="180">
        <f>V195/V173</f>
        <v>0.14587332053742802</v>
      </c>
      <c r="W196" s="180">
        <f>W195/W173</f>
        <v>8.3242059145673605E-2</v>
      </c>
      <c r="X196" s="180">
        <f>X195/X173</f>
        <v>9.1960352422907496E-2</v>
      </c>
      <c r="Y196" s="180">
        <f>Y195/Y173</f>
        <v>0.12522935779816513</v>
      </c>
      <c r="Z196" s="180">
        <f>Z195/Z173</f>
        <v>0.1133316468504933</v>
      </c>
      <c r="AA196" s="211"/>
      <c r="AB196" s="180">
        <f>AB195/AB173</f>
        <v>0.14325068870523416</v>
      </c>
      <c r="AC196" s="180">
        <f>AC195/AC173</f>
        <v>0.13702394974479781</v>
      </c>
      <c r="AD196" s="180">
        <f>AD195/AD173</f>
        <v>0.11834319526627218</v>
      </c>
      <c r="AE196" s="180">
        <f>AE195/AE173</f>
        <v>0.10592129459360058</v>
      </c>
      <c r="AF196" s="180">
        <f>AF195/AF173</f>
        <v>0.12528032619775739</v>
      </c>
      <c r="AG196" s="210"/>
      <c r="AH196" s="180">
        <f>AH195/AH173</f>
        <v>0.12756183745583038</v>
      </c>
      <c r="AI196" s="180">
        <f>AI195/AI173</f>
        <v>0.1198919284025667</v>
      </c>
      <c r="AJ196" s="180">
        <f>AJ195/AJ173</f>
        <v>0.16391318432134758</v>
      </c>
      <c r="AK196" s="180">
        <f>AK195/AK173</f>
        <v>0.1760768335273574</v>
      </c>
      <c r="AL196" s="180">
        <f>AL195/AL173</f>
        <v>0.14836771154783174</v>
      </c>
      <c r="AM196" s="210"/>
      <c r="AN196" s="180">
        <f>AN195/AN173</f>
        <v>0.22293551210971696</v>
      </c>
      <c r="AO196" s="180">
        <f>AO195/AO173</f>
        <v>0.20769014875105249</v>
      </c>
      <c r="AP196" s="180">
        <f>AP195/AP173</f>
        <v>0.21784541927782752</v>
      </c>
      <c r="AQ196" s="180">
        <f>AQ195/AQ173</f>
        <v>0.18507094386181369</v>
      </c>
      <c r="AR196" s="180">
        <f>AR195/AR173</f>
        <v>0.20864315688728557</v>
      </c>
      <c r="AS196" s="211"/>
      <c r="AT196" s="180">
        <f>AT195/AT173</f>
        <v>0.22862511744440964</v>
      </c>
      <c r="AU196" s="180">
        <f>AU195/AU173</f>
        <v>0.22395508421709295</v>
      </c>
      <c r="AV196" s="310">
        <f>AV195/AV173</f>
        <v>0.20442536327608982</v>
      </c>
      <c r="AW196" s="180">
        <f>AW195/AW173</f>
        <v>0.1922068804118886</v>
      </c>
      <c r="AX196" s="180">
        <f>AX195/AX173</f>
        <v>0.21274671648641902</v>
      </c>
      <c r="AY196" s="210"/>
      <c r="AZ196" s="180">
        <f>AZ195/AZ173</f>
        <v>0.22114732544460591</v>
      </c>
      <c r="BA196" s="180">
        <f>BA195/BA173</f>
        <v>0.22153202446089473</v>
      </c>
      <c r="BB196" s="180">
        <f>BB195/BB173</f>
        <v>0.20654990248123895</v>
      </c>
      <c r="BC196" s="180">
        <f>BC195/BC173</f>
        <v>0.19504085795520762</v>
      </c>
      <c r="BD196" s="180">
        <f>BD195/BD173</f>
        <v>0.2109379641558842</v>
      </c>
      <c r="BE196" s="210"/>
      <c r="BF196" s="180">
        <f>BF195/BF173</f>
        <v>0.22316339662053788</v>
      </c>
      <c r="BG196" s="180">
        <f>BG195/BG173</f>
        <v>0.22353752075537162</v>
      </c>
      <c r="BH196" s="180">
        <f>BH195/BH173</f>
        <v>0.20911713939608523</v>
      </c>
      <c r="BI196" s="180">
        <f>BI195/BI173</f>
        <v>0.19803912189654807</v>
      </c>
      <c r="BJ196" s="180">
        <f>BJ195/BJ173</f>
        <v>0.21333950948451935</v>
      </c>
      <c r="BK196" s="210"/>
      <c r="BL196" s="180">
        <f>BL195/BL173</f>
        <v>0.22510598323266118</v>
      </c>
      <c r="BM196" s="180">
        <f>BM195/BM173</f>
        <v>0.22546963580714535</v>
      </c>
      <c r="BN196" s="180">
        <f>BN195/BN173</f>
        <v>0.21159045673484295</v>
      </c>
      <c r="BO196" s="180">
        <f>BO195/BO173</f>
        <v>0.20092774347162054</v>
      </c>
      <c r="BP196" s="180">
        <f>BP195/BP173</f>
        <v>0.21565327912883345</v>
      </c>
      <c r="BQ196" s="210"/>
      <c r="BR196" s="180">
        <f>BR195/BR173</f>
        <v>0.22697761712181969</v>
      </c>
      <c r="BS196" s="180">
        <f>BS195/BS173</f>
        <v>0.22733091876024472</v>
      </c>
      <c r="BT196" s="180">
        <f>BT195/BT173</f>
        <v>0.21397311594314072</v>
      </c>
      <c r="BU196" s="180">
        <f>BU195/BU173</f>
        <v>0.2037105267281159</v>
      </c>
      <c r="BV196" s="180">
        <f>BV195/BV173</f>
        <v>0.21788231511147779</v>
      </c>
      <c r="BW196" s="210"/>
      <c r="BX196" s="180">
        <f>BX195/BX173</f>
        <v>0.22878075372602541</v>
      </c>
      <c r="BY196" s="180">
        <f>BY195/BY173</f>
        <v>0.22912384025589549</v>
      </c>
      <c r="BZ196" s="180">
        <f>BZ195/BZ173</f>
        <v>0.21626827811576121</v>
      </c>
      <c r="CA196" s="180">
        <f>CA195/CA173</f>
        <v>0.20639115892256868</v>
      </c>
      <c r="CB196" s="180">
        <f>CB195/CB173</f>
        <v>0.22002956631234596</v>
      </c>
      <c r="CC196" s="210"/>
      <c r="CD196" s="180">
        <f>CD195/CD173</f>
        <v>0.23051777356853009</v>
      </c>
      <c r="CE196" s="180">
        <f>CE195/CE173</f>
        <v>0.23085079409178452</v>
      </c>
      <c r="CF196" s="180">
        <f>CF195/CF173</f>
        <v>0.21847900611055174</v>
      </c>
      <c r="CG196" s="180">
        <f>CG195/CG173</f>
        <v>0.20897321295985297</v>
      </c>
      <c r="CH196" s="180">
        <f>CH195/CH173</f>
        <v>0.22209789039352626</v>
      </c>
      <c r="CI196" s="210"/>
      <c r="CJ196" s="180">
        <f>CJ195/CJ173</f>
        <v>0.23219098378426187</v>
      </c>
      <c r="CK196" s="180">
        <f>CK195/CK173</f>
        <v>0.23251409890809804</v>
      </c>
      <c r="CL196" s="180">
        <f>CL195/CL173</f>
        <v>0.22060826669725719</v>
      </c>
      <c r="CM196" s="180">
        <f>CM195/CM173</f>
        <v>0.21146014987534398</v>
      </c>
      <c r="CN196" s="180">
        <f>CN195/CN173</f>
        <v>0.22409005576028496</v>
      </c>
      <c r="CO196" s="379"/>
    </row>
    <row r="197" spans="1:93" s="137" customFormat="1" ht="18" customHeight="1" x14ac:dyDescent="0.25">
      <c r="B197" s="136"/>
      <c r="J197" s="104"/>
      <c r="K197" s="104"/>
      <c r="L197" s="104"/>
      <c r="M197" s="104"/>
      <c r="N197" s="104"/>
      <c r="O197" s="205"/>
      <c r="P197" s="104"/>
      <c r="Q197" s="104"/>
      <c r="R197" s="104"/>
      <c r="S197" s="104"/>
      <c r="T197" s="104"/>
      <c r="U197" s="205"/>
      <c r="V197" s="104"/>
      <c r="W197" s="104"/>
      <c r="X197" s="104"/>
      <c r="Y197" s="104"/>
      <c r="Z197" s="104"/>
      <c r="AA197" s="205"/>
      <c r="AB197" s="104"/>
      <c r="AC197" s="104"/>
      <c r="AD197" s="104"/>
      <c r="AE197" s="104"/>
      <c r="AF197" s="104"/>
      <c r="AH197" s="104"/>
      <c r="AI197" s="104"/>
      <c r="AJ197" s="104"/>
      <c r="AK197" s="104"/>
      <c r="AL197" s="104"/>
      <c r="AN197" s="104"/>
      <c r="AO197" s="246"/>
      <c r="AP197" s="104"/>
      <c r="AQ197" s="246"/>
      <c r="AR197" s="246"/>
      <c r="AS197" s="205"/>
      <c r="AT197" s="104"/>
      <c r="AU197" s="246"/>
      <c r="AV197" s="265"/>
      <c r="AW197" s="104"/>
      <c r="AX197" s="104"/>
      <c r="AZ197" s="104"/>
      <c r="BA197" s="104"/>
      <c r="BB197" s="104"/>
      <c r="BC197" s="104"/>
      <c r="BD197" s="104"/>
      <c r="BF197" s="104"/>
      <c r="BG197" s="104"/>
      <c r="BH197" s="104"/>
      <c r="BI197" s="104"/>
      <c r="BJ197" s="104"/>
      <c r="BL197" s="104"/>
      <c r="BM197" s="104"/>
      <c r="BN197" s="104"/>
      <c r="BO197" s="104"/>
      <c r="BP197" s="104"/>
      <c r="BR197" s="104"/>
      <c r="BS197" s="104"/>
      <c r="BT197" s="104"/>
      <c r="BU197" s="104"/>
      <c r="BV197" s="104"/>
      <c r="BX197" s="104"/>
      <c r="BY197" s="104"/>
      <c r="BZ197" s="104"/>
      <c r="CA197" s="104"/>
      <c r="CB197" s="104"/>
      <c r="CD197" s="104"/>
      <c r="CE197" s="104"/>
      <c r="CF197" s="104"/>
      <c r="CG197" s="104"/>
      <c r="CH197" s="104"/>
      <c r="CJ197" s="104"/>
      <c r="CK197" s="104"/>
      <c r="CL197" s="104"/>
      <c r="CM197" s="104"/>
      <c r="CN197" s="104"/>
      <c r="CO197" s="379"/>
    </row>
    <row r="198" spans="1:93" s="137" customFormat="1" ht="18" customHeight="1" x14ac:dyDescent="0.25">
      <c r="B198" s="136" t="s">
        <v>538</v>
      </c>
      <c r="D198" s="67"/>
      <c r="E198" s="67"/>
      <c r="F198" s="67"/>
      <c r="G198" s="67"/>
      <c r="H198" s="67"/>
      <c r="J198" s="67">
        <f>(J195-D195)/(J173-D173)</f>
        <v>0.3978102189781022</v>
      </c>
      <c r="K198" s="67">
        <f t="shared" ref="K198" si="1859">(K195-E195)/(K173-E173)</f>
        <v>0.45217391304347826</v>
      </c>
      <c r="L198" s="67">
        <f t="shared" ref="L198" si="1860">(L195-F195)/(L173-F173)</f>
        <v>0.27126099706744866</v>
      </c>
      <c r="M198" s="67">
        <f t="shared" ref="M198" si="1861">(M195-G195)/(M173-G173)</f>
        <v>0.3885480572597137</v>
      </c>
      <c r="N198" s="67">
        <f t="shared" ref="N198" si="1862">(N195-H195)/(N173-H173)</f>
        <v>0.37567455375674552</v>
      </c>
      <c r="O198" s="205"/>
      <c r="P198" s="67">
        <f>(P195-J195)/(P173-J173)</f>
        <v>0.44695259593679459</v>
      </c>
      <c r="Q198" s="67">
        <f t="shared" ref="Q198" si="1863">(Q195-K195)/(Q173-K173)</f>
        <v>0.23890784982935154</v>
      </c>
      <c r="R198" s="67">
        <f t="shared" ref="R198" si="1864">(R195-L195)/(R173-L173)</f>
        <v>0.31402439024390244</v>
      </c>
      <c r="S198" s="67">
        <f t="shared" ref="S198" si="1865">(S195-M195)/(S173-M173)</f>
        <v>0.34577114427860695</v>
      </c>
      <c r="T198" s="67">
        <f t="shared" ref="T198" si="1866">(T195-N195)/(T173-N173)</f>
        <v>4.333333333333333</v>
      </c>
      <c r="U198" s="205"/>
      <c r="V198" s="67">
        <f>(V195-P195)/(V173-P173)</f>
        <v>0.40718562874251496</v>
      </c>
      <c r="W198" s="67">
        <f t="shared" ref="W198" si="1867">(W195-Q195)/(W173-Q173)</f>
        <v>0.33131923464249746</v>
      </c>
      <c r="X198" s="67">
        <f t="shared" ref="X198" si="1868">(X195-R195)/(X173-R173)</f>
        <v>0.291497975708502</v>
      </c>
      <c r="Y198" s="67">
        <f t="shared" ref="Y198" si="1869">(Y195-S195)/(Y173-S173)</f>
        <v>-5.5813953488372092E-2</v>
      </c>
      <c r="Z198" s="67">
        <f t="shared" ref="Z198" si="1870">(Z195-T195)/(Z173-T173)</f>
        <v>0.30928270042194095</v>
      </c>
      <c r="AA198" s="205"/>
      <c r="AB198" s="67">
        <f>(AB195-V195)/(AB173-V173)</f>
        <v>8.5106382978723402E-2</v>
      </c>
      <c r="AC198" s="67">
        <f t="shared" ref="AC198" si="1871">(AC195-W195)/(AC173-W173)</f>
        <v>0.27323162274618584</v>
      </c>
      <c r="AD198" s="67">
        <f t="shared" ref="AD198" si="1872">(AD195-X195)/(AD173-X173)</f>
        <v>0.20545454545454545</v>
      </c>
      <c r="AE198" s="67">
        <f t="shared" ref="AE198" si="1873">(AE195-Y195)/(AE173-Y173)</f>
        <v>2.7829313543599257E-2</v>
      </c>
      <c r="AF198" s="67">
        <f t="shared" ref="AF198" si="1874">(AF195-Z195)/(AF173-Z173)</f>
        <v>0.17489495798319327</v>
      </c>
      <c r="AH198" s="67">
        <f>(AH195-AB195)/(AH173-AB173)</f>
        <v>7.5153374233128831E-2</v>
      </c>
      <c r="AI198" s="67">
        <f t="shared" ref="AI198" si="1875">(AI195-AC195)/(AI173-AC173)</f>
        <v>1.4492753623188406E-2</v>
      </c>
      <c r="AJ198" s="67">
        <f t="shared" ref="AJ198" si="1876">(AJ195-AD195)/(AJ173-AD173)</f>
        <v>0.31345353675450766</v>
      </c>
      <c r="AK198" s="67">
        <f t="shared" ref="AK198" si="1877">(AK195-AE195)/(AK173-AE173)</f>
        <v>0.44211994421199441</v>
      </c>
      <c r="AL198" s="67">
        <f t="shared" ref="AL198" si="1878">(AL195-AF195)/(AL173-AF173)</f>
        <v>0.23881789137380191</v>
      </c>
      <c r="AN198" s="67">
        <f>(AN195-AH195)/(AN173-AH173)</f>
        <v>0.67504187604690113</v>
      </c>
      <c r="AO198" s="67">
        <f t="shared" ref="AO198" si="1879">(AO195-AI195)/(AO173-AI173)</f>
        <v>0.63953488372093026</v>
      </c>
      <c r="AP198" s="67">
        <f t="shared" ref="AP198" si="1880">(AP195-AJ195)/(AP173-AJ173)</f>
        <v>0.84848484848484851</v>
      </c>
      <c r="AQ198" s="67">
        <f t="shared" ref="AQ198" si="1881">(AQ195-AK195)/(AQ173-AK173)</f>
        <v>2.5773195876288658E-2</v>
      </c>
      <c r="AR198" s="67">
        <f t="shared" ref="AR198" si="1882">(AR195-AL195)/(AR173-AL173)</f>
        <v>0.793538219070134</v>
      </c>
      <c r="AS198" s="205"/>
      <c r="AT198" s="67">
        <f>(AT195-AN195)/(AT173-AN173)</f>
        <v>0.14529914529914531</v>
      </c>
      <c r="AU198" s="67">
        <f t="shared" ref="AU198" si="1883">(AU195-AO195)/(AU173-AO173)</f>
        <v>6.1624649859943981E-2</v>
      </c>
      <c r="AV198" s="264">
        <f t="shared" ref="AV198" si="1884">(AV195-AP195)/(AV173-AP173)</f>
        <v>0.34365325077399383</v>
      </c>
      <c r="AW198" s="539">
        <v>0.1</v>
      </c>
      <c r="AX198" s="67">
        <f>(AX195-AR195)/(AX173-AR173)</f>
        <v>0.1648982745300025</v>
      </c>
      <c r="AZ198" s="454">
        <v>0.3</v>
      </c>
      <c r="BA198" s="454">
        <v>0.3</v>
      </c>
      <c r="BB198" s="454">
        <v>0.3</v>
      </c>
      <c r="BC198" s="454">
        <v>0.3</v>
      </c>
      <c r="BD198" s="67">
        <f>(BD195-AX195)/(BD173-AX173)</f>
        <v>0.30000000000000215</v>
      </c>
      <c r="BF198" s="454">
        <v>0.27500000000000002</v>
      </c>
      <c r="BG198" s="454">
        <v>0.27500000000000002</v>
      </c>
      <c r="BH198" s="454">
        <v>0.27500000000000002</v>
      </c>
      <c r="BI198" s="454">
        <v>0.27500000000000002</v>
      </c>
      <c r="BJ198" s="67">
        <f>(BJ195-BD195)/(BJ173-BD173)</f>
        <v>0.27500000000000113</v>
      </c>
      <c r="BL198" s="454">
        <v>0.27500000000000002</v>
      </c>
      <c r="BM198" s="454">
        <v>0.27500000000000002</v>
      </c>
      <c r="BN198" s="454">
        <v>0.27500000000000002</v>
      </c>
      <c r="BO198" s="454">
        <v>0.27500000000000002</v>
      </c>
      <c r="BP198" s="67">
        <f>(BP195-BJ195)/(BP173-BJ173)</f>
        <v>0.27499999999999841</v>
      </c>
      <c r="BR198" s="454">
        <v>0.27500000000000002</v>
      </c>
      <c r="BS198" s="454">
        <v>0.27500000000000002</v>
      </c>
      <c r="BT198" s="454">
        <v>0.27500000000000002</v>
      </c>
      <c r="BU198" s="454">
        <v>0.27500000000000002</v>
      </c>
      <c r="BV198" s="67">
        <f>(BV195-BP195)/(BV173-BP173)</f>
        <v>0.27500000000000024</v>
      </c>
      <c r="BX198" s="454">
        <v>0.27500000000000002</v>
      </c>
      <c r="BY198" s="454">
        <v>0.27500000000000002</v>
      </c>
      <c r="BZ198" s="454">
        <v>0.27500000000000002</v>
      </c>
      <c r="CA198" s="454">
        <v>0.27500000000000002</v>
      </c>
      <c r="CB198" s="67">
        <f>(CB195-BV195)/(CB173-BV173)</f>
        <v>0.27500000000000058</v>
      </c>
      <c r="CD198" s="454">
        <v>0.27500000000000002</v>
      </c>
      <c r="CE198" s="454">
        <v>0.27500000000000002</v>
      </c>
      <c r="CF198" s="454">
        <v>0.27500000000000002</v>
      </c>
      <c r="CG198" s="454">
        <v>0.27500000000000002</v>
      </c>
      <c r="CH198" s="67">
        <f>(CH195-CB195)/(CH173-CB173)</f>
        <v>0.27500000000000024</v>
      </c>
      <c r="CJ198" s="454">
        <v>0.27500000000000002</v>
      </c>
      <c r="CK198" s="454">
        <v>0.27500000000000002</v>
      </c>
      <c r="CL198" s="454">
        <v>0.27500000000000002</v>
      </c>
      <c r="CM198" s="454">
        <v>0.27500000000000002</v>
      </c>
      <c r="CN198" s="67">
        <f>(CN195-CH195)/(CN173-CH173)</f>
        <v>0.27500000000000024</v>
      </c>
      <c r="CO198" s="379"/>
    </row>
    <row r="199" spans="1:93" s="137" customFormat="1" ht="18" customHeight="1" x14ac:dyDescent="0.25">
      <c r="B199" s="136"/>
      <c r="J199" s="104"/>
      <c r="K199" s="104"/>
      <c r="L199" s="104"/>
      <c r="M199" s="104"/>
      <c r="N199" s="104"/>
      <c r="O199" s="205"/>
      <c r="P199" s="104"/>
      <c r="Q199" s="104"/>
      <c r="R199" s="104"/>
      <c r="S199" s="104"/>
      <c r="T199" s="104"/>
      <c r="U199" s="205"/>
      <c r="V199" s="104"/>
      <c r="W199" s="104"/>
      <c r="X199" s="104"/>
      <c r="Y199" s="104"/>
      <c r="Z199" s="104"/>
      <c r="AA199" s="205"/>
      <c r="AB199" s="104"/>
      <c r="AC199" s="104"/>
      <c r="AD199" s="104"/>
      <c r="AE199" s="104"/>
      <c r="AF199" s="104"/>
      <c r="AH199" s="104"/>
      <c r="AI199" s="104"/>
      <c r="AJ199" s="104"/>
      <c r="AK199" s="104"/>
      <c r="AL199" s="104"/>
      <c r="AN199" s="104"/>
      <c r="AO199" s="246"/>
      <c r="AP199" s="104"/>
      <c r="AQ199" s="246"/>
      <c r="AR199" s="246"/>
      <c r="AS199" s="205"/>
      <c r="AT199" s="104"/>
      <c r="AU199" s="246"/>
      <c r="AV199" s="265"/>
      <c r="AW199" s="104"/>
      <c r="AX199" s="104"/>
      <c r="AZ199" s="104"/>
      <c r="BA199" s="104"/>
      <c r="BB199" s="104"/>
      <c r="BC199" s="104"/>
      <c r="BD199" s="104"/>
      <c r="BF199" s="104"/>
      <c r="BG199" s="104"/>
      <c r="BH199" s="104"/>
      <c r="BI199" s="104"/>
      <c r="BJ199" s="104"/>
      <c r="BL199" s="104"/>
      <c r="BM199" s="104"/>
      <c r="BN199" s="104"/>
      <c r="BO199" s="104"/>
      <c r="BP199" s="104"/>
      <c r="BR199" s="104"/>
      <c r="BS199" s="104"/>
      <c r="BT199" s="104"/>
      <c r="BU199" s="104"/>
      <c r="BV199" s="104"/>
      <c r="BX199" s="104"/>
      <c r="BY199" s="104"/>
      <c r="BZ199" s="104"/>
      <c r="CA199" s="104"/>
      <c r="CB199" s="104"/>
      <c r="CD199" s="104"/>
      <c r="CE199" s="104"/>
      <c r="CF199" s="104"/>
      <c r="CG199" s="104"/>
      <c r="CH199" s="104"/>
      <c r="CJ199" s="104"/>
      <c r="CK199" s="104"/>
      <c r="CL199" s="104"/>
      <c r="CM199" s="104"/>
      <c r="CN199" s="104"/>
      <c r="CO199" s="379"/>
    </row>
    <row r="200" spans="1:93" s="435" customFormat="1" ht="18" customHeight="1" x14ac:dyDescent="0.25">
      <c r="B200" s="436" t="s">
        <v>74</v>
      </c>
      <c r="D200" s="440">
        <v>127</v>
      </c>
      <c r="E200" s="440">
        <v>130</v>
      </c>
      <c r="F200" s="440">
        <v>129</v>
      </c>
      <c r="G200" s="443">
        <f>H200-SUM(D200:F200)</f>
        <v>128</v>
      </c>
      <c r="H200" s="440">
        <v>514</v>
      </c>
      <c r="J200" s="440">
        <v>116</v>
      </c>
      <c r="K200" s="440">
        <v>115</v>
      </c>
      <c r="L200" s="440">
        <v>115</v>
      </c>
      <c r="M200" s="443">
        <f>N200-SUM(J200:L200)</f>
        <v>116</v>
      </c>
      <c r="N200" s="440">
        <v>462</v>
      </c>
      <c r="O200" s="439"/>
      <c r="P200" s="440">
        <v>105</v>
      </c>
      <c r="Q200" s="440">
        <v>104</v>
      </c>
      <c r="R200" s="440">
        <v>106</v>
      </c>
      <c r="S200" s="443">
        <f>T200-SUM(P200:R200)</f>
        <v>110</v>
      </c>
      <c r="T200" s="440">
        <v>425</v>
      </c>
      <c r="U200" s="439"/>
      <c r="V200" s="440">
        <v>103</v>
      </c>
      <c r="W200" s="440">
        <v>104</v>
      </c>
      <c r="X200" s="440">
        <v>105</v>
      </c>
      <c r="Y200" s="153">
        <f>Z200-SUM(V200:X200)</f>
        <v>106</v>
      </c>
      <c r="Z200" s="440">
        <v>418</v>
      </c>
      <c r="AA200" s="440"/>
      <c r="AB200" s="440">
        <v>99</v>
      </c>
      <c r="AC200" s="440">
        <v>101</v>
      </c>
      <c r="AD200" s="440">
        <v>101</v>
      </c>
      <c r="AE200" s="443">
        <f>AF200-SUM(AB200:AD200)</f>
        <v>102</v>
      </c>
      <c r="AF200" s="440">
        <v>403</v>
      </c>
      <c r="AG200" s="440"/>
      <c r="AH200" s="440">
        <v>92</v>
      </c>
      <c r="AI200" s="440">
        <v>91</v>
      </c>
      <c r="AJ200" s="440">
        <v>92</v>
      </c>
      <c r="AK200" s="443">
        <f>AL200-SUM(AH200:AJ200)</f>
        <v>93</v>
      </c>
      <c r="AL200" s="440">
        <v>368</v>
      </c>
      <c r="AM200" s="440"/>
      <c r="AN200" s="440">
        <v>87</v>
      </c>
      <c r="AO200" s="440">
        <v>82</v>
      </c>
      <c r="AP200" s="440">
        <v>66</v>
      </c>
      <c r="AQ200" s="443">
        <f>AR200-SUM(AN200:AP200)</f>
        <v>67</v>
      </c>
      <c r="AR200" s="440">
        <v>302</v>
      </c>
      <c r="AS200" s="440"/>
      <c r="AT200" s="440">
        <v>63</v>
      </c>
      <c r="AU200" s="440">
        <v>63</v>
      </c>
      <c r="AV200" s="453">
        <v>66</v>
      </c>
      <c r="AW200" s="541">
        <f t="shared" ref="AW200" si="1885">AQ200*(1+AW206)</f>
        <v>73.7</v>
      </c>
      <c r="AX200" s="438">
        <f>SUM(AT200:AW200)</f>
        <v>265.7</v>
      </c>
      <c r="AZ200" s="533">
        <f t="shared" ref="AZ200" si="1886">AT200*(1+AZ206)</f>
        <v>66.150000000000006</v>
      </c>
      <c r="BA200" s="533">
        <f t="shared" ref="BA200" si="1887">AU200*(1+BA206)</f>
        <v>66.150000000000006</v>
      </c>
      <c r="BB200" s="533">
        <f t="shared" ref="BB200" si="1888">AV200*(1+BB206)</f>
        <v>69.3</v>
      </c>
      <c r="BC200" s="533">
        <f t="shared" ref="BC200" si="1889">AW200*(1+BC206)</f>
        <v>77.385000000000005</v>
      </c>
      <c r="BD200" s="438">
        <f>SUM(AZ200:BC200)</f>
        <v>278.98500000000001</v>
      </c>
      <c r="BF200" s="533">
        <f t="shared" ref="BF200" si="1890">AZ200*(1+BF206)</f>
        <v>69.45750000000001</v>
      </c>
      <c r="BG200" s="533">
        <f t="shared" ref="BG200" si="1891">BA200*(1+BG206)</f>
        <v>69.45750000000001</v>
      </c>
      <c r="BH200" s="533">
        <f t="shared" ref="BH200" si="1892">BB200*(1+BH206)</f>
        <v>72.765000000000001</v>
      </c>
      <c r="BI200" s="533">
        <f t="shared" ref="BI200" si="1893">BC200*(1+BI206)</f>
        <v>81.254250000000013</v>
      </c>
      <c r="BJ200" s="438">
        <f>SUM(BF200:BI200)</f>
        <v>292.93425000000002</v>
      </c>
      <c r="BL200" s="533">
        <f t="shared" ref="BL200" si="1894">BF200*(1+BL206)</f>
        <v>72.930375000000012</v>
      </c>
      <c r="BM200" s="533">
        <f t="shared" ref="BM200" si="1895">BG200*(1+BM206)</f>
        <v>72.930375000000012</v>
      </c>
      <c r="BN200" s="533">
        <f t="shared" ref="BN200" si="1896">BH200*(1+BN206)</f>
        <v>76.40325</v>
      </c>
      <c r="BO200" s="533">
        <f t="shared" ref="BO200" si="1897">BI200*(1+BO206)</f>
        <v>85.316962500000017</v>
      </c>
      <c r="BP200" s="438">
        <f>SUM(BL200:BO200)</f>
        <v>307.58096250000006</v>
      </c>
      <c r="BR200" s="533">
        <f t="shared" ref="BR200" si="1898">BL200*(1+BR206)</f>
        <v>74.388982500000012</v>
      </c>
      <c r="BS200" s="533">
        <f t="shared" ref="BS200" si="1899">BM200*(1+BS206)</f>
        <v>74.388982500000012</v>
      </c>
      <c r="BT200" s="533">
        <f t="shared" ref="BT200" si="1900">BN200*(1+BT206)</f>
        <v>77.931314999999998</v>
      </c>
      <c r="BU200" s="533">
        <f t="shared" ref="BU200" si="1901">BO200*(1+BU206)</f>
        <v>87.023301750000016</v>
      </c>
      <c r="BV200" s="438">
        <f>SUM(BR200:BU200)</f>
        <v>313.73258175000007</v>
      </c>
      <c r="BX200" s="533">
        <f t="shared" ref="BX200" si="1902">BR200*(1+BX206)</f>
        <v>75.876762150000019</v>
      </c>
      <c r="BY200" s="533">
        <f t="shared" ref="BY200" si="1903">BS200*(1+BY206)</f>
        <v>75.876762150000019</v>
      </c>
      <c r="BZ200" s="533">
        <f t="shared" ref="BZ200" si="1904">BT200*(1+BZ206)</f>
        <v>79.489941299999998</v>
      </c>
      <c r="CA200" s="533">
        <f t="shared" ref="CA200" si="1905">BU200*(1+CA206)</f>
        <v>88.763767785000013</v>
      </c>
      <c r="CB200" s="438">
        <f>SUM(BX200:CA200)</f>
        <v>320.00723338500006</v>
      </c>
      <c r="CD200" s="533">
        <f t="shared" ref="CD200" si="1906">BX200*(1+CD206)</f>
        <v>77.394297393000016</v>
      </c>
      <c r="CE200" s="533">
        <f t="shared" ref="CE200" si="1907">BY200*(1+CE206)</f>
        <v>77.394297393000016</v>
      </c>
      <c r="CF200" s="533">
        <f t="shared" ref="CF200" si="1908">BZ200*(1+CF206)</f>
        <v>81.079740126000004</v>
      </c>
      <c r="CG200" s="533">
        <f t="shared" ref="CG200" si="1909">CA200*(1+CG206)</f>
        <v>90.539043140700016</v>
      </c>
      <c r="CH200" s="438">
        <f>SUM(CD200:CG200)</f>
        <v>326.40737805270004</v>
      </c>
      <c r="CJ200" s="533">
        <f t="shared" ref="CJ200" si="1910">CD200*(1+CJ206)</f>
        <v>78.942183340860012</v>
      </c>
      <c r="CK200" s="533">
        <f t="shared" ref="CK200" si="1911">CE200*(1+CK206)</f>
        <v>78.942183340860012</v>
      </c>
      <c r="CL200" s="533">
        <f t="shared" ref="CL200" si="1912">CF200*(1+CL206)</f>
        <v>82.701334928520012</v>
      </c>
      <c r="CM200" s="533">
        <f t="shared" ref="CM200" si="1913">CG200*(1+CM206)</f>
        <v>92.349824003514016</v>
      </c>
      <c r="CN200" s="438">
        <f>SUM(CJ200:CM200)</f>
        <v>332.93552561375407</v>
      </c>
      <c r="CO200" s="437"/>
    </row>
    <row r="201" spans="1:93" s="137" customFormat="1" ht="18" customHeight="1" thickBot="1" x14ac:dyDescent="0.3">
      <c r="B201" s="136"/>
      <c r="J201" s="104"/>
      <c r="K201" s="104"/>
      <c r="L201" s="104"/>
      <c r="M201" s="104"/>
      <c r="N201" s="104"/>
      <c r="O201" s="205"/>
      <c r="P201" s="104"/>
      <c r="Q201" s="104"/>
      <c r="R201" s="104"/>
      <c r="S201" s="104"/>
      <c r="T201" s="104"/>
      <c r="U201" s="205"/>
      <c r="V201" s="104"/>
      <c r="W201" s="104"/>
      <c r="X201" s="104"/>
      <c r="Y201" s="104"/>
      <c r="Z201" s="104"/>
      <c r="AA201" s="205"/>
      <c r="AB201" s="104"/>
      <c r="AC201" s="104"/>
      <c r="AD201" s="104"/>
      <c r="AE201" s="104"/>
      <c r="AF201" s="104"/>
      <c r="AH201" s="104"/>
      <c r="AI201" s="104"/>
      <c r="AJ201" s="104"/>
      <c r="AK201" s="104"/>
      <c r="AL201" s="104"/>
      <c r="AN201" s="104"/>
      <c r="AO201" s="246"/>
      <c r="AP201" s="104"/>
      <c r="AQ201" s="246"/>
      <c r="AR201" s="246"/>
      <c r="AS201" s="205"/>
      <c r="AT201" s="104"/>
      <c r="AU201" s="246"/>
      <c r="AV201" s="265"/>
      <c r="AW201" s="104"/>
      <c r="AX201" s="104"/>
      <c r="AZ201" s="104"/>
      <c r="BA201" s="104"/>
      <c r="BB201" s="104"/>
      <c r="BC201" s="104"/>
      <c r="BD201" s="104"/>
      <c r="BF201" s="104"/>
      <c r="BG201" s="104"/>
      <c r="BH201" s="104"/>
      <c r="BI201" s="104"/>
      <c r="BJ201" s="104"/>
      <c r="BL201" s="104"/>
      <c r="BM201" s="104"/>
      <c r="BN201" s="104"/>
      <c r="BO201" s="104"/>
      <c r="BP201" s="104"/>
      <c r="BR201" s="104"/>
      <c r="BS201" s="104"/>
      <c r="BT201" s="104"/>
      <c r="BU201" s="104"/>
      <c r="BV201" s="104"/>
      <c r="BX201" s="104"/>
      <c r="BY201" s="104"/>
      <c r="BZ201" s="104"/>
      <c r="CA201" s="104"/>
      <c r="CB201" s="104"/>
      <c r="CD201" s="104"/>
      <c r="CE201" s="104"/>
      <c r="CF201" s="104"/>
      <c r="CG201" s="104"/>
      <c r="CH201" s="104"/>
      <c r="CJ201" s="104"/>
      <c r="CK201" s="104"/>
      <c r="CL201" s="104"/>
      <c r="CM201" s="104"/>
      <c r="CN201" s="104"/>
      <c r="CO201" s="379"/>
    </row>
    <row r="202" spans="1:93" s="137" customFormat="1" ht="18" customHeight="1" x14ac:dyDescent="0.25">
      <c r="B202" s="212" t="s">
        <v>7</v>
      </c>
      <c r="C202" s="207"/>
      <c r="D202" s="213"/>
      <c r="E202" s="213"/>
      <c r="F202" s="213"/>
      <c r="G202" s="213"/>
      <c r="H202" s="213"/>
      <c r="I202" s="207"/>
      <c r="J202" s="213"/>
      <c r="K202" s="213"/>
      <c r="L202" s="213"/>
      <c r="M202" s="213"/>
      <c r="N202" s="213"/>
      <c r="O202" s="208"/>
      <c r="P202" s="213"/>
      <c r="Q202" s="213"/>
      <c r="R202" s="213"/>
      <c r="S202" s="213"/>
      <c r="T202" s="213"/>
      <c r="U202" s="208"/>
      <c r="V202" s="213">
        <f>V195+V200</f>
        <v>407</v>
      </c>
      <c r="W202" s="213">
        <f t="shared" ref="W202:Z202" si="1914">W195+W200</f>
        <v>256</v>
      </c>
      <c r="X202" s="213">
        <f t="shared" si="1914"/>
        <v>272</v>
      </c>
      <c r="Y202" s="213">
        <f t="shared" si="1914"/>
        <v>379</v>
      </c>
      <c r="Z202" s="213">
        <f t="shared" si="1914"/>
        <v>1314</v>
      </c>
      <c r="AA202" s="208"/>
      <c r="AB202" s="213">
        <f t="shared" ref="AB202:AF202" si="1915">AB195+AB200</f>
        <v>411</v>
      </c>
      <c r="AC202" s="213">
        <f t="shared" si="1915"/>
        <v>450</v>
      </c>
      <c r="AD202" s="213">
        <f t="shared" si="1915"/>
        <v>381</v>
      </c>
      <c r="AE202" s="213">
        <f t="shared" si="1915"/>
        <v>390</v>
      </c>
      <c r="AF202" s="213">
        <f t="shared" si="1915"/>
        <v>1632</v>
      </c>
      <c r="AG202" s="207"/>
      <c r="AH202" s="213">
        <f t="shared" ref="AH202:AL202" si="1916">AH195+AH200</f>
        <v>453</v>
      </c>
      <c r="AI202" s="213">
        <f t="shared" si="1916"/>
        <v>446</v>
      </c>
      <c r="AJ202" s="213">
        <f t="shared" si="1916"/>
        <v>598</v>
      </c>
      <c r="AK202" s="213">
        <f t="shared" si="1916"/>
        <v>698</v>
      </c>
      <c r="AL202" s="213">
        <f t="shared" si="1916"/>
        <v>2195</v>
      </c>
      <c r="AM202" s="207"/>
      <c r="AN202" s="213">
        <f t="shared" ref="AN202:AR202" si="1917">AN195+AN200</f>
        <v>851</v>
      </c>
      <c r="AO202" s="213">
        <f t="shared" si="1917"/>
        <v>822</v>
      </c>
      <c r="AP202" s="213">
        <f t="shared" si="1917"/>
        <v>796</v>
      </c>
      <c r="AQ202" s="213">
        <f t="shared" si="1917"/>
        <v>667</v>
      </c>
      <c r="AR202" s="213">
        <f t="shared" si="1917"/>
        <v>3136</v>
      </c>
      <c r="AS202" s="208"/>
      <c r="AT202" s="213">
        <f t="shared" ref="AT202:AX202" si="1918">AT195+AT200</f>
        <v>793</v>
      </c>
      <c r="AU202" s="213">
        <f t="shared" si="1918"/>
        <v>781</v>
      </c>
      <c r="AV202" s="309">
        <f t="shared" si="1918"/>
        <v>685</v>
      </c>
      <c r="AW202" s="213">
        <f t="shared" si="1918"/>
        <v>648.61</v>
      </c>
      <c r="AX202" s="213">
        <f t="shared" si="1918"/>
        <v>2907.6099999999997</v>
      </c>
      <c r="AY202" s="207"/>
      <c r="AZ202" s="213">
        <f>AZ195+AZ200</f>
        <v>705.31000000000006</v>
      </c>
      <c r="BA202" s="213">
        <f>BA195+BA200</f>
        <v>754.44999999999993</v>
      </c>
      <c r="BB202" s="213">
        <f>BB195+BB200</f>
        <v>708.952</v>
      </c>
      <c r="BC202" s="213">
        <f>BC195+BC200</f>
        <v>676.52359999999999</v>
      </c>
      <c r="BD202" s="213">
        <f>BD195+BD200</f>
        <v>2845.2356000000004</v>
      </c>
      <c r="BE202" s="207"/>
      <c r="BF202" s="213">
        <f t="shared" ref="BF202:BJ202" si="1919">BF195+BF200</f>
        <v>739.52970000000016</v>
      </c>
      <c r="BG202" s="213">
        <f t="shared" si="1919"/>
        <v>791.05449999999996</v>
      </c>
      <c r="BH202" s="213">
        <f t="shared" si="1919"/>
        <v>745.60224000000005</v>
      </c>
      <c r="BI202" s="213">
        <f t="shared" si="1919"/>
        <v>713.30333199999995</v>
      </c>
      <c r="BJ202" s="213">
        <f t="shared" si="1919"/>
        <v>2989.4897719999999</v>
      </c>
      <c r="BK202" s="207"/>
      <c r="BL202" s="213">
        <f t="shared" ref="BL202:BP202" si="1920">BL195+BL200</f>
        <v>775.15126300000009</v>
      </c>
      <c r="BM202" s="213">
        <f t="shared" si="1920"/>
        <v>829.1562550000001</v>
      </c>
      <c r="BN202" s="213">
        <f t="shared" si="1920"/>
        <v>783.75313960000005</v>
      </c>
      <c r="BO202" s="213">
        <f t="shared" si="1920"/>
        <v>751.59294578000004</v>
      </c>
      <c r="BP202" s="213">
        <f t="shared" si="1920"/>
        <v>3139.6536033800003</v>
      </c>
      <c r="BQ202" s="207"/>
      <c r="BR202" s="213">
        <f t="shared" ref="BR202:BV202" si="1921">BR195+BR200</f>
        <v>810.04450602000009</v>
      </c>
      <c r="BS202" s="213">
        <f t="shared" si="1921"/>
        <v>866.62889770000004</v>
      </c>
      <c r="BT202" s="213">
        <f t="shared" si="1921"/>
        <v>821.17436018400031</v>
      </c>
      <c r="BU202" s="213">
        <f t="shared" si="1921"/>
        <v>788.89526236120003</v>
      </c>
      <c r="BV202" s="213">
        <f t="shared" si="1921"/>
        <v>3286.7430262652001</v>
      </c>
      <c r="BW202" s="207"/>
      <c r="BX202" s="213">
        <f t="shared" ref="BX202:CB202" si="1922">BX195+BX200</f>
        <v>846.30430661080015</v>
      </c>
      <c r="BY202" s="213">
        <f t="shared" si="1922"/>
        <v>905.57127395800012</v>
      </c>
      <c r="BZ202" s="213">
        <f t="shared" si="1922"/>
        <v>860.06186829136027</v>
      </c>
      <c r="CA202" s="213">
        <f t="shared" si="1922"/>
        <v>827.65554482064817</v>
      </c>
      <c r="CB202" s="213">
        <f t="shared" si="1922"/>
        <v>3439.5929936808088</v>
      </c>
      <c r="CC202" s="207"/>
      <c r="CD202" s="213">
        <f t="shared" ref="CD202:CH202" si="1923">CD195+CD200</f>
        <v>883.98474363223215</v>
      </c>
      <c r="CE202" s="213">
        <f t="shared" si="1923"/>
        <v>946.04158967332023</v>
      </c>
      <c r="CF202" s="213">
        <f t="shared" si="1923"/>
        <v>900.47370419701474</v>
      </c>
      <c r="CG202" s="213">
        <f t="shared" si="1923"/>
        <v>867.93142925777397</v>
      </c>
      <c r="CH202" s="213">
        <f t="shared" si="1923"/>
        <v>3598.4314667603408</v>
      </c>
      <c r="CI202" s="207"/>
      <c r="CJ202" s="213">
        <f t="shared" ref="CJ202:CN202" si="1924">CJ195+CJ200</f>
        <v>923.1420474296616</v>
      </c>
      <c r="CK202" s="213">
        <f t="shared" si="1924"/>
        <v>988.10036731239313</v>
      </c>
      <c r="CL202" s="213">
        <f t="shared" si="1924"/>
        <v>942.47021756237552</v>
      </c>
      <c r="CM202" s="213">
        <f t="shared" si="1924"/>
        <v>909.78284356527092</v>
      </c>
      <c r="CN202" s="213">
        <f t="shared" si="1924"/>
        <v>3763.4954758697013</v>
      </c>
      <c r="CO202" s="379"/>
    </row>
    <row r="203" spans="1:93" s="137" customFormat="1" ht="18" customHeight="1" thickBot="1" x14ac:dyDescent="0.3">
      <c r="B203" s="209" t="s">
        <v>8</v>
      </c>
      <c r="C203" s="210"/>
      <c r="D203" s="180">
        <f>D202/D173</f>
        <v>0</v>
      </c>
      <c r="E203" s="180">
        <f>E202/E173</f>
        <v>0</v>
      </c>
      <c r="F203" s="180">
        <f>F202/F173</f>
        <v>0</v>
      </c>
      <c r="G203" s="180">
        <f>G202/G173</f>
        <v>0</v>
      </c>
      <c r="H203" s="180">
        <f>H202/H173</f>
        <v>0</v>
      </c>
      <c r="I203" s="210"/>
      <c r="J203" s="180">
        <f>J202/J173</f>
        <v>0</v>
      </c>
      <c r="K203" s="180">
        <f>K202/K173</f>
        <v>0</v>
      </c>
      <c r="L203" s="180">
        <f>L202/L173</f>
        <v>0</v>
      </c>
      <c r="M203" s="180">
        <f>M202/M173</f>
        <v>0</v>
      </c>
      <c r="N203" s="180">
        <f>N202/N173</f>
        <v>0</v>
      </c>
      <c r="O203" s="211"/>
      <c r="P203" s="180">
        <f>P202/P173</f>
        <v>0</v>
      </c>
      <c r="Q203" s="180">
        <f>Q202/Q173</f>
        <v>0</v>
      </c>
      <c r="R203" s="180">
        <f>R202/R173</f>
        <v>0</v>
      </c>
      <c r="S203" s="180">
        <f>S202/S173</f>
        <v>0</v>
      </c>
      <c r="T203" s="180">
        <f>T202/T173</f>
        <v>0</v>
      </c>
      <c r="U203" s="211"/>
      <c r="V203" s="180">
        <f>V202/V173</f>
        <v>0.1952975047984645</v>
      </c>
      <c r="W203" s="180">
        <f>W202/W173</f>
        <v>0.14019715224534501</v>
      </c>
      <c r="X203" s="180">
        <f>X202/X173</f>
        <v>0.14977973568281938</v>
      </c>
      <c r="Y203" s="180">
        <f>Y202/Y173</f>
        <v>0.17385321100917431</v>
      </c>
      <c r="Z203" s="180">
        <f>Z202/Z173</f>
        <v>0.16620288388565646</v>
      </c>
      <c r="AA203" s="211"/>
      <c r="AB203" s="180">
        <f>AB202/AB173</f>
        <v>0.18870523415977961</v>
      </c>
      <c r="AC203" s="180">
        <f>AC202/AC173</f>
        <v>0.17667844522968199</v>
      </c>
      <c r="AD203" s="180">
        <f>AD202/AD173</f>
        <v>0.16103127641589179</v>
      </c>
      <c r="AE203" s="180">
        <f>AE202/AE173</f>
        <v>0.14343508642883412</v>
      </c>
      <c r="AF203" s="180">
        <f>AF202/AF173</f>
        <v>0.16636085626911315</v>
      </c>
      <c r="AG203" s="210"/>
      <c r="AH203" s="180">
        <f>AH202/AH173</f>
        <v>0.16007067137809186</v>
      </c>
      <c r="AI203" s="180">
        <f>AI202/AI173</f>
        <v>0.15062478892266126</v>
      </c>
      <c r="AJ203" s="180">
        <f>AJ202/AJ173</f>
        <v>0.19371558147068352</v>
      </c>
      <c r="AK203" s="180">
        <f>AK202/AK173</f>
        <v>0.2031431897555297</v>
      </c>
      <c r="AL203" s="180">
        <f>AL202/AL173</f>
        <v>0.1782523956472308</v>
      </c>
      <c r="AM203" s="210"/>
      <c r="AN203" s="180">
        <f>AN202/AN173</f>
        <v>0.24832214765100671</v>
      </c>
      <c r="AO203" s="180">
        <f>AO202/AO173</f>
        <v>0.23070446253157451</v>
      </c>
      <c r="AP203" s="180">
        <f>AP202/AP173</f>
        <v>0.2375410325276037</v>
      </c>
      <c r="AQ203" s="180">
        <f>AQ202/AQ173</f>
        <v>0.20573719925971623</v>
      </c>
      <c r="AR203" s="180">
        <f>AR202/AR173</f>
        <v>0.23087683133328427</v>
      </c>
      <c r="AS203" s="211"/>
      <c r="AT203" s="180">
        <f>AT202/AT173</f>
        <v>0.24835577826495459</v>
      </c>
      <c r="AU203" s="180">
        <f>AU202/AU173</f>
        <v>0.243605739238927</v>
      </c>
      <c r="AV203" s="310">
        <f>AV202/AV173</f>
        <v>0.226221928665786</v>
      </c>
      <c r="AW203" s="180">
        <f>AW202/AW173</f>
        <v>0.21684664504697271</v>
      </c>
      <c r="AX203" s="180">
        <f>AX202/AX173</f>
        <v>0.23414290430903278</v>
      </c>
      <c r="AY203" s="210"/>
      <c r="AZ203" s="180">
        <f>AZ202/AZ173</f>
        <v>0.24403501487786311</v>
      </c>
      <c r="BA203" s="180">
        <f>BA202/BA173</f>
        <v>0.24282265851303506</v>
      </c>
      <c r="BB203" s="180">
        <f>BB202/BB173</f>
        <v>0.22892755195618758</v>
      </c>
      <c r="BC203" s="180">
        <f>BC202/BC173</f>
        <v>0.22023241929487716</v>
      </c>
      <c r="BD203" s="180">
        <f>BD202/BD173</f>
        <v>0.23386967937108158</v>
      </c>
      <c r="BE203" s="210"/>
      <c r="BF203" s="180">
        <f>BF202/BF173</f>
        <v>0.24629578686262077</v>
      </c>
      <c r="BG203" s="180">
        <f>BG202/BG173</f>
        <v>0.24505418081336275</v>
      </c>
      <c r="BH203" s="180">
        <f>BH202/BH173</f>
        <v>0.23173242841926139</v>
      </c>
      <c r="BI203" s="180">
        <f>BI202/BI173</f>
        <v>0.22349841102239254</v>
      </c>
      <c r="BJ203" s="180">
        <f>BJ202/BJ173</f>
        <v>0.23651516772569073</v>
      </c>
      <c r="BK203" s="210"/>
      <c r="BL203" s="180">
        <f>BL202/BL173</f>
        <v>0.248484757707256</v>
      </c>
      <c r="BM203" s="180">
        <f>BM202/BM173</f>
        <v>0.24721391291457326</v>
      </c>
      <c r="BN203" s="180">
        <f>BN202/BN173</f>
        <v>0.23444505641912114</v>
      </c>
      <c r="BO203" s="180">
        <f>BO202/BO173</f>
        <v>0.2266566383817854</v>
      </c>
      <c r="BP203" s="180">
        <f>BP202/BP173</f>
        <v>0.23907458626738093</v>
      </c>
      <c r="BQ203" s="210"/>
      <c r="BR203" s="180">
        <f>BR202/BR173</f>
        <v>0.24992943825024175</v>
      </c>
      <c r="BS203" s="180">
        <f>BS202/BS173</f>
        <v>0.24867661898679241</v>
      </c>
      <c r="BT203" s="180">
        <f>BT202/BT173</f>
        <v>0.23640885403466669</v>
      </c>
      <c r="BU203" s="180">
        <f>BU202/BU173</f>
        <v>0.22896807173913877</v>
      </c>
      <c r="BV203" s="180">
        <f>BV202/BV173</f>
        <v>0.24087476082040557</v>
      </c>
      <c r="BW203" s="210"/>
      <c r="BX203" s="180">
        <f>BX202/BX173</f>
        <v>0.25131258421388331</v>
      </c>
      <c r="BY203" s="180">
        <f>BY202/BY173</f>
        <v>0.25007754656896591</v>
      </c>
      <c r="BZ203" s="180">
        <f>BZ202/BZ173</f>
        <v>0.23829206879798004</v>
      </c>
      <c r="CA203" s="180">
        <f>CA202/CA173</f>
        <v>0.23118512398329513</v>
      </c>
      <c r="CB203" s="180">
        <f>CB202/CB173</f>
        <v>0.24260020811827557</v>
      </c>
      <c r="CC203" s="210"/>
      <c r="CD203" s="180">
        <f>CD202/CD173</f>
        <v>0.25263650954552869</v>
      </c>
      <c r="CE203" s="180">
        <f>CE202/CE173</f>
        <v>0.25141902146108608</v>
      </c>
      <c r="CF203" s="180">
        <f>CF202/CF173</f>
        <v>0.24009769237768058</v>
      </c>
      <c r="CG203" s="180">
        <f>CG202/CG173</f>
        <v>0.23331128866178485</v>
      </c>
      <c r="CH203" s="180">
        <f>CH202/CH173</f>
        <v>0.2442537144672482</v>
      </c>
      <c r="CI203" s="210"/>
      <c r="CJ203" s="180">
        <f>CJ202/CJ173</f>
        <v>0.25390345258663038</v>
      </c>
      <c r="CK203" s="180">
        <f>CK202/CK173</f>
        <v>0.25270329254781854</v>
      </c>
      <c r="CL203" s="180">
        <f>CL202/CL173</f>
        <v>0.24182861849254292</v>
      </c>
      <c r="CM203" s="180">
        <f>CM202/CM173</f>
        <v>0.23534994531719466</v>
      </c>
      <c r="CN203" s="180">
        <f>CN202/CN173</f>
        <v>0.24583797492834955</v>
      </c>
      <c r="CO203" s="379"/>
    </row>
    <row r="204" spans="1:93" s="137" customFormat="1" ht="18" customHeight="1" x14ac:dyDescent="0.25">
      <c r="B204" s="382"/>
      <c r="C204" s="379"/>
      <c r="D204" s="247"/>
      <c r="E204" s="247"/>
      <c r="F204" s="247"/>
      <c r="G204" s="247"/>
      <c r="H204" s="247"/>
      <c r="I204" s="379"/>
      <c r="J204" s="247"/>
      <c r="K204" s="247"/>
      <c r="L204" s="247"/>
      <c r="M204" s="247"/>
      <c r="N204" s="247"/>
      <c r="O204" s="380"/>
      <c r="P204" s="247"/>
      <c r="Q204" s="247"/>
      <c r="R204" s="247"/>
      <c r="S204" s="247"/>
      <c r="T204" s="247"/>
      <c r="U204" s="380"/>
      <c r="V204" s="247"/>
      <c r="W204" s="247"/>
      <c r="X204" s="247"/>
      <c r="Y204" s="247"/>
      <c r="Z204" s="247"/>
      <c r="AA204" s="380"/>
      <c r="AB204" s="247"/>
      <c r="AC204" s="247"/>
      <c r="AD204" s="247"/>
      <c r="AE204" s="247"/>
      <c r="AF204" s="247"/>
      <c r="AG204" s="379"/>
      <c r="AH204" s="247"/>
      <c r="AI204" s="247"/>
      <c r="AJ204" s="247"/>
      <c r="AK204" s="247"/>
      <c r="AL204" s="247"/>
      <c r="AM204" s="379"/>
      <c r="AN204" s="247"/>
      <c r="AO204" s="247"/>
      <c r="AP204" s="247"/>
      <c r="AQ204" s="247"/>
      <c r="AR204" s="247"/>
      <c r="AS204" s="380"/>
      <c r="AT204" s="247"/>
      <c r="AU204" s="247"/>
      <c r="AV204" s="130"/>
      <c r="AW204" s="247"/>
      <c r="AX204" s="247"/>
      <c r="AY204" s="379"/>
      <c r="AZ204" s="247"/>
      <c r="BA204" s="247"/>
      <c r="BB204" s="247"/>
      <c r="BC204" s="247"/>
      <c r="BD204" s="247"/>
      <c r="BE204" s="379"/>
      <c r="BF204" s="247"/>
      <c r="BG204" s="247"/>
      <c r="BH204" s="247"/>
      <c r="BI204" s="247"/>
      <c r="BJ204" s="247"/>
      <c r="BK204" s="379"/>
      <c r="BL204" s="247"/>
      <c r="BM204" s="247"/>
      <c r="BN204" s="247"/>
      <c r="BO204" s="247"/>
      <c r="BP204" s="247"/>
      <c r="BQ204" s="379"/>
      <c r="BR204" s="247"/>
      <c r="BS204" s="247"/>
      <c r="BT204" s="247"/>
      <c r="BU204" s="247"/>
      <c r="BV204" s="247"/>
      <c r="BW204" s="379"/>
      <c r="BX204" s="247"/>
      <c r="BY204" s="247"/>
      <c r="BZ204" s="247"/>
      <c r="CA204" s="247"/>
      <c r="CB204" s="247"/>
      <c r="CC204" s="379"/>
      <c r="CD204" s="247"/>
      <c r="CE204" s="247"/>
      <c r="CF204" s="247"/>
      <c r="CG204" s="247"/>
      <c r="CH204" s="247"/>
      <c r="CI204" s="379"/>
      <c r="CJ204" s="247"/>
      <c r="CK204" s="247"/>
      <c r="CL204" s="247"/>
      <c r="CM204" s="247"/>
      <c r="CN204" s="247"/>
      <c r="CO204" s="379"/>
    </row>
    <row r="205" spans="1:93" s="435" customFormat="1" ht="18" customHeight="1" x14ac:dyDescent="0.25">
      <c r="B205" s="436" t="s">
        <v>335</v>
      </c>
      <c r="C205" s="437"/>
      <c r="J205" s="438"/>
      <c r="K205" s="438"/>
      <c r="L205" s="438"/>
      <c r="M205" s="438"/>
      <c r="N205" s="438"/>
      <c r="O205" s="439"/>
      <c r="P205" s="438"/>
      <c r="Q205" s="438"/>
      <c r="R205" s="438"/>
      <c r="S205" s="438"/>
      <c r="T205" s="440"/>
      <c r="U205" s="439"/>
      <c r="V205" s="440"/>
      <c r="W205" s="440"/>
      <c r="X205" s="440"/>
      <c r="Y205" s="443"/>
      <c r="Z205" s="440"/>
      <c r="AA205" s="440"/>
      <c r="AB205" s="440">
        <v>23</v>
      </c>
      <c r="AC205" s="440">
        <v>34</v>
      </c>
      <c r="AD205" s="440">
        <v>44</v>
      </c>
      <c r="AE205" s="443">
        <f>AF205-SUM(AB205:AD205)</f>
        <v>98</v>
      </c>
      <c r="AF205" s="440">
        <v>199</v>
      </c>
      <c r="AG205" s="440"/>
      <c r="AH205" s="440">
        <v>22</v>
      </c>
      <c r="AI205" s="440">
        <v>42</v>
      </c>
      <c r="AJ205" s="441">
        <v>65</v>
      </c>
      <c r="AK205" s="443">
        <f>AL205-SUM(AH205:AJ205)</f>
        <v>108</v>
      </c>
      <c r="AL205" s="440">
        <v>237</v>
      </c>
      <c r="AM205" s="440"/>
      <c r="AN205" s="440">
        <v>26</v>
      </c>
      <c r="AO205" s="440">
        <v>44</v>
      </c>
      <c r="AP205" s="440">
        <v>62</v>
      </c>
      <c r="AQ205" s="443">
        <f>AR205-SUM(AN205:AP205)</f>
        <v>113</v>
      </c>
      <c r="AR205" s="440">
        <v>245</v>
      </c>
      <c r="AS205" s="440"/>
      <c r="AT205" s="440">
        <v>34</v>
      </c>
      <c r="AU205" s="440">
        <v>52</v>
      </c>
      <c r="AV205" s="453">
        <v>64</v>
      </c>
      <c r="AW205" s="443">
        <f>AQ205*(1+AW206)</f>
        <v>124.30000000000001</v>
      </c>
      <c r="AX205" s="443">
        <f>SUM(AT205:AW205)</f>
        <v>274.3</v>
      </c>
      <c r="AY205" s="437"/>
      <c r="AZ205" s="443">
        <f t="shared" ref="AZ205" si="1925">AT205*(1+AZ206)</f>
        <v>35.700000000000003</v>
      </c>
      <c r="BA205" s="443">
        <f t="shared" ref="BA205" si="1926">AU205*(1+BA206)</f>
        <v>54.6</v>
      </c>
      <c r="BB205" s="443">
        <f t="shared" ref="BB205" si="1927">AV205*(1+BB206)</f>
        <v>67.2</v>
      </c>
      <c r="BC205" s="443">
        <f>AW205*(1+BC206)</f>
        <v>130.51500000000001</v>
      </c>
      <c r="BD205" s="443">
        <f>SUM(AZ205:BC205)</f>
        <v>288.01499999999999</v>
      </c>
      <c r="BE205" s="437"/>
      <c r="BF205" s="443">
        <f t="shared" ref="BF205" si="1928">AZ205*(1+BF206)</f>
        <v>37.485000000000007</v>
      </c>
      <c r="BG205" s="443">
        <f t="shared" ref="BG205" si="1929">BA205*(1+BG206)</f>
        <v>57.330000000000005</v>
      </c>
      <c r="BH205" s="443">
        <f t="shared" ref="BH205" si="1930">BB205*(1+BH206)</f>
        <v>70.56</v>
      </c>
      <c r="BI205" s="443">
        <f>BC205*(1+BI206)</f>
        <v>137.04075000000003</v>
      </c>
      <c r="BJ205" s="443">
        <f>SUM(BF205:BI205)</f>
        <v>302.41575</v>
      </c>
      <c r="BK205" s="437"/>
      <c r="BL205" s="443">
        <f t="shared" ref="BL205" si="1931">BF205*(1+BL206)</f>
        <v>39.35925000000001</v>
      </c>
      <c r="BM205" s="443">
        <f t="shared" ref="BM205" si="1932">BG205*(1+BM206)</f>
        <v>60.196500000000007</v>
      </c>
      <c r="BN205" s="443">
        <f t="shared" ref="BN205" si="1933">BH205*(1+BN206)</f>
        <v>74.088000000000008</v>
      </c>
      <c r="BO205" s="443">
        <f>BI205*(1+BO206)</f>
        <v>143.89278750000003</v>
      </c>
      <c r="BP205" s="443">
        <f>SUM(BL205:BO205)</f>
        <v>317.53653750000001</v>
      </c>
      <c r="BQ205" s="437"/>
      <c r="BR205" s="443">
        <f t="shared" ref="BR205" si="1934">BL205*(1+BR206)</f>
        <v>40.146435000000011</v>
      </c>
      <c r="BS205" s="443">
        <f t="shared" ref="BS205" si="1935">BM205*(1+BS206)</f>
        <v>61.400430000000007</v>
      </c>
      <c r="BT205" s="443">
        <f t="shared" ref="BT205" si="1936">BN205*(1+BT206)</f>
        <v>75.569760000000016</v>
      </c>
      <c r="BU205" s="443">
        <f>BO205*(1+BU206)</f>
        <v>146.77064325000003</v>
      </c>
      <c r="BV205" s="443">
        <f>SUM(BR205:BU205)</f>
        <v>323.88726825000009</v>
      </c>
      <c r="BW205" s="437"/>
      <c r="BX205" s="443">
        <f t="shared" ref="BX205" si="1937">BR205*(1+BX206)</f>
        <v>40.949363700000013</v>
      </c>
      <c r="BY205" s="443">
        <f t="shared" ref="BY205" si="1938">BS205*(1+BY206)</f>
        <v>62.62843860000001</v>
      </c>
      <c r="BZ205" s="443">
        <f t="shared" ref="BZ205" si="1939">BT205*(1+BZ206)</f>
        <v>77.081155200000012</v>
      </c>
      <c r="CA205" s="443">
        <f>BU205*(1+CA206)</f>
        <v>149.70605611500002</v>
      </c>
      <c r="CB205" s="443">
        <f>SUM(BX205:CA205)</f>
        <v>330.36501361500007</v>
      </c>
      <c r="CC205" s="437"/>
      <c r="CD205" s="443">
        <f t="shared" ref="CD205" si="1940">BX205*(1+CD206)</f>
        <v>41.768350974000015</v>
      </c>
      <c r="CE205" s="443">
        <f t="shared" ref="CE205" si="1941">BY205*(1+CE206)</f>
        <v>63.881007372000013</v>
      </c>
      <c r="CF205" s="443">
        <f t="shared" ref="CF205" si="1942">BZ205*(1+CF206)</f>
        <v>78.622778304000008</v>
      </c>
      <c r="CG205" s="443">
        <f>CA205*(1+CG206)</f>
        <v>152.70017723730004</v>
      </c>
      <c r="CH205" s="443">
        <f>SUM(CD205:CG205)</f>
        <v>336.97231388730006</v>
      </c>
      <c r="CI205" s="437"/>
      <c r="CJ205" s="443">
        <f t="shared" ref="CJ205" si="1943">CD205*(1+CJ206)</f>
        <v>42.603717993480018</v>
      </c>
      <c r="CK205" s="443">
        <f t="shared" ref="CK205" si="1944">CE205*(1+CK206)</f>
        <v>65.158627519440017</v>
      </c>
      <c r="CL205" s="443">
        <f t="shared" ref="CL205" si="1945">CF205*(1+CL206)</f>
        <v>80.195233870080003</v>
      </c>
      <c r="CM205" s="443">
        <f>CG205*(1+CM206)</f>
        <v>155.75418078204603</v>
      </c>
      <c r="CN205" s="443">
        <f>SUM(CJ205:CM205)</f>
        <v>343.71176016504609</v>
      </c>
      <c r="CO205" s="437"/>
    </row>
    <row r="206" spans="1:93" s="435" customFormat="1" ht="18" customHeight="1" x14ac:dyDescent="0.25">
      <c r="B206" s="14" t="s">
        <v>139</v>
      </c>
      <c r="C206" s="437"/>
      <c r="J206" s="438"/>
      <c r="K206" s="438"/>
      <c r="L206" s="438"/>
      <c r="M206" s="438"/>
      <c r="N206" s="438"/>
      <c r="O206" s="439"/>
      <c r="P206" s="438"/>
      <c r="Q206" s="438"/>
      <c r="R206" s="438"/>
      <c r="S206" s="438"/>
      <c r="T206" s="440"/>
      <c r="U206" s="439"/>
      <c r="V206" s="440"/>
      <c r="W206" s="440"/>
      <c r="X206" s="440"/>
      <c r="Y206" s="443"/>
      <c r="Z206" s="440"/>
      <c r="AA206" s="440"/>
      <c r="AB206" s="440"/>
      <c r="AC206" s="440"/>
      <c r="AD206" s="440"/>
      <c r="AE206" s="443"/>
      <c r="AF206" s="440"/>
      <c r="AG206" s="440"/>
      <c r="AH206" s="440"/>
      <c r="AI206" s="440"/>
      <c r="AJ206" s="441"/>
      <c r="AK206" s="443"/>
      <c r="AL206" s="440"/>
      <c r="AM206" s="440"/>
      <c r="AN206" s="440"/>
      <c r="AO206" s="440"/>
      <c r="AP206" s="440"/>
      <c r="AQ206" s="443"/>
      <c r="AR206" s="440"/>
      <c r="AS206" s="440"/>
      <c r="AT206" s="440"/>
      <c r="AU206" s="440"/>
      <c r="AV206" s="453"/>
      <c r="AW206" s="539">
        <v>0.1</v>
      </c>
      <c r="AX206" s="445"/>
      <c r="AY206" s="437"/>
      <c r="AZ206" s="454">
        <v>0.05</v>
      </c>
      <c r="BA206" s="454">
        <v>0.05</v>
      </c>
      <c r="BB206" s="454">
        <v>0.05</v>
      </c>
      <c r="BC206" s="454">
        <v>0.05</v>
      </c>
      <c r="BD206" s="445"/>
      <c r="BE206" s="437"/>
      <c r="BF206" s="454">
        <v>0.05</v>
      </c>
      <c r="BG206" s="454">
        <v>0.05</v>
      </c>
      <c r="BH206" s="454">
        <v>0.05</v>
      </c>
      <c r="BI206" s="454">
        <v>0.05</v>
      </c>
      <c r="BJ206" s="445"/>
      <c r="BK206" s="437"/>
      <c r="BL206" s="454">
        <v>0.05</v>
      </c>
      <c r="BM206" s="454">
        <v>0.05</v>
      </c>
      <c r="BN206" s="454">
        <v>0.05</v>
      </c>
      <c r="BO206" s="454">
        <v>0.05</v>
      </c>
      <c r="BP206" s="445"/>
      <c r="BQ206" s="437"/>
      <c r="BR206" s="454">
        <v>0.02</v>
      </c>
      <c r="BS206" s="454">
        <v>0.02</v>
      </c>
      <c r="BT206" s="454">
        <v>0.02</v>
      </c>
      <c r="BU206" s="454">
        <v>0.02</v>
      </c>
      <c r="BV206" s="445"/>
      <c r="BW206" s="437"/>
      <c r="BX206" s="454">
        <v>0.02</v>
      </c>
      <c r="BY206" s="454">
        <v>0.02</v>
      </c>
      <c r="BZ206" s="454">
        <v>0.02</v>
      </c>
      <c r="CA206" s="454">
        <v>0.02</v>
      </c>
      <c r="CB206" s="445"/>
      <c r="CC206" s="437"/>
      <c r="CD206" s="454">
        <v>0.02</v>
      </c>
      <c r="CE206" s="454">
        <v>0.02</v>
      </c>
      <c r="CF206" s="454">
        <v>0.02</v>
      </c>
      <c r="CG206" s="454">
        <v>0.02</v>
      </c>
      <c r="CH206" s="445"/>
      <c r="CI206" s="437"/>
      <c r="CJ206" s="454">
        <v>0.02</v>
      </c>
      <c r="CK206" s="454">
        <v>0.02</v>
      </c>
      <c r="CL206" s="454">
        <v>0.02</v>
      </c>
      <c r="CM206" s="454">
        <v>0.02</v>
      </c>
      <c r="CN206" s="445"/>
      <c r="CO206" s="437"/>
    </row>
    <row r="207" spans="1:93" ht="18" customHeight="1" thickBot="1" x14ac:dyDescent="0.3">
      <c r="B207" s="31"/>
      <c r="D207" s="74"/>
      <c r="E207" s="74"/>
      <c r="F207" s="74"/>
      <c r="G207" s="74"/>
      <c r="H207" s="74"/>
      <c r="I207" s="74"/>
      <c r="J207" s="198"/>
      <c r="K207" s="198"/>
      <c r="L207" s="198"/>
      <c r="M207" s="198"/>
      <c r="N207" s="198"/>
      <c r="O207" s="197"/>
      <c r="P207" s="198"/>
      <c r="Q207" s="198"/>
      <c r="R207" s="198"/>
      <c r="S207" s="198"/>
      <c r="T207" s="198"/>
      <c r="U207" s="197"/>
      <c r="V207" s="198"/>
      <c r="W207" s="198"/>
      <c r="X207" s="198"/>
      <c r="Y207" s="198"/>
      <c r="Z207" s="198"/>
      <c r="AA207" s="197"/>
      <c r="AB207" s="198"/>
      <c r="AC207" s="198"/>
      <c r="AD207" s="198"/>
      <c r="AE207" s="198"/>
      <c r="AF207" s="198"/>
      <c r="AH207" s="198"/>
      <c r="AI207" s="198"/>
      <c r="AJ207" s="249"/>
      <c r="AK207" s="198"/>
      <c r="AL207" s="198"/>
      <c r="AN207" s="198"/>
      <c r="AO207" s="249"/>
      <c r="AP207" s="198"/>
      <c r="AQ207" s="249"/>
      <c r="AR207" s="249"/>
      <c r="AS207" s="120"/>
      <c r="AT207" s="198"/>
      <c r="AU207" s="249"/>
      <c r="AV207" s="289"/>
      <c r="AW207" s="198"/>
      <c r="AX207" s="198"/>
      <c r="AZ207" s="198"/>
      <c r="BA207" s="198"/>
      <c r="BB207" s="198"/>
      <c r="BC207" s="198"/>
      <c r="BD207" s="198"/>
      <c r="BF207" s="198"/>
      <c r="BG207" s="198"/>
      <c r="BH207" s="198"/>
      <c r="BI207" s="198"/>
      <c r="BJ207" s="198"/>
      <c r="BL207" s="198"/>
      <c r="BM207" s="198"/>
      <c r="BN207" s="198"/>
      <c r="BO207" s="198"/>
      <c r="BP207" s="198"/>
      <c r="BR207" s="198"/>
      <c r="BS207" s="198"/>
      <c r="BT207" s="198"/>
      <c r="BU207" s="198"/>
      <c r="BV207" s="198"/>
      <c r="BX207" s="198"/>
      <c r="BY207" s="198"/>
      <c r="BZ207" s="198"/>
      <c r="CA207" s="198"/>
      <c r="CB207" s="198"/>
      <c r="CD207" s="198"/>
      <c r="CE207" s="198"/>
      <c r="CF207" s="198"/>
      <c r="CG207" s="198"/>
      <c r="CH207" s="198"/>
      <c r="CJ207" s="198"/>
      <c r="CK207" s="198"/>
      <c r="CL207" s="198"/>
      <c r="CM207" s="198"/>
      <c r="CN207" s="198"/>
    </row>
    <row r="208" spans="1:93" ht="18" customHeight="1" thickBot="1" x14ac:dyDescent="0.3">
      <c r="A208" s="405" t="s">
        <v>401</v>
      </c>
      <c r="B208" s="189" t="s">
        <v>373</v>
      </c>
      <c r="C208" s="124"/>
      <c r="D208" s="124"/>
      <c r="E208" s="124"/>
      <c r="F208" s="124"/>
      <c r="G208" s="124"/>
      <c r="H208" s="124"/>
      <c r="I208" s="124"/>
      <c r="J208" s="176"/>
      <c r="K208" s="176"/>
      <c r="L208" s="176"/>
      <c r="M208" s="176"/>
      <c r="N208" s="176"/>
      <c r="O208" s="176"/>
      <c r="P208" s="177"/>
      <c r="Q208" s="177"/>
      <c r="R208" s="177"/>
      <c r="S208" s="177"/>
      <c r="T208" s="177"/>
      <c r="U208" s="176"/>
      <c r="V208" s="178"/>
      <c r="W208" s="178"/>
      <c r="X208" s="178"/>
      <c r="Y208" s="178"/>
      <c r="Z208" s="178"/>
      <c r="AA208" s="176"/>
      <c r="AB208" s="178"/>
      <c r="AC208" s="178"/>
      <c r="AD208" s="178"/>
      <c r="AE208" s="178"/>
      <c r="AF208" s="178"/>
      <c r="AG208" s="124"/>
      <c r="AH208" s="179"/>
      <c r="AI208" s="179"/>
      <c r="AJ208" s="179"/>
      <c r="AK208" s="178"/>
      <c r="AL208" s="179"/>
      <c r="AM208" s="124"/>
      <c r="AN208" s="178"/>
      <c r="AO208" s="178"/>
      <c r="AP208" s="178"/>
      <c r="AQ208" s="178"/>
      <c r="AR208" s="178"/>
      <c r="AS208" s="176"/>
      <c r="AT208" s="178"/>
      <c r="AU208" s="178"/>
      <c r="AV208" s="307"/>
      <c r="AW208" s="178"/>
      <c r="AX208" s="178"/>
      <c r="AY208" s="124"/>
      <c r="AZ208" s="178"/>
      <c r="BA208" s="178"/>
      <c r="BB208" s="178"/>
      <c r="BC208" s="178"/>
      <c r="BD208" s="178"/>
      <c r="BE208" s="124"/>
      <c r="BF208" s="178"/>
      <c r="BG208" s="178"/>
      <c r="BH208" s="178"/>
      <c r="BI208" s="178"/>
      <c r="BJ208" s="178"/>
      <c r="BK208" s="124"/>
      <c r="BL208" s="178"/>
      <c r="BM208" s="178"/>
      <c r="BN208" s="178"/>
      <c r="BO208" s="178"/>
      <c r="BP208" s="178"/>
      <c r="BQ208" s="124"/>
      <c r="BR208" s="178"/>
      <c r="BS208" s="178"/>
      <c r="BT208" s="178"/>
      <c r="BU208" s="178"/>
      <c r="BV208" s="178"/>
      <c r="BW208" s="124"/>
      <c r="BX208" s="178"/>
      <c r="BY208" s="178"/>
      <c r="BZ208" s="178"/>
      <c r="CA208" s="178"/>
      <c r="CB208" s="178"/>
      <c r="CC208" s="124"/>
      <c r="CD208" s="178"/>
      <c r="CE208" s="178"/>
      <c r="CF208" s="178"/>
      <c r="CG208" s="178"/>
      <c r="CH208" s="178"/>
      <c r="CI208" s="124"/>
      <c r="CJ208" s="178"/>
      <c r="CK208" s="178"/>
      <c r="CL208" s="178"/>
      <c r="CM208" s="178"/>
      <c r="CN208" s="178"/>
    </row>
    <row r="209" spans="1:93" ht="18" customHeight="1" x14ac:dyDescent="0.25">
      <c r="A209" s="201"/>
      <c r="B209" s="31" t="s">
        <v>374</v>
      </c>
      <c r="D209" s="121">
        <v>1722</v>
      </c>
      <c r="E209" s="121">
        <v>1982</v>
      </c>
      <c r="F209" s="121">
        <v>1928</v>
      </c>
      <c r="G209" s="121">
        <v>2327</v>
      </c>
      <c r="H209" s="153">
        <f>SUM(D209:G209)</f>
        <v>7959</v>
      </c>
      <c r="I209" s="121"/>
      <c r="J209" s="121">
        <v>2225</v>
      </c>
      <c r="K209" s="121">
        <v>2582</v>
      </c>
      <c r="L209" s="121">
        <v>2309</v>
      </c>
      <c r="M209" s="121">
        <v>2569</v>
      </c>
      <c r="N209" s="153">
        <f>SUM(J209:M209)</f>
        <v>9685</v>
      </c>
      <c r="O209" s="121"/>
      <c r="P209" s="121">
        <v>2151</v>
      </c>
      <c r="Q209" s="121">
        <v>2297</v>
      </c>
      <c r="R209" s="121">
        <v>2129</v>
      </c>
      <c r="S209" s="121">
        <v>2287</v>
      </c>
      <c r="T209" s="153">
        <f>SUM(P209:S209)</f>
        <v>8864</v>
      </c>
      <c r="U209" s="121"/>
      <c r="V209" s="121">
        <v>1738</v>
      </c>
      <c r="W209" s="121">
        <v>1816</v>
      </c>
      <c r="X209" s="121">
        <v>1584</v>
      </c>
      <c r="Y209" s="121">
        <v>1705</v>
      </c>
      <c r="Z209" s="153">
        <f>SUM(V209:Y209)</f>
        <v>6843</v>
      </c>
      <c r="AA209" s="121"/>
      <c r="AB209" s="121">
        <v>1782</v>
      </c>
      <c r="AC209" s="121">
        <v>1992</v>
      </c>
      <c r="AD209" s="121">
        <v>1924</v>
      </c>
      <c r="AE209" s="121">
        <v>1913</v>
      </c>
      <c r="AF209" s="153">
        <f>SUM(AB209:AE209)</f>
        <v>7611</v>
      </c>
      <c r="AG209" s="121"/>
      <c r="AH209" s="121">
        <v>1938</v>
      </c>
      <c r="AI209" s="121">
        <v>2277</v>
      </c>
      <c r="AJ209" s="121">
        <v>2422</v>
      </c>
      <c r="AK209" s="121">
        <v>2538</v>
      </c>
      <c r="AL209" s="153">
        <f>SUM(AH209:AK209)</f>
        <v>9175</v>
      </c>
      <c r="AM209" s="121"/>
      <c r="AN209" s="121">
        <v>2572</v>
      </c>
      <c r="AO209" s="121">
        <v>3120</v>
      </c>
      <c r="AP209" s="121">
        <v>2966</v>
      </c>
      <c r="AQ209" s="121">
        <v>3324</v>
      </c>
      <c r="AR209" s="153">
        <f>SUM(AN209:AQ209)</f>
        <v>11982</v>
      </c>
      <c r="AS209" s="121"/>
      <c r="AT209" s="121">
        <v>2951</v>
      </c>
      <c r="AU209" s="121">
        <v>3308</v>
      </c>
      <c r="AV209" s="263">
        <v>3214</v>
      </c>
      <c r="AW209" s="153">
        <f>AQ209*(1+AW221)</f>
        <v>3656.4</v>
      </c>
      <c r="AX209" s="153">
        <f>SUM(AT209:AW209)</f>
        <v>13129.4</v>
      </c>
      <c r="AY209" s="121"/>
      <c r="AZ209" s="153">
        <f>AT209*(1+AZ221)</f>
        <v>3246.1000000000004</v>
      </c>
      <c r="BA209" s="153">
        <f t="shared" ref="BA209:BA213" si="1946">AU209*(1+BA221)</f>
        <v>3638.8</v>
      </c>
      <c r="BB209" s="153">
        <f t="shared" ref="BB209:BB213" si="1947">AV209*(1+BB221)</f>
        <v>3374.7000000000003</v>
      </c>
      <c r="BC209" s="153">
        <f t="shared" ref="BC209:BC213" si="1948">AW209*(1+BC221)</f>
        <v>3839.2200000000003</v>
      </c>
      <c r="BD209" s="153">
        <f>SUM(AZ209:BC209)</f>
        <v>14098.82</v>
      </c>
      <c r="BE209" s="121"/>
      <c r="BF209" s="153">
        <f>AZ209*(1+BF221)</f>
        <v>3408.4050000000007</v>
      </c>
      <c r="BG209" s="153">
        <f t="shared" ref="BG209:BG213" si="1949">BA209*(1+BG221)</f>
        <v>3820.7400000000002</v>
      </c>
      <c r="BH209" s="153">
        <f t="shared" ref="BH209:BH213" si="1950">BB209*(1+BH221)</f>
        <v>3543.4350000000004</v>
      </c>
      <c r="BI209" s="153">
        <f t="shared" ref="BI209:BI213" si="1951">BC209*(1+BI221)</f>
        <v>4031.1810000000005</v>
      </c>
      <c r="BJ209" s="153">
        <f>SUM(BF209:BI209)</f>
        <v>14803.761000000002</v>
      </c>
      <c r="BK209" s="27"/>
      <c r="BL209" s="153">
        <f>BF209*(1+BL221)</f>
        <v>3578.8252500000008</v>
      </c>
      <c r="BM209" s="153">
        <f t="shared" ref="BM209:BM213" si="1952">BG209*(1+BM221)</f>
        <v>4011.7770000000005</v>
      </c>
      <c r="BN209" s="153">
        <f t="shared" ref="BN209:BN213" si="1953">BH209*(1+BN221)</f>
        <v>3720.6067500000004</v>
      </c>
      <c r="BO209" s="153">
        <f t="shared" ref="BO209:BO213" si="1954">BI209*(1+BO221)</f>
        <v>4232.7400500000003</v>
      </c>
      <c r="BP209" s="153">
        <f>SUM(BL209:BO209)</f>
        <v>15543.949050000003</v>
      </c>
      <c r="BQ209" s="27"/>
      <c r="BR209" s="153">
        <f>BL209*(1+BR221)</f>
        <v>3757.7665125000008</v>
      </c>
      <c r="BS209" s="153">
        <f t="shared" ref="BS209:BS213" si="1955">BM209*(1+BS221)</f>
        <v>4212.365850000001</v>
      </c>
      <c r="BT209" s="153">
        <f t="shared" ref="BT209:BT213" si="1956">BN209*(1+BT221)</f>
        <v>3906.6370875000007</v>
      </c>
      <c r="BU209" s="153">
        <f t="shared" ref="BU209:BU213" si="1957">BO209*(1+BU221)</f>
        <v>4444.3770525000009</v>
      </c>
      <c r="BV209" s="153">
        <f>SUM(BR209:BU209)</f>
        <v>16321.146502500003</v>
      </c>
      <c r="BW209" s="27"/>
      <c r="BX209" s="153">
        <f>BR209*(1+BX221)</f>
        <v>3945.6548381250009</v>
      </c>
      <c r="BY209" s="153">
        <f t="shared" ref="BY209:BY213" si="1958">BS209*(1+BY221)</f>
        <v>4422.9841425000013</v>
      </c>
      <c r="BZ209" s="153">
        <f t="shared" ref="BZ209:BZ213" si="1959">BT209*(1+BZ221)</f>
        <v>4101.9689418750013</v>
      </c>
      <c r="CA209" s="153">
        <f t="shared" ref="CA209:CA213" si="1960">BU209*(1+CA221)</f>
        <v>4666.5959051250011</v>
      </c>
      <c r="CB209" s="153">
        <f>SUM(BX209:CA209)</f>
        <v>17137.203827625002</v>
      </c>
      <c r="CC209" s="27"/>
      <c r="CD209" s="153">
        <f>BX209*(1+CD221)</f>
        <v>4142.9375800312509</v>
      </c>
      <c r="CE209" s="153">
        <f t="shared" ref="CE209:CE213" si="1961">BY209*(1+CE221)</f>
        <v>4644.1333496250018</v>
      </c>
      <c r="CF209" s="153">
        <f t="shared" ref="CF209:CF213" si="1962">BZ209*(1+CF221)</f>
        <v>4307.0673889687514</v>
      </c>
      <c r="CG209" s="153">
        <f t="shared" ref="CG209:CG213" si="1963">CA209*(1+CG221)</f>
        <v>4899.9257003812518</v>
      </c>
      <c r="CH209" s="153">
        <f>SUM(CD209:CG209)</f>
        <v>17994.064019006255</v>
      </c>
      <c r="CI209" s="27"/>
      <c r="CJ209" s="153">
        <f>CD209*(1+CJ221)</f>
        <v>4350.0844590328134</v>
      </c>
      <c r="CK209" s="153">
        <f t="shared" ref="CK209:CK213" si="1964">CE209*(1+CK221)</f>
        <v>4876.3400171062522</v>
      </c>
      <c r="CL209" s="153">
        <f t="shared" ref="CL209:CL213" si="1965">CF209*(1+CL221)</f>
        <v>4522.4207584171891</v>
      </c>
      <c r="CM209" s="153">
        <f t="shared" ref="CM209:CM213" si="1966">CG209*(1+CM221)</f>
        <v>5144.921985400315</v>
      </c>
      <c r="CN209" s="153">
        <f>SUM(CJ209:CM209)</f>
        <v>18893.767219956571</v>
      </c>
    </row>
    <row r="210" spans="1:93" ht="18" customHeight="1" x14ac:dyDescent="0.25">
      <c r="A210" s="201"/>
      <c r="B210" s="31" t="s">
        <v>375</v>
      </c>
      <c r="D210" s="121">
        <v>275</v>
      </c>
      <c r="E210" s="121">
        <v>312</v>
      </c>
      <c r="F210" s="121">
        <v>300</v>
      </c>
      <c r="G210" s="121">
        <v>374</v>
      </c>
      <c r="H210" s="153">
        <f>SUM(D210:G210)</f>
        <v>1261</v>
      </c>
      <c r="I210" s="121"/>
      <c r="J210" s="121">
        <v>280</v>
      </c>
      <c r="K210" s="121">
        <v>287</v>
      </c>
      <c r="L210" s="121">
        <v>330</v>
      </c>
      <c r="M210" s="121">
        <v>434</v>
      </c>
      <c r="N210" s="153">
        <f>SUM(J210:M210)</f>
        <v>1331</v>
      </c>
      <c r="O210" s="121"/>
      <c r="P210" s="121">
        <v>332</v>
      </c>
      <c r="Q210" s="121">
        <v>325</v>
      </c>
      <c r="R210" s="121">
        <v>378</v>
      </c>
      <c r="S210" s="121">
        <v>354</v>
      </c>
      <c r="T210" s="153">
        <f>SUM(P210:S210)</f>
        <v>1389</v>
      </c>
      <c r="U210" s="121"/>
      <c r="V210" s="121">
        <v>249</v>
      </c>
      <c r="W210" s="121">
        <v>197</v>
      </c>
      <c r="X210" s="121">
        <v>221</v>
      </c>
      <c r="Y210" s="121">
        <v>265</v>
      </c>
      <c r="Z210" s="153">
        <f>SUM(V210:Y210)</f>
        <v>932</v>
      </c>
      <c r="AA210" s="121"/>
      <c r="AB210" s="121">
        <v>256</v>
      </c>
      <c r="AC210" s="121">
        <v>250</v>
      </c>
      <c r="AD210" s="121">
        <v>329</v>
      </c>
      <c r="AE210" s="121">
        <v>398</v>
      </c>
      <c r="AF210" s="153">
        <f>SUM(AB210:AE210)</f>
        <v>1233</v>
      </c>
      <c r="AG210" s="121"/>
      <c r="AH210" s="121">
        <v>310</v>
      </c>
      <c r="AI210" s="121">
        <v>382</v>
      </c>
      <c r="AJ210" s="121">
        <v>468</v>
      </c>
      <c r="AK210" s="121">
        <v>624</v>
      </c>
      <c r="AL210" s="153">
        <f>SUM(AH210:AK210)</f>
        <v>1784</v>
      </c>
      <c r="AM210" s="121"/>
      <c r="AN210" s="121">
        <v>380</v>
      </c>
      <c r="AO210" s="121">
        <v>459</v>
      </c>
      <c r="AP210" s="121">
        <v>460</v>
      </c>
      <c r="AQ210" s="121">
        <v>684</v>
      </c>
      <c r="AR210" s="153">
        <f>SUM(AN210:AQ210)</f>
        <v>1983</v>
      </c>
      <c r="AS210" s="121"/>
      <c r="AT210" s="121">
        <v>408</v>
      </c>
      <c r="AU210" s="121">
        <v>439</v>
      </c>
      <c r="AV210" s="263">
        <v>449</v>
      </c>
      <c r="AW210" s="153">
        <f t="shared" ref="AW210:AW213" si="1967">AQ210*(1+AW222)</f>
        <v>649.79999999999995</v>
      </c>
      <c r="AX210" s="153">
        <f t="shared" ref="AX210:AX213" si="1968">SUM(AT210:AW210)</f>
        <v>1945.8</v>
      </c>
      <c r="AY210" s="121"/>
      <c r="AZ210" s="153">
        <f t="shared" ref="AZ210:AZ213" si="1969">AT210*(1+AZ222)</f>
        <v>387.59999999999997</v>
      </c>
      <c r="BA210" s="153">
        <f t="shared" si="1946"/>
        <v>417.04999999999995</v>
      </c>
      <c r="BB210" s="153">
        <f t="shared" si="1947"/>
        <v>449</v>
      </c>
      <c r="BC210" s="153">
        <f t="shared" si="1948"/>
        <v>649.79999999999995</v>
      </c>
      <c r="BD210" s="153">
        <f t="shared" ref="BD210:BD213" si="1970">SUM(AZ210:BC210)</f>
        <v>1903.4499999999998</v>
      </c>
      <c r="BE210" s="121"/>
      <c r="BF210" s="153">
        <f t="shared" ref="BF210:BF213" si="1971">AZ210*(1+BF222)</f>
        <v>395.35199999999998</v>
      </c>
      <c r="BG210" s="153">
        <f t="shared" si="1949"/>
        <v>425.39099999999996</v>
      </c>
      <c r="BH210" s="153">
        <f t="shared" si="1950"/>
        <v>457.98</v>
      </c>
      <c r="BI210" s="153">
        <f t="shared" si="1951"/>
        <v>662.79599999999994</v>
      </c>
      <c r="BJ210" s="153">
        <f t="shared" ref="BJ210:BJ213" si="1972">SUM(BF210:BI210)</f>
        <v>1941.5189999999998</v>
      </c>
      <c r="BK210" s="27"/>
      <c r="BL210" s="153">
        <f t="shared" ref="BL210:BL213" si="1973">BF210*(1+BL222)</f>
        <v>403.25903999999997</v>
      </c>
      <c r="BM210" s="153">
        <f t="shared" si="1952"/>
        <v>433.89881999999994</v>
      </c>
      <c r="BN210" s="153">
        <f t="shared" si="1953"/>
        <v>467.13960000000003</v>
      </c>
      <c r="BO210" s="153">
        <f t="shared" si="1954"/>
        <v>676.05192</v>
      </c>
      <c r="BP210" s="153">
        <f t="shared" ref="BP210:BP213" si="1974">SUM(BL210:BO210)</f>
        <v>1980.3493800000001</v>
      </c>
      <c r="BQ210" s="27"/>
      <c r="BR210" s="153">
        <f t="shared" ref="BR210:BR213" si="1975">BL210*(1+BR222)</f>
        <v>411.32422079999998</v>
      </c>
      <c r="BS210" s="153">
        <f t="shared" si="1955"/>
        <v>442.57679639999998</v>
      </c>
      <c r="BT210" s="153">
        <f t="shared" si="1956"/>
        <v>476.48239200000006</v>
      </c>
      <c r="BU210" s="153">
        <f t="shared" si="1957"/>
        <v>689.57295840000006</v>
      </c>
      <c r="BV210" s="153">
        <f t="shared" ref="BV210:BV213" si="1976">SUM(BR210:BU210)</f>
        <v>2019.9563676</v>
      </c>
      <c r="BW210" s="27"/>
      <c r="BX210" s="153">
        <f t="shared" ref="BX210:BX213" si="1977">BR210*(1+BX222)</f>
        <v>419.55070521599998</v>
      </c>
      <c r="BY210" s="153">
        <f t="shared" si="1958"/>
        <v>451.42833232800001</v>
      </c>
      <c r="BZ210" s="153">
        <f t="shared" si="1959"/>
        <v>486.01203984000006</v>
      </c>
      <c r="CA210" s="153">
        <f t="shared" si="1960"/>
        <v>703.36441756800002</v>
      </c>
      <c r="CB210" s="153">
        <f t="shared" ref="CB210:CB213" si="1978">SUM(BX210:CA210)</f>
        <v>2060.3554949520003</v>
      </c>
      <c r="CC210" s="27"/>
      <c r="CD210" s="153">
        <f t="shared" ref="CD210:CD213" si="1979">BX210*(1+CD222)</f>
        <v>427.94171932031998</v>
      </c>
      <c r="CE210" s="153">
        <f t="shared" si="1961"/>
        <v>460.45689897456003</v>
      </c>
      <c r="CF210" s="153">
        <f t="shared" si="1962"/>
        <v>495.73228063680006</v>
      </c>
      <c r="CG210" s="153">
        <f t="shared" si="1963"/>
        <v>717.43170591936007</v>
      </c>
      <c r="CH210" s="153">
        <f t="shared" ref="CH210:CH213" si="1980">SUM(CD210:CG210)</f>
        <v>2101.5626048510399</v>
      </c>
      <c r="CI210" s="27"/>
      <c r="CJ210" s="153">
        <f t="shared" ref="CJ210:CJ213" si="1981">CD210*(1+CJ222)</f>
        <v>436.50055370672641</v>
      </c>
      <c r="CK210" s="153">
        <f t="shared" si="1964"/>
        <v>469.66603695405126</v>
      </c>
      <c r="CL210" s="153">
        <f t="shared" si="1965"/>
        <v>505.64692624953608</v>
      </c>
      <c r="CM210" s="153">
        <f t="shared" si="1966"/>
        <v>731.78034003774724</v>
      </c>
      <c r="CN210" s="153">
        <f t="shared" ref="CN210:CN213" si="1982">SUM(CJ210:CM210)</f>
        <v>2143.5938569480613</v>
      </c>
    </row>
    <row r="211" spans="1:93" ht="18" customHeight="1" x14ac:dyDescent="0.25">
      <c r="A211" s="201"/>
      <c r="B211" s="31" t="s">
        <v>376</v>
      </c>
      <c r="D211" s="121">
        <v>900</v>
      </c>
      <c r="E211" s="121">
        <v>1079</v>
      </c>
      <c r="F211" s="121">
        <v>1166</v>
      </c>
      <c r="G211" s="121">
        <v>1286</v>
      </c>
      <c r="H211" s="153">
        <f>SUM(D211:G211)</f>
        <v>4431</v>
      </c>
      <c r="I211" s="121"/>
      <c r="J211" s="121">
        <v>1092</v>
      </c>
      <c r="K211" s="121">
        <v>1153</v>
      </c>
      <c r="L211" s="121">
        <v>1180</v>
      </c>
      <c r="M211" s="121">
        <v>1509</v>
      </c>
      <c r="N211" s="153">
        <f>SUM(J211:M211)</f>
        <v>4934</v>
      </c>
      <c r="O211" s="121"/>
      <c r="P211" s="121">
        <v>1032</v>
      </c>
      <c r="Q211" s="121">
        <v>1160</v>
      </c>
      <c r="R211" s="121">
        <v>1224</v>
      </c>
      <c r="S211" s="121">
        <v>1578</v>
      </c>
      <c r="T211" s="153">
        <f>SUM(P211:S211)</f>
        <v>4994</v>
      </c>
      <c r="U211" s="121"/>
      <c r="V211" s="121">
        <v>1053</v>
      </c>
      <c r="W211" s="121">
        <v>929</v>
      </c>
      <c r="X211" s="121">
        <v>1113</v>
      </c>
      <c r="Y211" s="121">
        <v>1353</v>
      </c>
      <c r="Z211" s="153">
        <f>SUM(V211:Y211)</f>
        <v>4448</v>
      </c>
      <c r="AA211" s="121"/>
      <c r="AB211" s="121">
        <v>1093</v>
      </c>
      <c r="AC211" s="121">
        <v>1196</v>
      </c>
      <c r="AD211" s="121">
        <v>1144</v>
      </c>
      <c r="AE211" s="121">
        <v>1475</v>
      </c>
      <c r="AF211" s="153">
        <f>SUM(AB211:AE211)</f>
        <v>4908</v>
      </c>
      <c r="AG211" s="121"/>
      <c r="AH211" s="121">
        <v>1184</v>
      </c>
      <c r="AI211" s="121">
        <v>1215</v>
      </c>
      <c r="AJ211" s="121">
        <v>1280</v>
      </c>
      <c r="AK211" s="121">
        <v>1553</v>
      </c>
      <c r="AL211" s="153">
        <f>SUM(AH211:AK211)</f>
        <v>5232</v>
      </c>
      <c r="AM211" s="121"/>
      <c r="AN211" s="121">
        <v>1384</v>
      </c>
      <c r="AO211" s="121">
        <v>1479</v>
      </c>
      <c r="AP211" s="121">
        <v>1428</v>
      </c>
      <c r="AQ211" s="121">
        <v>1638</v>
      </c>
      <c r="AR211" s="153">
        <f>SUM(AN211:AQ211)</f>
        <v>5929</v>
      </c>
      <c r="AS211" s="121"/>
      <c r="AT211" s="121">
        <v>1294</v>
      </c>
      <c r="AU211" s="121">
        <v>1421</v>
      </c>
      <c r="AV211" s="263">
        <v>1486</v>
      </c>
      <c r="AW211" s="153">
        <f t="shared" si="1967"/>
        <v>1638</v>
      </c>
      <c r="AX211" s="153">
        <f t="shared" si="1968"/>
        <v>5839</v>
      </c>
      <c r="AY211" s="121"/>
      <c r="AZ211" s="153">
        <f t="shared" si="1969"/>
        <v>1358.7</v>
      </c>
      <c r="BA211" s="153">
        <f t="shared" si="1946"/>
        <v>1492.05</v>
      </c>
      <c r="BB211" s="153">
        <f t="shared" si="1947"/>
        <v>1560.3</v>
      </c>
      <c r="BC211" s="153">
        <f t="shared" si="1948"/>
        <v>1719.9</v>
      </c>
      <c r="BD211" s="153">
        <f t="shared" si="1970"/>
        <v>6130.9500000000007</v>
      </c>
      <c r="BE211" s="121"/>
      <c r="BF211" s="153">
        <f t="shared" si="1971"/>
        <v>1426.6350000000002</v>
      </c>
      <c r="BG211" s="153">
        <f t="shared" si="1949"/>
        <v>1566.6524999999999</v>
      </c>
      <c r="BH211" s="153">
        <f t="shared" si="1950"/>
        <v>1638.3150000000001</v>
      </c>
      <c r="BI211" s="153">
        <f t="shared" si="1951"/>
        <v>1805.8950000000002</v>
      </c>
      <c r="BJ211" s="153">
        <f t="shared" si="1972"/>
        <v>6437.4975000000013</v>
      </c>
      <c r="BK211" s="27"/>
      <c r="BL211" s="153">
        <f t="shared" si="1973"/>
        <v>1497.9667500000003</v>
      </c>
      <c r="BM211" s="153">
        <f t="shared" si="1952"/>
        <v>1644.9851249999999</v>
      </c>
      <c r="BN211" s="153">
        <f t="shared" si="1953"/>
        <v>1720.2307500000002</v>
      </c>
      <c r="BO211" s="153">
        <f t="shared" si="1954"/>
        <v>1896.1897500000002</v>
      </c>
      <c r="BP211" s="153">
        <f t="shared" si="1974"/>
        <v>6759.3723750000008</v>
      </c>
      <c r="BQ211" s="27"/>
      <c r="BR211" s="153">
        <f t="shared" si="1975"/>
        <v>1572.8650875000003</v>
      </c>
      <c r="BS211" s="153">
        <f t="shared" si="1955"/>
        <v>1727.2343812500001</v>
      </c>
      <c r="BT211" s="153">
        <f t="shared" si="1956"/>
        <v>1806.2422875000002</v>
      </c>
      <c r="BU211" s="153">
        <f t="shared" si="1957"/>
        <v>1990.9992375000004</v>
      </c>
      <c r="BV211" s="153">
        <f t="shared" si="1976"/>
        <v>7097.340993750001</v>
      </c>
      <c r="BW211" s="27"/>
      <c r="BX211" s="153">
        <f t="shared" si="1977"/>
        <v>1651.5083418750005</v>
      </c>
      <c r="BY211" s="153">
        <f t="shared" si="1958"/>
        <v>1813.5961003125001</v>
      </c>
      <c r="BZ211" s="153">
        <f t="shared" si="1959"/>
        <v>1896.5544018750004</v>
      </c>
      <c r="CA211" s="153">
        <f t="shared" si="1960"/>
        <v>2090.5491993750006</v>
      </c>
      <c r="CB211" s="153">
        <f t="shared" si="1978"/>
        <v>7452.2080434375021</v>
      </c>
      <c r="CC211" s="27"/>
      <c r="CD211" s="153">
        <f t="shared" si="1979"/>
        <v>1734.0837589687505</v>
      </c>
      <c r="CE211" s="153">
        <f t="shared" si="1961"/>
        <v>1904.2759053281252</v>
      </c>
      <c r="CF211" s="153">
        <f t="shared" si="1962"/>
        <v>1991.3821219687504</v>
      </c>
      <c r="CG211" s="153">
        <f t="shared" si="1963"/>
        <v>2195.0766593437506</v>
      </c>
      <c r="CH211" s="153">
        <f t="shared" si="1980"/>
        <v>7824.8184456093768</v>
      </c>
      <c r="CI211" s="27"/>
      <c r="CJ211" s="153">
        <f t="shared" si="1981"/>
        <v>1820.787946917188</v>
      </c>
      <c r="CK211" s="153">
        <f t="shared" si="1964"/>
        <v>1999.4897005945315</v>
      </c>
      <c r="CL211" s="153">
        <f t="shared" si="1965"/>
        <v>2090.9512280671879</v>
      </c>
      <c r="CM211" s="153">
        <f t="shared" si="1966"/>
        <v>2304.8304923109381</v>
      </c>
      <c r="CN211" s="153">
        <f t="shared" si="1982"/>
        <v>8216.0593678898458</v>
      </c>
    </row>
    <row r="212" spans="1:93" ht="18" customHeight="1" x14ac:dyDescent="0.25">
      <c r="A212" s="201"/>
      <c r="B212" s="31" t="s">
        <v>377</v>
      </c>
      <c r="D212" s="121">
        <v>459</v>
      </c>
      <c r="E212" s="121">
        <v>568</v>
      </c>
      <c r="F212" s="121">
        <v>567</v>
      </c>
      <c r="G212" s="121">
        <v>719</v>
      </c>
      <c r="H212" s="153">
        <f>SUM(D212:G212)</f>
        <v>2313</v>
      </c>
      <c r="I212" s="121"/>
      <c r="J212" s="121">
        <v>679</v>
      </c>
      <c r="K212" s="121">
        <v>692</v>
      </c>
      <c r="L212" s="121">
        <v>758</v>
      </c>
      <c r="M212" s="121">
        <v>753</v>
      </c>
      <c r="N212" s="153">
        <f>SUM(J212:M212)</f>
        <v>2882</v>
      </c>
      <c r="O212" s="121"/>
      <c r="P212" s="121">
        <v>718</v>
      </c>
      <c r="Q212" s="121">
        <v>742</v>
      </c>
      <c r="R212" s="121">
        <v>831</v>
      </c>
      <c r="S212" s="121">
        <v>947</v>
      </c>
      <c r="T212" s="153">
        <f>SUM(P212:S212)</f>
        <v>3238</v>
      </c>
      <c r="U212" s="121"/>
      <c r="V212" s="121">
        <v>578</v>
      </c>
      <c r="W212" s="121">
        <v>599</v>
      </c>
      <c r="X212" s="121">
        <v>557</v>
      </c>
      <c r="Y212" s="121">
        <v>707</v>
      </c>
      <c r="Z212" s="153">
        <f>SUM(V212:Y212)</f>
        <v>2441</v>
      </c>
      <c r="AA212" s="121"/>
      <c r="AB212" s="121">
        <v>527</v>
      </c>
      <c r="AC212" s="121">
        <v>682</v>
      </c>
      <c r="AD212" s="121">
        <v>744</v>
      </c>
      <c r="AE212" s="121">
        <v>965</v>
      </c>
      <c r="AF212" s="153">
        <f>SUM(AB212:AE212)</f>
        <v>2918</v>
      </c>
      <c r="AG212" s="121"/>
      <c r="AH212" s="121">
        <v>600</v>
      </c>
      <c r="AI212" s="121">
        <v>766</v>
      </c>
      <c r="AJ212" s="121">
        <v>827</v>
      </c>
      <c r="AK212" s="121">
        <v>953</v>
      </c>
      <c r="AL212" s="153">
        <f>SUM(AH212:AK212)</f>
        <v>3146</v>
      </c>
      <c r="AM212" s="121"/>
      <c r="AN212" s="121">
        <v>719</v>
      </c>
      <c r="AO212" s="121">
        <v>899</v>
      </c>
      <c r="AP212" s="121">
        <v>901</v>
      </c>
      <c r="AQ212" s="121">
        <v>942</v>
      </c>
      <c r="AR212" s="153">
        <f>SUM(AN212:AQ212)</f>
        <v>3461</v>
      </c>
      <c r="AS212" s="121"/>
      <c r="AT212" s="121">
        <v>834</v>
      </c>
      <c r="AU212" s="121">
        <v>912</v>
      </c>
      <c r="AV212" s="263">
        <v>856</v>
      </c>
      <c r="AW212" s="153">
        <f t="shared" si="1967"/>
        <v>942</v>
      </c>
      <c r="AX212" s="153">
        <f t="shared" si="1968"/>
        <v>3544</v>
      </c>
      <c r="AY212" s="121"/>
      <c r="AZ212" s="153">
        <f t="shared" si="1969"/>
        <v>875.7</v>
      </c>
      <c r="BA212" s="153">
        <f t="shared" si="1946"/>
        <v>957.6</v>
      </c>
      <c r="BB212" s="153">
        <f t="shared" si="1947"/>
        <v>898.80000000000007</v>
      </c>
      <c r="BC212" s="153">
        <f t="shared" si="1948"/>
        <v>989.1</v>
      </c>
      <c r="BD212" s="153">
        <f t="shared" si="1970"/>
        <v>3721.2000000000003</v>
      </c>
      <c r="BE212" s="121"/>
      <c r="BF212" s="153">
        <f t="shared" si="1971"/>
        <v>919.48500000000013</v>
      </c>
      <c r="BG212" s="153">
        <f t="shared" si="1949"/>
        <v>1005.48</v>
      </c>
      <c r="BH212" s="153">
        <f t="shared" si="1950"/>
        <v>943.74000000000012</v>
      </c>
      <c r="BI212" s="153">
        <f t="shared" si="1951"/>
        <v>1038.5550000000001</v>
      </c>
      <c r="BJ212" s="153">
        <f t="shared" si="1972"/>
        <v>3907.26</v>
      </c>
      <c r="BK212" s="27"/>
      <c r="BL212" s="153">
        <f t="shared" si="1973"/>
        <v>965.45925000000022</v>
      </c>
      <c r="BM212" s="153">
        <f t="shared" si="1952"/>
        <v>1055.7540000000001</v>
      </c>
      <c r="BN212" s="153">
        <f t="shared" si="1953"/>
        <v>990.92700000000013</v>
      </c>
      <c r="BO212" s="153">
        <f t="shared" si="1954"/>
        <v>1090.4827500000001</v>
      </c>
      <c r="BP212" s="153">
        <f t="shared" si="1974"/>
        <v>4102.6230000000005</v>
      </c>
      <c r="BQ212" s="27"/>
      <c r="BR212" s="153">
        <f t="shared" si="1975"/>
        <v>1013.7322125000003</v>
      </c>
      <c r="BS212" s="153">
        <f t="shared" si="1955"/>
        <v>1108.5417000000002</v>
      </c>
      <c r="BT212" s="153">
        <f t="shared" si="1956"/>
        <v>1040.4733500000002</v>
      </c>
      <c r="BU212" s="153">
        <f t="shared" si="1957"/>
        <v>1145.0068875000002</v>
      </c>
      <c r="BV212" s="153">
        <f t="shared" si="1976"/>
        <v>4307.7541500000007</v>
      </c>
      <c r="BW212" s="27"/>
      <c r="BX212" s="153">
        <f t="shared" si="1977"/>
        <v>1064.4188231250002</v>
      </c>
      <c r="BY212" s="153">
        <f t="shared" si="1958"/>
        <v>1163.9687850000003</v>
      </c>
      <c r="BZ212" s="153">
        <f t="shared" si="1959"/>
        <v>1092.4970175000003</v>
      </c>
      <c r="CA212" s="153">
        <f t="shared" si="1960"/>
        <v>1202.2572318750003</v>
      </c>
      <c r="CB212" s="153">
        <f t="shared" si="1978"/>
        <v>4523.1418575000007</v>
      </c>
      <c r="CC212" s="27"/>
      <c r="CD212" s="153">
        <f t="shared" si="1979"/>
        <v>1117.6397642812503</v>
      </c>
      <c r="CE212" s="153">
        <f t="shared" si="1961"/>
        <v>1222.1672242500003</v>
      </c>
      <c r="CF212" s="153">
        <f t="shared" si="1962"/>
        <v>1147.1218683750003</v>
      </c>
      <c r="CG212" s="153">
        <f t="shared" si="1963"/>
        <v>1262.3700934687504</v>
      </c>
      <c r="CH212" s="153">
        <f t="shared" si="1980"/>
        <v>4749.2989503750014</v>
      </c>
      <c r="CI212" s="27"/>
      <c r="CJ212" s="153">
        <f t="shared" si="1981"/>
        <v>1173.521752495313</v>
      </c>
      <c r="CK212" s="153">
        <f t="shared" si="1964"/>
        <v>1283.2755854625004</v>
      </c>
      <c r="CL212" s="153">
        <f t="shared" si="1965"/>
        <v>1204.4779617937504</v>
      </c>
      <c r="CM212" s="153">
        <f t="shared" si="1966"/>
        <v>1325.488598142188</v>
      </c>
      <c r="CN212" s="153">
        <f t="shared" si="1982"/>
        <v>4986.7638978937521</v>
      </c>
    </row>
    <row r="213" spans="1:93" ht="18" customHeight="1" x14ac:dyDescent="0.25">
      <c r="A213" s="201"/>
      <c r="B213" s="31" t="s">
        <v>378</v>
      </c>
      <c r="D213" s="121">
        <v>780</v>
      </c>
      <c r="E213" s="121">
        <v>827</v>
      </c>
      <c r="F213" s="121">
        <v>877</v>
      </c>
      <c r="G213" s="121">
        <v>934</v>
      </c>
      <c r="H213" s="153">
        <f>SUM(D213:G213)</f>
        <v>3418</v>
      </c>
      <c r="I213" s="121"/>
      <c r="J213" s="121">
        <v>943</v>
      </c>
      <c r="K213" s="121">
        <v>1010</v>
      </c>
      <c r="L213" s="121">
        <v>978</v>
      </c>
      <c r="M213" s="121">
        <v>1022</v>
      </c>
      <c r="N213" s="153">
        <f>SUM(J213:M213)</f>
        <v>3953</v>
      </c>
      <c r="O213" s="121"/>
      <c r="P213" s="121">
        <v>977</v>
      </c>
      <c r="Q213" s="121">
        <v>962</v>
      </c>
      <c r="R213" s="121">
        <v>890</v>
      </c>
      <c r="S213" s="121">
        <v>783</v>
      </c>
      <c r="T213" s="153">
        <f>SUM(P213:S213)</f>
        <v>3612</v>
      </c>
      <c r="U213" s="121"/>
      <c r="V213" s="121">
        <v>731</v>
      </c>
      <c r="W213" s="121">
        <v>608</v>
      </c>
      <c r="X213" s="121">
        <v>686</v>
      </c>
      <c r="Y213" s="121">
        <v>781</v>
      </c>
      <c r="Z213" s="153">
        <f>SUM(V213:Y213)</f>
        <v>2806</v>
      </c>
      <c r="AA213" s="121"/>
      <c r="AB213" s="121">
        <v>849</v>
      </c>
      <c r="AC213" s="121">
        <v>855</v>
      </c>
      <c r="AD213" s="121">
        <v>936</v>
      </c>
      <c r="AE213" s="121">
        <v>977</v>
      </c>
      <c r="AF213" s="153">
        <f>SUM(AB213:AE213)</f>
        <v>3617</v>
      </c>
      <c r="AG213" s="121"/>
      <c r="AH213" s="121">
        <v>1006</v>
      </c>
      <c r="AI213" s="121">
        <v>1065</v>
      </c>
      <c r="AJ213" s="121">
        <v>1189</v>
      </c>
      <c r="AK213" s="121">
        <v>1155</v>
      </c>
      <c r="AL213" s="153">
        <f>SUM(AH213:AK213)</f>
        <v>4415</v>
      </c>
      <c r="AM213" s="121"/>
      <c r="AN213" s="121">
        <v>1199</v>
      </c>
      <c r="AO213" s="121">
        <v>1262</v>
      </c>
      <c r="AP213" s="121">
        <v>1104</v>
      </c>
      <c r="AQ213" s="121">
        <v>1081</v>
      </c>
      <c r="AR213" s="153">
        <f>SUM(AN213:AQ213)</f>
        <v>4646</v>
      </c>
      <c r="AS213" s="121"/>
      <c r="AT213" s="121">
        <v>1194</v>
      </c>
      <c r="AU213" s="121">
        <v>1257</v>
      </c>
      <c r="AV213" s="376">
        <v>1182</v>
      </c>
      <c r="AW213" s="153">
        <f t="shared" si="1967"/>
        <v>1042.7207048967764</v>
      </c>
      <c r="AX213" s="153">
        <f t="shared" si="1968"/>
        <v>4675.7207048967766</v>
      </c>
      <c r="AY213" s="121"/>
      <c r="AZ213" s="153">
        <f t="shared" si="1969"/>
        <v>1132.7123709730072</v>
      </c>
      <c r="BA213" s="153">
        <f t="shared" si="1946"/>
        <v>1228.2714115400115</v>
      </c>
      <c r="BB213" s="153">
        <f t="shared" si="1947"/>
        <v>1209.5101664527454</v>
      </c>
      <c r="BC213" s="153">
        <f t="shared" si="1948"/>
        <v>1083.8350689330546</v>
      </c>
      <c r="BD213" s="153">
        <f t="shared" si="1970"/>
        <v>4654.3290178988191</v>
      </c>
      <c r="BE213" s="121"/>
      <c r="BF213" s="153">
        <f t="shared" si="1971"/>
        <v>1182.9365499773392</v>
      </c>
      <c r="BG213" s="153">
        <f t="shared" si="1949"/>
        <v>1282.7842035170552</v>
      </c>
      <c r="BH213" s="153">
        <f t="shared" si="1950"/>
        <v>1263.1869910481173</v>
      </c>
      <c r="BI213" s="153">
        <f t="shared" si="1951"/>
        <v>1131.9277307188147</v>
      </c>
      <c r="BJ213" s="153">
        <f t="shared" si="1972"/>
        <v>4860.8354752613268</v>
      </c>
      <c r="BK213" s="27"/>
      <c r="BL213" s="153">
        <f t="shared" si="1973"/>
        <v>1226.044793483936</v>
      </c>
      <c r="BM213" s="153">
        <f t="shared" si="1952"/>
        <v>1329.5820280393234</v>
      </c>
      <c r="BN213" s="153">
        <f t="shared" si="1953"/>
        <v>1309.3490740003176</v>
      </c>
      <c r="BO213" s="153">
        <f t="shared" si="1954"/>
        <v>1173.3439431357176</v>
      </c>
      <c r="BP213" s="153">
        <f t="shared" si="1974"/>
        <v>5038.3198386592949</v>
      </c>
      <c r="BQ213" s="27"/>
      <c r="BR213" s="153">
        <f t="shared" si="1975"/>
        <v>1270.7655180656095</v>
      </c>
      <c r="BS213" s="153">
        <f t="shared" si="1955"/>
        <v>1378.1302550129285</v>
      </c>
      <c r="BT213" s="153">
        <f t="shared" si="1956"/>
        <v>1357.2408700506185</v>
      </c>
      <c r="BU213" s="153">
        <f t="shared" si="1957"/>
        <v>1216.3141786173335</v>
      </c>
      <c r="BV213" s="153">
        <f t="shared" si="1976"/>
        <v>5222.45082174649</v>
      </c>
      <c r="BW213" s="27"/>
      <c r="BX213" s="153">
        <f t="shared" si="1977"/>
        <v>1317.1595255997349</v>
      </c>
      <c r="BY213" s="153">
        <f t="shared" si="1958"/>
        <v>1428.4948868308122</v>
      </c>
      <c r="BZ213" s="153">
        <f t="shared" si="1959"/>
        <v>1406.92771878806</v>
      </c>
      <c r="CA213" s="153">
        <f t="shared" si="1960"/>
        <v>1260.8972207866645</v>
      </c>
      <c r="CB213" s="153">
        <f t="shared" si="1978"/>
        <v>5413.4793520052717</v>
      </c>
      <c r="CC213" s="27"/>
      <c r="CD213" s="153">
        <f t="shared" si="1979"/>
        <v>1365.2899307259581</v>
      </c>
      <c r="CE213" s="153">
        <f t="shared" si="1961"/>
        <v>1480.7444365491635</v>
      </c>
      <c r="CF213" s="153">
        <f t="shared" si="1962"/>
        <v>1458.4774495273721</v>
      </c>
      <c r="CG213" s="153">
        <f t="shared" si="1963"/>
        <v>1307.1540961015512</v>
      </c>
      <c r="CH213" s="153">
        <f t="shared" si="1980"/>
        <v>5611.6659129040454</v>
      </c>
      <c r="CI213" s="27"/>
      <c r="CJ213" s="153">
        <f t="shared" si="1981"/>
        <v>1415.2222495959591</v>
      </c>
      <c r="CK213" s="153">
        <f t="shared" si="1964"/>
        <v>1534.9500242298059</v>
      </c>
      <c r="CL213" s="153">
        <f t="shared" si="1965"/>
        <v>1511.9604769989091</v>
      </c>
      <c r="CM213" s="153">
        <f t="shared" si="1966"/>
        <v>1355.1481601584469</v>
      </c>
      <c r="CN213" s="153">
        <f t="shared" si="1982"/>
        <v>5817.2809109831214</v>
      </c>
    </row>
    <row r="214" spans="1:93" ht="18" customHeight="1" x14ac:dyDescent="0.25">
      <c r="B214" s="155" t="s">
        <v>141</v>
      </c>
      <c r="C214" s="13"/>
      <c r="D214" s="200">
        <f t="shared" ref="D214" si="1983">SUM(D209:D213)</f>
        <v>4136</v>
      </c>
      <c r="E214" s="200">
        <f t="shared" ref="E214" si="1984">SUM(E209:E213)</f>
        <v>4768</v>
      </c>
      <c r="F214" s="200">
        <f t="shared" ref="F214" si="1985">SUM(F209:F213)</f>
        <v>4838</v>
      </c>
      <c r="G214" s="200">
        <f t="shared" ref="G214" si="1986">SUM(G209:G213)</f>
        <v>5640</v>
      </c>
      <c r="H214" s="200">
        <f t="shared" ref="H214" si="1987">SUM(H209:H213)</f>
        <v>19382</v>
      </c>
      <c r="I214" s="46"/>
      <c r="J214" s="200">
        <f t="shared" ref="J214" si="1988">SUM(J209:J213)</f>
        <v>5219</v>
      </c>
      <c r="K214" s="200">
        <f t="shared" ref="K214" si="1989">SUM(K209:K213)</f>
        <v>5724</v>
      </c>
      <c r="L214" s="200">
        <f t="shared" ref="L214" si="1990">SUM(L209:L213)</f>
        <v>5555</v>
      </c>
      <c r="M214" s="200">
        <f t="shared" ref="M214" si="1991">SUM(M209:M213)</f>
        <v>6287</v>
      </c>
      <c r="N214" s="200">
        <f t="shared" ref="N214" si="1992">SUM(N209:N213)</f>
        <v>22785</v>
      </c>
      <c r="O214" s="73"/>
      <c r="P214" s="200">
        <f t="shared" ref="P214" si="1993">SUM(P209:P213)</f>
        <v>5210</v>
      </c>
      <c r="Q214" s="200">
        <f t="shared" ref="Q214" si="1994">SUM(Q209:Q213)</f>
        <v>5486</v>
      </c>
      <c r="R214" s="200">
        <f t="shared" ref="R214" si="1995">SUM(R209:R213)</f>
        <v>5452</v>
      </c>
      <c r="S214" s="200">
        <f t="shared" ref="S214" si="1996">SUM(S209:S213)</f>
        <v>5949</v>
      </c>
      <c r="T214" s="200">
        <f t="shared" ref="T214" si="1997">SUM(T209:T213)</f>
        <v>22097</v>
      </c>
      <c r="U214" s="73"/>
      <c r="V214" s="200">
        <f t="shared" ref="V214" si="1998">SUM(V209:V213)</f>
        <v>4349</v>
      </c>
      <c r="W214" s="200">
        <f t="shared" ref="W214" si="1999">SUM(W209:W213)</f>
        <v>4149</v>
      </c>
      <c r="X214" s="200">
        <f t="shared" ref="X214" si="2000">SUM(X209:X213)</f>
        <v>4161</v>
      </c>
      <c r="Y214" s="200">
        <f t="shared" ref="Y214" si="2001">SUM(Y209:Y213)</f>
        <v>4811</v>
      </c>
      <c r="Z214" s="200">
        <f t="shared" ref="Z214" si="2002">SUM(Z209:Z213)</f>
        <v>17470</v>
      </c>
      <c r="AA214" s="73"/>
      <c r="AB214" s="200">
        <f t="shared" ref="AB214" si="2003">SUM(AB209:AB213)</f>
        <v>4507</v>
      </c>
      <c r="AC214" s="200">
        <f t="shared" ref="AC214" si="2004">SUM(AC209:AC213)</f>
        <v>4975</v>
      </c>
      <c r="AD214" s="200">
        <f t="shared" ref="AD214" si="2005">SUM(AD209:AD213)</f>
        <v>5077</v>
      </c>
      <c r="AE214" s="200">
        <f t="shared" ref="AE214" si="2006">SUM(AE209:AE213)</f>
        <v>5728</v>
      </c>
      <c r="AF214" s="200">
        <f t="shared" ref="AF214" si="2007">SUM(AF209:AF213)</f>
        <v>20287</v>
      </c>
      <c r="AG214" s="46"/>
      <c r="AH214" s="200">
        <f t="shared" ref="AH214" si="2008">SUM(AH209:AH213)</f>
        <v>5038</v>
      </c>
      <c r="AI214" s="200">
        <f t="shared" ref="AI214" si="2009">SUM(AI209:AI213)</f>
        <v>5705</v>
      </c>
      <c r="AJ214" s="200">
        <f t="shared" ref="AJ214" si="2010">SUM(AJ209:AJ213)</f>
        <v>6186</v>
      </c>
      <c r="AK214" s="200">
        <f t="shared" ref="AK214" si="2011">SUM(AK209:AK213)</f>
        <v>6823</v>
      </c>
      <c r="AL214" s="200">
        <f t="shared" ref="AL214" si="2012">SUM(AL209:AL213)</f>
        <v>23752</v>
      </c>
      <c r="AM214" s="46"/>
      <c r="AN214" s="200">
        <f t="shared" ref="AN214" si="2013">SUM(AN209:AN213)</f>
        <v>6254</v>
      </c>
      <c r="AO214" s="200">
        <f t="shared" ref="AO214" si="2014">SUM(AO209:AO213)</f>
        <v>7219</v>
      </c>
      <c r="AP214" s="200">
        <f t="shared" ref="AP214" si="2015">SUM(AP209:AP213)</f>
        <v>6859</v>
      </c>
      <c r="AQ214" s="200">
        <f t="shared" ref="AQ214" si="2016">SUM(AQ209:AQ213)</f>
        <v>7669</v>
      </c>
      <c r="AR214" s="200">
        <f t="shared" ref="AR214" si="2017">SUM(AR209:AR213)</f>
        <v>28001</v>
      </c>
      <c r="AS214" s="202"/>
      <c r="AT214" s="200">
        <f t="shared" ref="AT214" si="2018">SUM(AT209:AT213)</f>
        <v>6681</v>
      </c>
      <c r="AU214" s="200">
        <f t="shared" ref="AU214" si="2019">SUM(AU209:AU213)</f>
        <v>7337</v>
      </c>
      <c r="AV214" s="311">
        <f t="shared" ref="AV214" si="2020">SUM(AV209:AV213)</f>
        <v>7187</v>
      </c>
      <c r="AW214" s="73">
        <f t="shared" ref="AW214:AX214" si="2021">SUM(AW209:AW213)</f>
        <v>7928.9207048967764</v>
      </c>
      <c r="AX214" s="73">
        <f t="shared" si="2021"/>
        <v>29133.920704896773</v>
      </c>
      <c r="AY214" s="46"/>
      <c r="AZ214" s="73">
        <f t="shared" ref="AZ214:BD214" si="2022">SUM(AZ209:AZ213)</f>
        <v>7000.812370973008</v>
      </c>
      <c r="BA214" s="73">
        <f t="shared" si="2022"/>
        <v>7733.7714115400122</v>
      </c>
      <c r="BB214" s="73">
        <f t="shared" si="2022"/>
        <v>7492.3101664527458</v>
      </c>
      <c r="BC214" s="73">
        <f t="shared" si="2022"/>
        <v>8281.855068933055</v>
      </c>
      <c r="BD214" s="73">
        <f t="shared" si="2022"/>
        <v>30508.749017898823</v>
      </c>
      <c r="BE214" s="46"/>
      <c r="BF214" s="73">
        <f t="shared" ref="BF214:BJ214" si="2023">SUM(BF209:BF213)</f>
        <v>7332.8135499773398</v>
      </c>
      <c r="BG214" s="73">
        <f t="shared" si="2023"/>
        <v>8101.0477035170561</v>
      </c>
      <c r="BH214" s="73">
        <f t="shared" si="2023"/>
        <v>7846.6569910481176</v>
      </c>
      <c r="BI214" s="73">
        <f t="shared" si="2023"/>
        <v>8670.3547307188164</v>
      </c>
      <c r="BJ214" s="73">
        <f t="shared" si="2023"/>
        <v>31950.872975261333</v>
      </c>
      <c r="BK214" s="46"/>
      <c r="BL214" s="73">
        <f t="shared" ref="BL214:BP214" si="2024">SUM(BL209:BL213)</f>
        <v>7671.5550834839369</v>
      </c>
      <c r="BM214" s="73">
        <f t="shared" si="2024"/>
        <v>8475.9969730393241</v>
      </c>
      <c r="BN214" s="73">
        <f t="shared" si="2024"/>
        <v>8208.2531740003178</v>
      </c>
      <c r="BO214" s="73">
        <f t="shared" si="2024"/>
        <v>9068.8084131357191</v>
      </c>
      <c r="BP214" s="73">
        <f t="shared" si="2024"/>
        <v>33424.613643659293</v>
      </c>
      <c r="BQ214" s="46"/>
      <c r="BR214" s="73">
        <f t="shared" ref="BR214:BV214" si="2025">SUM(BR209:BR213)</f>
        <v>8026.4535513656101</v>
      </c>
      <c r="BS214" s="73">
        <f t="shared" si="2025"/>
        <v>8868.8489826629302</v>
      </c>
      <c r="BT214" s="73">
        <f t="shared" si="2025"/>
        <v>8587.075987050619</v>
      </c>
      <c r="BU214" s="73">
        <f t="shared" si="2025"/>
        <v>9486.2703145173346</v>
      </c>
      <c r="BV214" s="73">
        <f t="shared" si="2025"/>
        <v>34968.648835596498</v>
      </c>
      <c r="BW214" s="46"/>
      <c r="BX214" s="73">
        <f t="shared" ref="BX214:CB214" si="2026">SUM(BX209:BX213)</f>
        <v>8398.292233940736</v>
      </c>
      <c r="BY214" s="73">
        <f t="shared" si="2026"/>
        <v>9280.4722469713142</v>
      </c>
      <c r="BZ214" s="73">
        <f t="shared" si="2026"/>
        <v>8983.960119878062</v>
      </c>
      <c r="CA214" s="73">
        <f t="shared" si="2026"/>
        <v>9923.6639747296667</v>
      </c>
      <c r="CB214" s="73">
        <f t="shared" si="2026"/>
        <v>36586.388575519777</v>
      </c>
      <c r="CC214" s="46"/>
      <c r="CD214" s="73">
        <f t="shared" ref="CD214:CH214" si="2027">SUM(CD209:CD213)</f>
        <v>8787.8927533275291</v>
      </c>
      <c r="CE214" s="73">
        <f t="shared" si="2027"/>
        <v>9711.7778147268509</v>
      </c>
      <c r="CF214" s="73">
        <f t="shared" si="2027"/>
        <v>9399.7811094766748</v>
      </c>
      <c r="CG214" s="73">
        <f t="shared" si="2027"/>
        <v>10381.958255214662</v>
      </c>
      <c r="CH214" s="73">
        <f t="shared" si="2027"/>
        <v>38281.409932745722</v>
      </c>
      <c r="CI214" s="46"/>
      <c r="CJ214" s="73">
        <f t="shared" ref="CJ214:CN214" si="2028">SUM(CJ209:CJ213)</f>
        <v>9196.1169617480009</v>
      </c>
      <c r="CK214" s="73">
        <f t="shared" si="2028"/>
        <v>10163.72136434714</v>
      </c>
      <c r="CL214" s="73">
        <f t="shared" si="2028"/>
        <v>9835.4573515265729</v>
      </c>
      <c r="CM214" s="73">
        <f t="shared" si="2028"/>
        <v>10862.169576049635</v>
      </c>
      <c r="CN214" s="73">
        <f t="shared" si="2028"/>
        <v>40057.465253671355</v>
      </c>
    </row>
    <row r="215" spans="1:93" ht="18" customHeight="1" x14ac:dyDescent="0.25">
      <c r="B215" s="14" t="s">
        <v>139</v>
      </c>
      <c r="J215" s="67">
        <f>J214/D214-1</f>
        <v>0.26184719535783363</v>
      </c>
      <c r="K215" s="67">
        <f>K214/E214-1</f>
        <v>0.20050335570469802</v>
      </c>
      <c r="L215" s="67">
        <f>L214/F214-1</f>
        <v>0.14820173625465061</v>
      </c>
      <c r="M215" s="67">
        <f>M214/G214-1</f>
        <v>0.1147163120567376</v>
      </c>
      <c r="N215" s="67">
        <f>N214/H214-1</f>
        <v>0.17557527602930545</v>
      </c>
      <c r="O215" s="120"/>
      <c r="P215" s="67">
        <f>P214/J214-1</f>
        <v>-1.7244682889442364E-3</v>
      </c>
      <c r="Q215" s="67">
        <f>Q214/K214-1</f>
        <v>-4.1579315164220865E-2</v>
      </c>
      <c r="R215" s="67">
        <f>R214/L214-1</f>
        <v>-1.8541854185418538E-2</v>
      </c>
      <c r="S215" s="67">
        <f>S214/M214-1</f>
        <v>-5.3761730555113685E-2</v>
      </c>
      <c r="T215" s="67">
        <f>T214/N214-1</f>
        <v>-3.0195303928022832E-2</v>
      </c>
      <c r="U215" s="120"/>
      <c r="V215" s="67">
        <f>V214/P214-1</f>
        <v>-0.1652591170825336</v>
      </c>
      <c r="W215" s="67">
        <f>W214/Q214-1</f>
        <v>-0.24371126503827922</v>
      </c>
      <c r="X215" s="67">
        <f>X214/R214-1</f>
        <v>-0.23679383712399116</v>
      </c>
      <c r="Y215" s="67">
        <f>Y214/S214-1</f>
        <v>-0.19129265422760122</v>
      </c>
      <c r="Z215" s="67">
        <f>Z214/T214-1</f>
        <v>-0.20939494048965923</v>
      </c>
      <c r="AA215" s="120"/>
      <c r="AB215" s="67">
        <f>AB214/V214-1</f>
        <v>3.6330190848471E-2</v>
      </c>
      <c r="AC215" s="67">
        <f>AC214/W214-1</f>
        <v>0.19908411665461556</v>
      </c>
      <c r="AD215" s="67">
        <f>AD214/X214-1</f>
        <v>0.22013938956981494</v>
      </c>
      <c r="AE215" s="67">
        <f>AE214/Y214-1</f>
        <v>0.19060486385366859</v>
      </c>
      <c r="AF215" s="67">
        <f>AF214/Z214-1</f>
        <v>0.16124785346307946</v>
      </c>
      <c r="AH215" s="67">
        <f>AH214/AB214-1</f>
        <v>0.1178167295318393</v>
      </c>
      <c r="AI215" s="67">
        <f>AI214/AC214-1</f>
        <v>0.14673366834170865</v>
      </c>
      <c r="AJ215" s="67">
        <f>AJ214/AD214-1</f>
        <v>0.21843608430175299</v>
      </c>
      <c r="AK215" s="67">
        <f>AK214/AE214-1</f>
        <v>0.19116620111731852</v>
      </c>
      <c r="AL215" s="67">
        <f>AL214/AF214-1</f>
        <v>0.17079903386405082</v>
      </c>
      <c r="AN215" s="67">
        <f>AN214/AH214-1</f>
        <v>0.24136562127828509</v>
      </c>
      <c r="AO215" s="239">
        <f>AO214/AI214-1</f>
        <v>0.2653812445223489</v>
      </c>
      <c r="AP215" s="67">
        <f>AP214/AJ214-1</f>
        <v>0.10879405108309093</v>
      </c>
      <c r="AQ215" s="239">
        <f>AQ214/AK214-1</f>
        <v>0.12399237871903845</v>
      </c>
      <c r="AR215" s="239">
        <f>AR214/AL214-1</f>
        <v>0.1788901987201077</v>
      </c>
      <c r="AS215" s="120"/>
      <c r="AT215" s="67">
        <f>AT214/AN214-1</f>
        <v>6.8276303165973884E-2</v>
      </c>
      <c r="AU215" s="239">
        <f>AU214/AO214-1</f>
        <v>1.6345754259592837E-2</v>
      </c>
      <c r="AV215" s="264">
        <f>AV214/AP214-1</f>
        <v>4.7820381979880366E-2</v>
      </c>
      <c r="AW215" s="67">
        <f>AW214/AQ214-1</f>
        <v>3.3892385564842309E-2</v>
      </c>
      <c r="AX215" s="67">
        <f>AX214/AR214-1</f>
        <v>4.0460008746000975E-2</v>
      </c>
      <c r="AZ215" s="67">
        <f>AZ214/AT214-1</f>
        <v>4.7868937430475711E-2</v>
      </c>
      <c r="BA215" s="67">
        <f>BA214/AU214-1</f>
        <v>5.4078153406025953E-2</v>
      </c>
      <c r="BB215" s="67">
        <f>BB214/AV214-1</f>
        <v>4.2480891394566012E-2</v>
      </c>
      <c r="BC215" s="67">
        <f>BC214/AW214-1</f>
        <v>4.4512283218863802E-2</v>
      </c>
      <c r="BD215" s="67">
        <f>BD214/AX214-1</f>
        <v>4.7189951772298677E-2</v>
      </c>
      <c r="BF215" s="67">
        <f>BF214/AZ214-1</f>
        <v>4.7423236249108047E-2</v>
      </c>
      <c r="BG215" s="67">
        <f>BG214/BA214-1</f>
        <v>4.7489933750693769E-2</v>
      </c>
      <c r="BH215" s="67">
        <f>BH214/BB214-1</f>
        <v>4.7294735098124985E-2</v>
      </c>
      <c r="BI215" s="67">
        <f>BI214/BC214-1</f>
        <v>4.6909739249495486E-2</v>
      </c>
      <c r="BJ215" s="67">
        <f>BJ214/BD214-1</f>
        <v>4.7269193388311148E-2</v>
      </c>
      <c r="BL215" s="67">
        <f>BL214/BF214-1</f>
        <v>4.6195301598476401E-2</v>
      </c>
      <c r="BM215" s="67">
        <f>BM214/BG214-1</f>
        <v>4.6284046612820706E-2</v>
      </c>
      <c r="BN215" s="67">
        <f>BN214/BH214-1</f>
        <v>4.6082832901288784E-2</v>
      </c>
      <c r="BO215" s="67">
        <f>BO214/BI214-1</f>
        <v>4.5955868565007219E-2</v>
      </c>
      <c r="BP215" s="67">
        <f>BP214/BJ214-1</f>
        <v>4.6125208207582924E-2</v>
      </c>
      <c r="BR215" s="67">
        <f>BR214/BL214-1</f>
        <v>4.6261607199527655E-2</v>
      </c>
      <c r="BS215" s="67">
        <f>BS214/BM214-1</f>
        <v>4.6348767097628807E-2</v>
      </c>
      <c r="BT215" s="67">
        <f>BT214/BN214-1</f>
        <v>4.6151453301930934E-2</v>
      </c>
      <c r="BU215" s="67">
        <f>BU214/BO214-1</f>
        <v>4.6032718121704175E-2</v>
      </c>
      <c r="BV215" s="67">
        <f>BV214/BP214-1</f>
        <v>4.619455615547885E-2</v>
      </c>
      <c r="BX215" s="67">
        <f>BX214/BR214-1</f>
        <v>4.6326647278966959E-2</v>
      </c>
      <c r="BY215" s="67">
        <f>BY214/BS214-1</f>
        <v>4.6412253169834772E-2</v>
      </c>
      <c r="BZ215" s="67">
        <f>BZ214/BT214-1</f>
        <v>4.6218774985332223E-2</v>
      </c>
      <c r="CA215" s="67">
        <f>CA214/BU214-1</f>
        <v>4.610807469221756E-2</v>
      </c>
      <c r="CB215" s="67">
        <f>CB214/BV214-1</f>
        <v>4.626257501480846E-2</v>
      </c>
      <c r="CD215" s="67">
        <f>CD214/BX214-1</f>
        <v>4.6390445644683309E-2</v>
      </c>
      <c r="CE215" s="67">
        <f>CE214/BY214-1</f>
        <v>4.6474528049614383E-2</v>
      </c>
      <c r="CF215" s="67">
        <f>CF214/BZ214-1</f>
        <v>4.6284821398367537E-2</v>
      </c>
      <c r="CG215" s="67">
        <f>CG214/CA214-1</f>
        <v>4.6181962796405518E-2</v>
      </c>
      <c r="CH215" s="67">
        <f>CH214/CB214-1</f>
        <v>4.6329288656822953E-2</v>
      </c>
      <c r="CJ215" s="67">
        <f>CJ214/CD214-1</f>
        <v>4.6453025757044797E-2</v>
      </c>
      <c r="CK215" s="67">
        <f>CK214/CE214-1</f>
        <v>4.6535614615788035E-2</v>
      </c>
      <c r="CL215" s="67">
        <f>CL214/CF214-1</f>
        <v>4.6349615695907787E-2</v>
      </c>
      <c r="CM215" s="67">
        <f>CM214/CG214-1</f>
        <v>4.6254406830596784E-2</v>
      </c>
      <c r="CN215" s="67">
        <f>CN214/CH214-1</f>
        <v>4.6394720676325107E-2</v>
      </c>
    </row>
    <row r="216" spans="1:93" ht="18" customHeight="1" x14ac:dyDescent="0.25">
      <c r="B216" s="14" t="s">
        <v>140</v>
      </c>
      <c r="J216" s="123">
        <f>J214-D214</f>
        <v>1083</v>
      </c>
      <c r="K216" s="123">
        <f>K214-E214</f>
        <v>956</v>
      </c>
      <c r="L216" s="123">
        <f>L214-F214</f>
        <v>717</v>
      </c>
      <c r="M216" s="123">
        <f>M214-G214</f>
        <v>647</v>
      </c>
      <c r="N216" s="123">
        <f>N214-H214</f>
        <v>3403</v>
      </c>
      <c r="O216" s="120"/>
      <c r="P216" s="123">
        <f>P214-J214</f>
        <v>-9</v>
      </c>
      <c r="Q216" s="123">
        <f>Q214-K214</f>
        <v>-238</v>
      </c>
      <c r="R216" s="123">
        <f>R214-L214</f>
        <v>-103</v>
      </c>
      <c r="S216" s="123">
        <f>S214-M214</f>
        <v>-338</v>
      </c>
      <c r="T216" s="123">
        <f>T214-N214</f>
        <v>-688</v>
      </c>
      <c r="U216" s="120"/>
      <c r="V216" s="123">
        <f>V214-P214</f>
        <v>-861</v>
      </c>
      <c r="W216" s="123">
        <f>W214-Q214</f>
        <v>-1337</v>
      </c>
      <c r="X216" s="123">
        <f>X214-R214</f>
        <v>-1291</v>
      </c>
      <c r="Y216" s="123">
        <f>Y214-S214</f>
        <v>-1138</v>
      </c>
      <c r="Z216" s="123">
        <f>Z214-T214</f>
        <v>-4627</v>
      </c>
      <c r="AA216" s="120"/>
      <c r="AB216" s="123">
        <f>AB214-V214</f>
        <v>158</v>
      </c>
      <c r="AC216" s="123">
        <f>AC214-W214</f>
        <v>826</v>
      </c>
      <c r="AD216" s="123">
        <f>AD214-X214</f>
        <v>916</v>
      </c>
      <c r="AE216" s="123">
        <f>AE214-Y214</f>
        <v>917</v>
      </c>
      <c r="AF216" s="123">
        <f>AF214-Z214</f>
        <v>2817</v>
      </c>
      <c r="AH216" s="123">
        <f>AH214-AB214</f>
        <v>531</v>
      </c>
      <c r="AI216" s="123">
        <f>AI214-AC214</f>
        <v>730</v>
      </c>
      <c r="AJ216" s="123">
        <f>AJ214-AD214</f>
        <v>1109</v>
      </c>
      <c r="AK216" s="123">
        <f>AK214-AE214</f>
        <v>1095</v>
      </c>
      <c r="AL216" s="123">
        <f>AL214-AF214</f>
        <v>3465</v>
      </c>
      <c r="AN216" s="123">
        <f>AN214-AH214</f>
        <v>1216</v>
      </c>
      <c r="AO216" s="240">
        <f>AO214-AI214</f>
        <v>1514</v>
      </c>
      <c r="AP216" s="123">
        <f>AP214-AJ214</f>
        <v>673</v>
      </c>
      <c r="AQ216" s="240">
        <f>AQ214-AK214</f>
        <v>846</v>
      </c>
      <c r="AR216" s="240">
        <f>AR214-AL214</f>
        <v>4249</v>
      </c>
      <c r="AS216" s="120"/>
      <c r="AT216" s="123">
        <f>AT214-AN214</f>
        <v>427</v>
      </c>
      <c r="AU216" s="240">
        <f>AU214-AO214</f>
        <v>118</v>
      </c>
      <c r="AV216" s="303">
        <f>AV214-AP214</f>
        <v>328</v>
      </c>
      <c r="AW216" s="123">
        <f>AW214-AQ214</f>
        <v>259.92070489677644</v>
      </c>
      <c r="AX216" s="123">
        <f>AX214-AR214</f>
        <v>1132.9207048967728</v>
      </c>
      <c r="AZ216" s="123">
        <f>AZ214-AT214</f>
        <v>319.812370973008</v>
      </c>
      <c r="BA216" s="123">
        <f>BA214-AU214</f>
        <v>396.7714115400122</v>
      </c>
      <c r="BB216" s="123">
        <f>BB214-AV214</f>
        <v>305.31016645274576</v>
      </c>
      <c r="BC216" s="123">
        <f>BC214-AW214</f>
        <v>352.93436403627857</v>
      </c>
      <c r="BD216" s="123">
        <f>BD214-AX214</f>
        <v>1374.82831300205</v>
      </c>
      <c r="BF216" s="123">
        <f>BF214-AZ214</f>
        <v>332.00117900433179</v>
      </c>
      <c r="BG216" s="123">
        <f>BG214-BA214</f>
        <v>367.27629197704391</v>
      </c>
      <c r="BH216" s="123">
        <f>BH214-BB214</f>
        <v>354.3468245953718</v>
      </c>
      <c r="BI216" s="123">
        <f>BI214-BC214</f>
        <v>388.49966178576142</v>
      </c>
      <c r="BJ216" s="123">
        <f>BJ214-BD214</f>
        <v>1442.1239573625098</v>
      </c>
      <c r="BL216" s="123">
        <f>BL214-BF214</f>
        <v>338.74153350659708</v>
      </c>
      <c r="BM216" s="123">
        <f>BM214-BG214</f>
        <v>374.94926952226797</v>
      </c>
      <c r="BN216" s="123">
        <f>BN214-BH214</f>
        <v>361.59618295220025</v>
      </c>
      <c r="BO216" s="123">
        <f>BO214-BI214</f>
        <v>398.45368241690267</v>
      </c>
      <c r="BP216" s="123">
        <f>BP214-BJ214</f>
        <v>1473.7406683979607</v>
      </c>
      <c r="BR216" s="123">
        <f>BR214-BL214</f>
        <v>354.89846788167324</v>
      </c>
      <c r="BS216" s="123">
        <f>BS214-BM214</f>
        <v>392.85200962360614</v>
      </c>
      <c r="BT216" s="123">
        <f>BT214-BN214</f>
        <v>378.82281305030119</v>
      </c>
      <c r="BU216" s="123">
        <f>BU214-BO214</f>
        <v>417.46190138161546</v>
      </c>
      <c r="BV216" s="123">
        <f>BV214-BP214</f>
        <v>1544.0351919372042</v>
      </c>
      <c r="BX216" s="123">
        <f>BX214-BR214</f>
        <v>371.83868257512586</v>
      </c>
      <c r="BY216" s="123">
        <f>BY214-BS214</f>
        <v>411.62326430838402</v>
      </c>
      <c r="BZ216" s="123">
        <f>BZ214-BT214</f>
        <v>396.88413282744295</v>
      </c>
      <c r="CA216" s="123">
        <f>CA214-BU214</f>
        <v>437.39366021233218</v>
      </c>
      <c r="CB216" s="123">
        <f>CB214-BV214</f>
        <v>1617.7397399232796</v>
      </c>
      <c r="CD216" s="123">
        <f>CD214-BX214</f>
        <v>389.60051938679317</v>
      </c>
      <c r="CE216" s="123">
        <f>CE214-BY214</f>
        <v>431.30556775553669</v>
      </c>
      <c r="CF216" s="123">
        <f>CF214-BZ214</f>
        <v>415.82098959861287</v>
      </c>
      <c r="CG216" s="123">
        <f>CG214-CA214</f>
        <v>458.2942804849954</v>
      </c>
      <c r="CH216" s="123">
        <f>CH214-CB214</f>
        <v>1695.0213572259454</v>
      </c>
      <c r="CJ216" s="123">
        <f>CJ214-CD214</f>
        <v>408.22420842047177</v>
      </c>
      <c r="CK216" s="123">
        <f>CK214-CE214</f>
        <v>451.94354962028956</v>
      </c>
      <c r="CL216" s="123">
        <f>CL214-CF214</f>
        <v>435.67624204989806</v>
      </c>
      <c r="CM216" s="123">
        <f>CM214-CG214</f>
        <v>480.21132083497287</v>
      </c>
      <c r="CN216" s="123">
        <f>CN214-CH214</f>
        <v>1776.0553209256323</v>
      </c>
    </row>
    <row r="217" spans="1:93" ht="18" customHeight="1" x14ac:dyDescent="0.25">
      <c r="B217" s="14" t="s">
        <v>149</v>
      </c>
      <c r="J217" s="9">
        <f>J214/G214-1</f>
        <v>-7.4645390070921969E-2</v>
      </c>
      <c r="K217" s="9">
        <f>K214/J214-1</f>
        <v>9.6761831768538142E-2</v>
      </c>
      <c r="L217" s="9">
        <f>L214/K214-1</f>
        <v>-2.9524807826694643E-2</v>
      </c>
      <c r="M217" s="9">
        <f>M214/L214-1</f>
        <v>0.13177317731773175</v>
      </c>
      <c r="N217" s="9">
        <f>AVERAGE(J217:M217)</f>
        <v>3.109120279716332E-2</v>
      </c>
      <c r="O217" s="120"/>
      <c r="P217" s="9">
        <f>P214/M214-1</f>
        <v>-0.17130586925401625</v>
      </c>
      <c r="Q217" s="9">
        <f>Q214/P214-1</f>
        <v>5.2975047984644918E-2</v>
      </c>
      <c r="R217" s="9">
        <f>R214/Q214-1</f>
        <v>-6.1975938753190407E-3</v>
      </c>
      <c r="S217" s="9">
        <f>S214/R214-1</f>
        <v>9.1159207630227446E-2</v>
      </c>
      <c r="T217" s="9">
        <f>AVERAGE(P217:S217)</f>
        <v>-8.3423018786157321E-3</v>
      </c>
      <c r="U217" s="120"/>
      <c r="V217" s="9">
        <f>V214/S214-1</f>
        <v>-0.26895276517061695</v>
      </c>
      <c r="W217" s="9">
        <f>W214/V214-1</f>
        <v>-4.5987583352494865E-2</v>
      </c>
      <c r="X217" s="9">
        <f>X214/W214-1</f>
        <v>2.8922631959509282E-3</v>
      </c>
      <c r="Y217" s="9">
        <f>Y214/X214-1</f>
        <v>0.15621244893054564</v>
      </c>
      <c r="Z217" s="9">
        <f>AVERAGE(V217:Y217)</f>
        <v>-3.895890909915381E-2</v>
      </c>
      <c r="AA217" s="120"/>
      <c r="AB217" s="9">
        <f>AB214/Y214-1</f>
        <v>-6.3188526293909808E-2</v>
      </c>
      <c r="AC217" s="9">
        <f>AC214/AB214-1</f>
        <v>0.10383847348568898</v>
      </c>
      <c r="AD217" s="9">
        <f>AD214/AC214-1</f>
        <v>2.050251256281399E-2</v>
      </c>
      <c r="AE217" s="9">
        <f>AE214/AD214-1</f>
        <v>0.12822532991924374</v>
      </c>
      <c r="AF217" s="9">
        <f>AVERAGE(AB217:AE217)</f>
        <v>4.7344447418459223E-2</v>
      </c>
      <c r="AH217" s="9">
        <f>AH214/AE214-1</f>
        <v>-0.12046089385474856</v>
      </c>
      <c r="AI217" s="9">
        <f>AI214/AH214-1</f>
        <v>0.13239380706629622</v>
      </c>
      <c r="AJ217" s="9">
        <f>AJ214/AI214-1</f>
        <v>8.4312007011393408E-2</v>
      </c>
      <c r="AK217" s="9">
        <f>AK214/AJ214-1</f>
        <v>0.10297445845457487</v>
      </c>
      <c r="AL217" s="9">
        <f>AVERAGE(AH217:AK217)</f>
        <v>4.9804844669378984E-2</v>
      </c>
      <c r="AN217" s="9">
        <f>AN214/AK214-1</f>
        <v>-8.3394401289755282E-2</v>
      </c>
      <c r="AO217" s="241">
        <f>AO214/AN214-1</f>
        <v>0.15430124720179084</v>
      </c>
      <c r="AP217" s="9">
        <f>AP214/AO214-1</f>
        <v>-4.9868402825876124E-2</v>
      </c>
      <c r="AQ217" s="241">
        <f>AQ214/AP214-1</f>
        <v>0.11809301647470472</v>
      </c>
      <c r="AR217" s="241">
        <f>AVERAGE(AN217:AQ217)</f>
        <v>3.4782864890216036E-2</v>
      </c>
      <c r="AS217" s="120"/>
      <c r="AT217" s="9">
        <f>AT214/AQ214-1</f>
        <v>-0.12883035597861525</v>
      </c>
      <c r="AU217" s="241">
        <f>AU214/AT214-1</f>
        <v>9.8188893878161876E-2</v>
      </c>
      <c r="AV217" s="109">
        <f>AV214/AU214-1</f>
        <v>-2.0444323292899025E-2</v>
      </c>
      <c r="AW217" s="9">
        <f>AW214/AV214-1</f>
        <v>0.10323093152870122</v>
      </c>
      <c r="AX217" s="9">
        <f>AVERAGE(AT217:AW217)</f>
        <v>1.3036286533837205E-2</v>
      </c>
      <c r="AZ217" s="9">
        <f>AZ214/AW214-1</f>
        <v>-0.11705355223827418</v>
      </c>
      <c r="BA217" s="9">
        <f>BA214/AZ214-1</f>
        <v>0.10469628404926579</v>
      </c>
      <c r="BB217" s="9">
        <f>BB214/BA214-1</f>
        <v>-3.1221668218298748E-2</v>
      </c>
      <c r="BC217" s="9">
        <f>BC214/BB214-1</f>
        <v>0.10538070167136726</v>
      </c>
      <c r="BD217" s="9">
        <f>AVERAGE(AZ217:BC217)</f>
        <v>1.5450441316015029E-2</v>
      </c>
      <c r="BF217" s="9">
        <f>BF214/BC214-1</f>
        <v>-0.11459286730526907</v>
      </c>
      <c r="BG217" s="9">
        <f>BG214/BF214-1</f>
        <v>0.10476662856675123</v>
      </c>
      <c r="BH217" s="9">
        <f>BH214/BG214-1</f>
        <v>-3.1402199046241308E-2</v>
      </c>
      <c r="BI217" s="9">
        <f>BI214/BH214-1</f>
        <v>0.10497435284993561</v>
      </c>
      <c r="BJ217" s="9">
        <f>AVERAGE(BF217:BI217)</f>
        <v>1.5936478766294115E-2</v>
      </c>
      <c r="BL217" s="9">
        <f>BL214/BI214-1</f>
        <v>-0.11519709149801693</v>
      </c>
      <c r="BM217" s="9">
        <f>BM214/BL214-1</f>
        <v>0.10486034197776495</v>
      </c>
      <c r="BN217" s="9">
        <f>BN214/BM214-1</f>
        <v>-3.1588472706001736E-2</v>
      </c>
      <c r="BO217" s="9">
        <f>BO214/BN214-1</f>
        <v>0.10484024077878273</v>
      </c>
      <c r="BP217" s="9">
        <f>AVERAGE(BL217:BO217)</f>
        <v>1.5728754638132253E-2</v>
      </c>
      <c r="BR217" s="9">
        <f>BR214/BO214-1</f>
        <v>-0.11493845875719566</v>
      </c>
      <c r="BS217" s="9">
        <f>BS214/BR214-1</f>
        <v>0.10495238350367031</v>
      </c>
      <c r="BT217" s="9">
        <f>BT214/BS214-1</f>
        <v>-3.1771089592700141E-2</v>
      </c>
      <c r="BU217" s="9">
        <f>BU214/BT214-1</f>
        <v>0.10471484459002212</v>
      </c>
      <c r="BV217" s="9">
        <f>AVERAGE(BR217:BU217)</f>
        <v>1.5739419935949156E-2</v>
      </c>
      <c r="BX217" s="9">
        <f>BX214/BU214-1</f>
        <v>-0.11468976157169053</v>
      </c>
      <c r="BY217" s="9">
        <f>BY214/BX214-1</f>
        <v>0.10504278589703619</v>
      </c>
      <c r="BZ217" s="9">
        <f>BZ214/BY214-1</f>
        <v>-3.1950111934230363E-2</v>
      </c>
      <c r="CA217" s="9">
        <f>CA214/BZ214-1</f>
        <v>0.10459795483423839</v>
      </c>
      <c r="CB217" s="9">
        <f>AVERAGE(BX217:CA217)</f>
        <v>1.5750216806338424E-2</v>
      </c>
      <c r="CD217" s="9">
        <f>CD214/CA214-1</f>
        <v>-0.11445079401059399</v>
      </c>
      <c r="CE217" s="9">
        <f>CE214/CD214-1</f>
        <v>0.10513158129399036</v>
      </c>
      <c r="CF217" s="9">
        <f>CF214/CE214-1</f>
        <v>-3.2125601635682677E-2</v>
      </c>
      <c r="CG217" s="9">
        <f>CG214/CF214-1</f>
        <v>0.10448936356058081</v>
      </c>
      <c r="CH217" s="9">
        <f>AVERAGE(CD217:CG217)</f>
        <v>1.5761137302073625E-2</v>
      </c>
      <c r="CJ217" s="9">
        <f>CJ214/CG214-1</f>
        <v>-0.11422135056948779</v>
      </c>
      <c r="CK217" s="9">
        <f>CK214/CJ214-1</f>
        <v>0.10521880122055527</v>
      </c>
      <c r="CL217" s="9">
        <f>CL214/CK214-1</f>
        <v>-3.2297620237019653E-2</v>
      </c>
      <c r="CM217" s="9">
        <f>CM214/CL214-1</f>
        <v>0.10438886447549933</v>
      </c>
      <c r="CN217" s="9">
        <f>AVERAGE(CJ217:CM217)</f>
        <v>1.577217372238679E-2</v>
      </c>
    </row>
    <row r="218" spans="1:93" ht="18" customHeight="1" x14ac:dyDescent="0.25">
      <c r="B218" s="14" t="s">
        <v>146</v>
      </c>
      <c r="J218" s="125">
        <f>J214-G214</f>
        <v>-421</v>
      </c>
      <c r="K218" s="125">
        <f>K214-J214</f>
        <v>505</v>
      </c>
      <c r="L218" s="125">
        <f>L214-K214</f>
        <v>-169</v>
      </c>
      <c r="M218" s="125">
        <f>M214-L214</f>
        <v>732</v>
      </c>
      <c r="N218" s="125">
        <f>AVERAGE(J218:M218)</f>
        <v>161.75</v>
      </c>
      <c r="O218" s="120"/>
      <c r="P218" s="125">
        <f>P214-M214</f>
        <v>-1077</v>
      </c>
      <c r="Q218" s="125">
        <f>Q214-P214</f>
        <v>276</v>
      </c>
      <c r="R218" s="125">
        <f>R214-Q214</f>
        <v>-34</v>
      </c>
      <c r="S218" s="125">
        <f>S214-R214</f>
        <v>497</v>
      </c>
      <c r="T218" s="125">
        <f>AVERAGE(P218:S218)</f>
        <v>-84.5</v>
      </c>
      <c r="U218" s="120"/>
      <c r="V218" s="125">
        <f>V214-S214</f>
        <v>-1600</v>
      </c>
      <c r="W218" s="125">
        <f>W214-V214</f>
        <v>-200</v>
      </c>
      <c r="X218" s="125">
        <f>X214-W214</f>
        <v>12</v>
      </c>
      <c r="Y218" s="125">
        <f>Y214-X214</f>
        <v>650</v>
      </c>
      <c r="Z218" s="125">
        <f>AVERAGE(V218:Y218)</f>
        <v>-284.5</v>
      </c>
      <c r="AA218" s="120"/>
      <c r="AB218" s="125">
        <f>AB214-Y214</f>
        <v>-304</v>
      </c>
      <c r="AC218" s="125">
        <f>AC214-AB214</f>
        <v>468</v>
      </c>
      <c r="AD218" s="125">
        <f>AD214-AC214</f>
        <v>102</v>
      </c>
      <c r="AE218" s="125">
        <f>AE214-AD214</f>
        <v>651</v>
      </c>
      <c r="AF218" s="125">
        <f>AVERAGE(AB218:AE218)</f>
        <v>229.25</v>
      </c>
      <c r="AH218" s="125">
        <f>AH214-AE214</f>
        <v>-690</v>
      </c>
      <c r="AI218" s="125">
        <f>AI214-AH214</f>
        <v>667</v>
      </c>
      <c r="AJ218" s="125">
        <f>AJ214-AI214</f>
        <v>481</v>
      </c>
      <c r="AK218" s="125">
        <f>AK214-AJ214</f>
        <v>637</v>
      </c>
      <c r="AL218" s="125">
        <f>AVERAGE(AH218:AK218)</f>
        <v>273.75</v>
      </c>
      <c r="AN218" s="125">
        <f>AN214-AK214</f>
        <v>-569</v>
      </c>
      <c r="AO218" s="242">
        <f>AO214-AN214</f>
        <v>965</v>
      </c>
      <c r="AP218" s="125">
        <f>AP214-AO214</f>
        <v>-360</v>
      </c>
      <c r="AQ218" s="242">
        <f>AQ214-AP214</f>
        <v>810</v>
      </c>
      <c r="AR218" s="242">
        <f>AVERAGE(AN218:AQ218)</f>
        <v>211.5</v>
      </c>
      <c r="AS218" s="120"/>
      <c r="AT218" s="125">
        <f>AT214-AQ214</f>
        <v>-988</v>
      </c>
      <c r="AU218" s="242">
        <f>AU214-AT214</f>
        <v>656</v>
      </c>
      <c r="AV218" s="174">
        <f>AV214-AU214</f>
        <v>-150</v>
      </c>
      <c r="AW218" s="125">
        <f>AW214-AV214</f>
        <v>741.92070489677644</v>
      </c>
      <c r="AX218" s="125">
        <f>AVERAGE(AT218:AW218)</f>
        <v>64.980176224194111</v>
      </c>
      <c r="AZ218" s="125">
        <f>AZ214-AW214</f>
        <v>-928.10833392376844</v>
      </c>
      <c r="BA218" s="125">
        <f>BA214-AZ214</f>
        <v>732.95904056700419</v>
      </c>
      <c r="BB218" s="125">
        <f>BB214-BA214</f>
        <v>-241.46124508726643</v>
      </c>
      <c r="BC218" s="125">
        <f>BC214-BB214</f>
        <v>789.54490248030925</v>
      </c>
      <c r="BD218" s="125">
        <f>AVERAGE(AZ218:BC218)</f>
        <v>88.233591009069642</v>
      </c>
      <c r="BF218" s="125">
        <f>BF214-BC214</f>
        <v>-949.04151895571522</v>
      </c>
      <c r="BG218" s="125">
        <f>BG214-BF214</f>
        <v>768.23415353971632</v>
      </c>
      <c r="BH218" s="125">
        <f>BH214-BG214</f>
        <v>-254.39071246893855</v>
      </c>
      <c r="BI218" s="125">
        <f>BI214-BH214</f>
        <v>823.69773967069887</v>
      </c>
      <c r="BJ218" s="125">
        <f>AVERAGE(BF218:BI218)</f>
        <v>97.124915446440355</v>
      </c>
      <c r="BL218" s="125">
        <f>BL214-BI214</f>
        <v>-998.79964723487956</v>
      </c>
      <c r="BM218" s="125">
        <f>BM214-BL214</f>
        <v>804.44188955538721</v>
      </c>
      <c r="BN218" s="125">
        <f>BN214-BM214</f>
        <v>-267.74379903900626</v>
      </c>
      <c r="BO218" s="125">
        <f>BO214-BN214</f>
        <v>860.55523913540128</v>
      </c>
      <c r="BP218" s="125">
        <f>AVERAGE(BL218:BO218)</f>
        <v>99.613420604225666</v>
      </c>
      <c r="BR218" s="125">
        <f>BR214-BO214</f>
        <v>-1042.354861770109</v>
      </c>
      <c r="BS218" s="125">
        <f>BS214-BR214</f>
        <v>842.3954312973201</v>
      </c>
      <c r="BT218" s="125">
        <f>BT214-BS214</f>
        <v>-281.77299561231121</v>
      </c>
      <c r="BU218" s="125">
        <f>BU214-BT214</f>
        <v>899.19432746671555</v>
      </c>
      <c r="BV218" s="125">
        <f>AVERAGE(BR218:BU218)</f>
        <v>104.36547534540387</v>
      </c>
      <c r="BX218" s="125">
        <f>BX214-BU214</f>
        <v>-1087.9780805765986</v>
      </c>
      <c r="BY218" s="125">
        <f>BY214-BX214</f>
        <v>882.18001303057827</v>
      </c>
      <c r="BZ218" s="125">
        <f>BZ214-BY214</f>
        <v>-296.51212709325227</v>
      </c>
      <c r="CA218" s="125">
        <f>CA214-BZ214</f>
        <v>939.70385485160477</v>
      </c>
      <c r="CB218" s="125">
        <f>AVERAGE(BX218:CA218)</f>
        <v>109.34841505308304</v>
      </c>
      <c r="CD218" s="125">
        <f>CD214-CA214</f>
        <v>-1135.7712214021376</v>
      </c>
      <c r="CE218" s="125">
        <f>CE214-CD214</f>
        <v>923.88506139932178</v>
      </c>
      <c r="CF218" s="125">
        <f>CF214-CE214</f>
        <v>-311.99670525017609</v>
      </c>
      <c r="CG218" s="125">
        <f>CG214-CF214</f>
        <v>982.1771457379873</v>
      </c>
      <c r="CH218" s="125">
        <f>AVERAGE(CD218:CG218)</f>
        <v>114.57357012124885</v>
      </c>
      <c r="CJ218" s="125">
        <f>CJ214-CG214</f>
        <v>-1185.8412934666612</v>
      </c>
      <c r="CK218" s="125">
        <f>CK214-CJ214</f>
        <v>967.60440259913958</v>
      </c>
      <c r="CL218" s="125">
        <f>CL214-CK214</f>
        <v>-328.26401282056759</v>
      </c>
      <c r="CM218" s="125">
        <f>CM214-CL214</f>
        <v>1026.7122245230621</v>
      </c>
      <c r="CN218" s="125">
        <f>AVERAGE(CJ218:CM218)</f>
        <v>120.05283020874322</v>
      </c>
    </row>
    <row r="219" spans="1:93" s="137" customFormat="1" ht="18" customHeight="1" x14ac:dyDescent="0.25">
      <c r="B219" s="377"/>
      <c r="D219" s="378"/>
      <c r="E219" s="378"/>
      <c r="F219" s="378"/>
      <c r="G219" s="378"/>
      <c r="H219" s="378"/>
      <c r="J219" s="378"/>
      <c r="K219" s="378"/>
      <c r="L219" s="378"/>
      <c r="M219" s="378"/>
      <c r="N219" s="378"/>
      <c r="O219" s="205"/>
      <c r="P219" s="378"/>
      <c r="Q219" s="378"/>
      <c r="R219" s="378"/>
      <c r="S219" s="378"/>
      <c r="T219" s="378"/>
      <c r="U219" s="205"/>
      <c r="V219" s="378"/>
      <c r="W219" s="378"/>
      <c r="X219" s="378"/>
      <c r="Y219" s="378"/>
      <c r="Z219" s="378"/>
      <c r="AA219" s="205"/>
      <c r="AB219" s="378"/>
      <c r="AC219" s="378"/>
      <c r="AD219" s="378"/>
      <c r="AE219" s="378"/>
      <c r="AF219" s="378"/>
      <c r="AH219" s="378"/>
      <c r="AI219" s="378"/>
      <c r="AJ219" s="378"/>
      <c r="AK219" s="378"/>
      <c r="AL219" s="378"/>
      <c r="AN219" s="378"/>
      <c r="AO219" s="378"/>
      <c r="AP219" s="378"/>
      <c r="AQ219" s="378"/>
      <c r="AR219" s="378"/>
      <c r="AS219" s="205"/>
      <c r="AT219" s="378"/>
      <c r="AU219" s="378"/>
      <c r="AV219" s="391"/>
      <c r="AW219" s="378"/>
      <c r="AX219" s="378"/>
      <c r="AZ219" s="378"/>
      <c r="BA219" s="378"/>
      <c r="BB219" s="378"/>
      <c r="BC219" s="378"/>
      <c r="BD219" s="378"/>
      <c r="BF219" s="378"/>
      <c r="BG219" s="378"/>
      <c r="BH219" s="378"/>
      <c r="BI219" s="378"/>
      <c r="BJ219" s="378"/>
      <c r="BL219" s="378"/>
      <c r="BM219" s="378"/>
      <c r="BN219" s="378"/>
      <c r="BO219" s="378"/>
      <c r="BP219" s="378"/>
      <c r="BR219" s="378"/>
      <c r="BS219" s="378"/>
      <c r="BT219" s="378"/>
      <c r="BU219" s="378"/>
      <c r="BV219" s="378"/>
      <c r="BX219" s="378"/>
      <c r="BY219" s="378"/>
      <c r="BZ219" s="378"/>
      <c r="CA219" s="378"/>
      <c r="CB219" s="378"/>
      <c r="CD219" s="378"/>
      <c r="CE219" s="378"/>
      <c r="CF219" s="378"/>
      <c r="CG219" s="378"/>
      <c r="CH219" s="378"/>
      <c r="CJ219" s="378"/>
      <c r="CK219" s="378"/>
      <c r="CL219" s="378"/>
      <c r="CM219" s="378"/>
      <c r="CN219" s="378"/>
      <c r="CO219" s="379"/>
    </row>
    <row r="220" spans="1:93" s="137" customFormat="1" ht="18" customHeight="1" x14ac:dyDescent="0.25">
      <c r="B220" s="386" t="s">
        <v>381</v>
      </c>
      <c r="D220" s="379"/>
      <c r="E220" s="379"/>
      <c r="F220" s="379"/>
      <c r="G220" s="379"/>
      <c r="H220" s="379"/>
      <c r="J220" s="246"/>
      <c r="K220" s="246"/>
      <c r="L220" s="246"/>
      <c r="M220" s="246"/>
      <c r="N220" s="246"/>
      <c r="O220" s="380"/>
      <c r="P220" s="246"/>
      <c r="Q220" s="246"/>
      <c r="R220" s="246"/>
      <c r="S220" s="246"/>
      <c r="T220" s="246"/>
      <c r="U220" s="380"/>
      <c r="V220" s="246"/>
      <c r="W220" s="246"/>
      <c r="X220" s="246"/>
      <c r="Y220" s="246"/>
      <c r="Z220" s="246"/>
      <c r="AA220" s="380"/>
      <c r="AB220" s="246"/>
      <c r="AC220" s="246"/>
      <c r="AD220" s="246"/>
      <c r="AE220" s="246"/>
      <c r="AF220" s="246"/>
      <c r="AG220" s="379"/>
      <c r="AH220" s="246"/>
      <c r="AI220" s="246"/>
      <c r="AJ220" s="246"/>
      <c r="AK220" s="246"/>
      <c r="AL220" s="246"/>
      <c r="AM220" s="379"/>
      <c r="AN220" s="246"/>
      <c r="AO220" s="246"/>
      <c r="AP220" s="246"/>
      <c r="AQ220" s="246"/>
      <c r="AR220" s="246"/>
      <c r="AS220" s="380"/>
      <c r="AT220" s="246"/>
      <c r="AU220" s="246"/>
      <c r="AV220" s="265"/>
      <c r="AW220" s="246"/>
      <c r="AX220" s="246"/>
      <c r="AY220" s="379"/>
      <c r="AZ220" s="268" t="s">
        <v>537</v>
      </c>
      <c r="BA220" s="246"/>
      <c r="BB220" s="246"/>
      <c r="BC220" s="246"/>
      <c r="BD220" s="246"/>
      <c r="BE220" s="379"/>
      <c r="BF220" s="246"/>
      <c r="BG220" s="246"/>
      <c r="BH220" s="246"/>
      <c r="BI220" s="246"/>
      <c r="BJ220" s="246"/>
      <c r="BK220" s="379"/>
      <c r="BL220" s="268" t="s">
        <v>532</v>
      </c>
      <c r="BM220" s="246"/>
      <c r="BN220" s="246"/>
      <c r="BO220" s="246"/>
      <c r="BP220" s="246"/>
      <c r="BQ220" s="379"/>
      <c r="BR220" s="246"/>
      <c r="BS220" s="246"/>
      <c r="BT220" s="246"/>
      <c r="BU220" s="246"/>
      <c r="BV220" s="246"/>
      <c r="BW220" s="379"/>
      <c r="BX220" s="246"/>
      <c r="BY220" s="246"/>
      <c r="BZ220" s="246"/>
      <c r="CA220" s="246"/>
      <c r="CB220" s="246"/>
      <c r="CC220" s="379"/>
      <c r="CD220" s="246"/>
      <c r="CE220" s="246"/>
      <c r="CF220" s="246"/>
      <c r="CG220" s="246"/>
      <c r="CH220" s="246"/>
      <c r="CI220" s="379"/>
      <c r="CJ220" s="246"/>
      <c r="CK220" s="246"/>
      <c r="CL220" s="246"/>
      <c r="CM220" s="246"/>
      <c r="CN220" s="246"/>
      <c r="CO220" s="379"/>
    </row>
    <row r="221" spans="1:93" s="137" customFormat="1" ht="18" customHeight="1" x14ac:dyDescent="0.25">
      <c r="B221" s="31" t="s">
        <v>374</v>
      </c>
      <c r="D221" s="379"/>
      <c r="E221" s="379"/>
      <c r="F221" s="379"/>
      <c r="G221" s="379"/>
      <c r="H221" s="379"/>
      <c r="J221" s="67">
        <f t="shared" ref="J221:J226" si="2029">J209/D209-1</f>
        <v>0.29210220673635301</v>
      </c>
      <c r="K221" s="67">
        <f t="shared" ref="K221:N226" si="2030">K209/E209-1</f>
        <v>0.3027245206861755</v>
      </c>
      <c r="L221" s="67">
        <f t="shared" si="2030"/>
        <v>0.19761410788381739</v>
      </c>
      <c r="M221" s="67">
        <f t="shared" si="2030"/>
        <v>0.10399656209712083</v>
      </c>
      <c r="N221" s="67">
        <f t="shared" si="2030"/>
        <v>0.21686141475059673</v>
      </c>
      <c r="O221" s="67"/>
      <c r="P221" s="67">
        <f t="shared" ref="P221:T226" si="2031">P209/J209-1</f>
        <v>-3.3258426966292109E-2</v>
      </c>
      <c r="Q221" s="67">
        <f t="shared" si="2031"/>
        <v>-0.1103795507358637</v>
      </c>
      <c r="R221" s="67">
        <f t="shared" si="2031"/>
        <v>-7.7955825032481552E-2</v>
      </c>
      <c r="S221" s="67">
        <f t="shared" si="2031"/>
        <v>-0.10977033865317243</v>
      </c>
      <c r="T221" s="67">
        <f t="shared" si="2031"/>
        <v>-8.4770263293753256E-2</v>
      </c>
      <c r="U221" s="67"/>
      <c r="V221" s="67">
        <f t="shared" ref="V221:Z226" si="2032">V209/P209-1</f>
        <v>-0.19200371920037196</v>
      </c>
      <c r="W221" s="67">
        <f t="shared" si="2032"/>
        <v>-0.20940356987374842</v>
      </c>
      <c r="X221" s="67">
        <f t="shared" si="2032"/>
        <v>-0.25598872710192577</v>
      </c>
      <c r="Y221" s="67">
        <f t="shared" si="2032"/>
        <v>-0.25448185395714906</v>
      </c>
      <c r="Z221" s="67">
        <f t="shared" si="2032"/>
        <v>-0.22800090252707583</v>
      </c>
      <c r="AA221" s="67"/>
      <c r="AB221" s="67">
        <f t="shared" ref="AB221:AF226" si="2033">AB209/V209-1</f>
        <v>2.5316455696202445E-2</v>
      </c>
      <c r="AC221" s="67">
        <f t="shared" si="2033"/>
        <v>9.6916299559471453E-2</v>
      </c>
      <c r="AD221" s="67">
        <f t="shared" si="2033"/>
        <v>0.21464646464646475</v>
      </c>
      <c r="AE221" s="67">
        <f t="shared" si="2033"/>
        <v>0.12199413489736077</v>
      </c>
      <c r="AF221" s="67">
        <f t="shared" si="2033"/>
        <v>0.11223147742218331</v>
      </c>
      <c r="AG221" s="67"/>
      <c r="AH221" s="67">
        <f t="shared" ref="AH221:AL226" si="2034">AH209/AB209-1</f>
        <v>8.7542087542087588E-2</v>
      </c>
      <c r="AI221" s="67">
        <f t="shared" si="2034"/>
        <v>0.14307228915662651</v>
      </c>
      <c r="AJ221" s="67">
        <f t="shared" si="2034"/>
        <v>0.25883575883575882</v>
      </c>
      <c r="AK221" s="67">
        <f t="shared" si="2034"/>
        <v>0.32671197072660751</v>
      </c>
      <c r="AL221" s="67">
        <f t="shared" si="2034"/>
        <v>0.20549205097884649</v>
      </c>
      <c r="AM221" s="67"/>
      <c r="AN221" s="67">
        <f t="shared" ref="AN221:AR226" si="2035">AN209/AH209-1</f>
        <v>0.32714138286893713</v>
      </c>
      <c r="AO221" s="67">
        <f t="shared" si="2035"/>
        <v>0.3702239789196311</v>
      </c>
      <c r="AP221" s="67">
        <f t="shared" si="2035"/>
        <v>0.22460776218001643</v>
      </c>
      <c r="AQ221" s="67">
        <f t="shared" si="2035"/>
        <v>0.30969267139479895</v>
      </c>
      <c r="AR221" s="67">
        <f t="shared" si="2035"/>
        <v>0.30594005449591277</v>
      </c>
      <c r="AS221" s="67"/>
      <c r="AT221" s="67">
        <f t="shared" ref="AT221:AV226" si="2036">AT209/AN209-1</f>
        <v>0.14735614307931577</v>
      </c>
      <c r="AU221" s="67">
        <f t="shared" si="2036"/>
        <v>6.0256410256410264E-2</v>
      </c>
      <c r="AV221" s="264">
        <f t="shared" si="2036"/>
        <v>8.3614295347268941E-2</v>
      </c>
      <c r="AW221" s="539">
        <v>0.1</v>
      </c>
      <c r="AX221" s="67">
        <f t="shared" ref="AX221:AX226" si="2037">AX209/AR209-1</f>
        <v>9.5760307127357613E-2</v>
      </c>
      <c r="AY221" s="379"/>
      <c r="AZ221" s="454">
        <v>0.1</v>
      </c>
      <c r="BA221" s="454">
        <v>0.1</v>
      </c>
      <c r="BB221" s="454">
        <v>0.05</v>
      </c>
      <c r="BC221" s="454">
        <v>0.05</v>
      </c>
      <c r="BD221" s="67">
        <f t="shared" ref="BD221:BD226" si="2038">BD209/AX209-1</f>
        <v>7.3835818849300017E-2</v>
      </c>
      <c r="BE221" s="379"/>
      <c r="BF221" s="454">
        <v>0.05</v>
      </c>
      <c r="BG221" s="454">
        <v>0.05</v>
      </c>
      <c r="BH221" s="454">
        <v>0.05</v>
      </c>
      <c r="BI221" s="454">
        <v>0.05</v>
      </c>
      <c r="BJ221" s="67">
        <f t="shared" ref="BJ221:BJ226" si="2039">BJ209/BD209-1</f>
        <v>5.0000000000000266E-2</v>
      </c>
      <c r="BK221" s="379"/>
      <c r="BL221" s="454">
        <v>0.05</v>
      </c>
      <c r="BM221" s="454">
        <v>0.05</v>
      </c>
      <c r="BN221" s="454">
        <v>0.05</v>
      </c>
      <c r="BO221" s="454">
        <v>0.05</v>
      </c>
      <c r="BP221" s="67">
        <f t="shared" ref="BP221:BP226" si="2040">BP209/BJ209-1</f>
        <v>5.0000000000000044E-2</v>
      </c>
      <c r="BQ221" s="379"/>
      <c r="BR221" s="454">
        <v>0.05</v>
      </c>
      <c r="BS221" s="454">
        <v>0.05</v>
      </c>
      <c r="BT221" s="454">
        <v>0.05</v>
      </c>
      <c r="BU221" s="454">
        <v>0.05</v>
      </c>
      <c r="BV221" s="67">
        <f t="shared" ref="BV221:BV226" si="2041">BV209/BP209-1</f>
        <v>5.0000000000000044E-2</v>
      </c>
      <c r="BW221" s="379"/>
      <c r="BX221" s="454">
        <v>0.05</v>
      </c>
      <c r="BY221" s="454">
        <v>0.05</v>
      </c>
      <c r="BZ221" s="454">
        <v>0.05</v>
      </c>
      <c r="CA221" s="454">
        <v>0.05</v>
      </c>
      <c r="CB221" s="67">
        <f t="shared" ref="CB221:CB226" si="2042">CB209/BV209-1</f>
        <v>4.9999999999999822E-2</v>
      </c>
      <c r="CC221" s="379"/>
      <c r="CD221" s="454">
        <v>0.05</v>
      </c>
      <c r="CE221" s="454">
        <v>0.05</v>
      </c>
      <c r="CF221" s="454">
        <v>0.05</v>
      </c>
      <c r="CG221" s="454">
        <v>0.05</v>
      </c>
      <c r="CH221" s="67">
        <f t="shared" ref="CH221:CH226" si="2043">CH209/CB209-1</f>
        <v>5.0000000000000044E-2</v>
      </c>
      <c r="CI221" s="379"/>
      <c r="CJ221" s="454">
        <v>0.05</v>
      </c>
      <c r="CK221" s="454">
        <v>0.05</v>
      </c>
      <c r="CL221" s="454">
        <v>0.05</v>
      </c>
      <c r="CM221" s="454">
        <v>0.05</v>
      </c>
      <c r="CN221" s="67">
        <f t="shared" ref="CN221:CN226" si="2044">CN209/CH209-1</f>
        <v>5.0000000000000266E-2</v>
      </c>
      <c r="CO221" s="379"/>
    </row>
    <row r="222" spans="1:93" s="137" customFormat="1" ht="18" customHeight="1" x14ac:dyDescent="0.25">
      <c r="B222" s="31" t="s">
        <v>375</v>
      </c>
      <c r="D222" s="379"/>
      <c r="E222" s="379"/>
      <c r="F222" s="379"/>
      <c r="G222" s="379"/>
      <c r="H222" s="379"/>
      <c r="J222" s="67">
        <f t="shared" si="2029"/>
        <v>1.8181818181818077E-2</v>
      </c>
      <c r="K222" s="67">
        <f t="shared" si="2030"/>
        <v>-8.0128205128205177E-2</v>
      </c>
      <c r="L222" s="67">
        <f t="shared" si="2030"/>
        <v>0.10000000000000009</v>
      </c>
      <c r="M222" s="67">
        <f t="shared" si="2030"/>
        <v>0.16042780748663099</v>
      </c>
      <c r="N222" s="67">
        <f t="shared" si="2030"/>
        <v>5.5511498810467907E-2</v>
      </c>
      <c r="O222" s="67"/>
      <c r="P222" s="67">
        <f t="shared" si="2031"/>
        <v>0.18571428571428572</v>
      </c>
      <c r="Q222" s="67">
        <f t="shared" si="2031"/>
        <v>0.13240418118466901</v>
      </c>
      <c r="R222" s="67">
        <f t="shared" si="2031"/>
        <v>0.1454545454545455</v>
      </c>
      <c r="S222" s="67">
        <f t="shared" si="2031"/>
        <v>-0.18433179723502302</v>
      </c>
      <c r="T222" s="67">
        <f t="shared" si="2031"/>
        <v>4.3576258452291405E-2</v>
      </c>
      <c r="U222" s="67"/>
      <c r="V222" s="67">
        <f t="shared" si="2032"/>
        <v>-0.25</v>
      </c>
      <c r="W222" s="67">
        <f t="shared" si="2032"/>
        <v>-0.39384615384615385</v>
      </c>
      <c r="X222" s="67">
        <f t="shared" si="2032"/>
        <v>-0.41534391534391535</v>
      </c>
      <c r="Y222" s="67">
        <f t="shared" si="2032"/>
        <v>-0.25141242937853103</v>
      </c>
      <c r="Z222" s="67">
        <f t="shared" si="2032"/>
        <v>-0.32901367890568756</v>
      </c>
      <c r="AA222" s="67"/>
      <c r="AB222" s="67">
        <f t="shared" si="2033"/>
        <v>2.8112449799196693E-2</v>
      </c>
      <c r="AC222" s="67">
        <f t="shared" si="2033"/>
        <v>0.26903553299492389</v>
      </c>
      <c r="AD222" s="67">
        <f t="shared" si="2033"/>
        <v>0.4886877828054299</v>
      </c>
      <c r="AE222" s="67">
        <f t="shared" si="2033"/>
        <v>0.5018867924528303</v>
      </c>
      <c r="AF222" s="67">
        <f t="shared" si="2033"/>
        <v>0.32296137339055786</v>
      </c>
      <c r="AG222" s="67"/>
      <c r="AH222" s="67">
        <f t="shared" si="2034"/>
        <v>0.2109375</v>
      </c>
      <c r="AI222" s="67">
        <f t="shared" si="2034"/>
        <v>0.52800000000000002</v>
      </c>
      <c r="AJ222" s="67">
        <f t="shared" si="2034"/>
        <v>0.42249240121580556</v>
      </c>
      <c r="AK222" s="67">
        <f t="shared" si="2034"/>
        <v>0.5678391959798994</v>
      </c>
      <c r="AL222" s="67">
        <f t="shared" si="2034"/>
        <v>0.44687753446877543</v>
      </c>
      <c r="AM222" s="67"/>
      <c r="AN222" s="67">
        <f t="shared" si="2035"/>
        <v>0.22580645161290325</v>
      </c>
      <c r="AO222" s="67">
        <f t="shared" si="2035"/>
        <v>0.20157068062827221</v>
      </c>
      <c r="AP222" s="67">
        <f t="shared" si="2035"/>
        <v>-1.7094017094017144E-2</v>
      </c>
      <c r="AQ222" s="67">
        <f t="shared" si="2035"/>
        <v>9.6153846153846256E-2</v>
      </c>
      <c r="AR222" s="67">
        <f t="shared" si="2035"/>
        <v>0.11154708520179368</v>
      </c>
      <c r="AS222" s="67"/>
      <c r="AT222" s="67">
        <f t="shared" si="2036"/>
        <v>7.3684210526315796E-2</v>
      </c>
      <c r="AU222" s="67">
        <f t="shared" si="2036"/>
        <v>-4.3572984749455368E-2</v>
      </c>
      <c r="AV222" s="264">
        <f t="shared" si="2036"/>
        <v>-2.3913043478260843E-2</v>
      </c>
      <c r="AW222" s="539">
        <v>-0.05</v>
      </c>
      <c r="AX222" s="67">
        <f t="shared" si="2037"/>
        <v>-1.8759455370650602E-2</v>
      </c>
      <c r="AY222" s="379"/>
      <c r="AZ222" s="454">
        <v>-0.05</v>
      </c>
      <c r="BA222" s="454">
        <v>-0.05</v>
      </c>
      <c r="BB222" s="454">
        <v>0</v>
      </c>
      <c r="BC222" s="454">
        <v>0</v>
      </c>
      <c r="BD222" s="67">
        <f t="shared" si="2038"/>
        <v>-2.1764826806454973E-2</v>
      </c>
      <c r="BE222" s="379"/>
      <c r="BF222" s="454">
        <v>0.02</v>
      </c>
      <c r="BG222" s="454">
        <v>0.02</v>
      </c>
      <c r="BH222" s="454">
        <v>0.02</v>
      </c>
      <c r="BI222" s="454">
        <v>0.02</v>
      </c>
      <c r="BJ222" s="67">
        <f t="shared" si="2039"/>
        <v>2.0000000000000018E-2</v>
      </c>
      <c r="BK222" s="379"/>
      <c r="BL222" s="454">
        <v>0.02</v>
      </c>
      <c r="BM222" s="454">
        <v>0.02</v>
      </c>
      <c r="BN222" s="454">
        <v>0.02</v>
      </c>
      <c r="BO222" s="454">
        <v>0.02</v>
      </c>
      <c r="BP222" s="67">
        <f t="shared" si="2040"/>
        <v>2.000000000000024E-2</v>
      </c>
      <c r="BQ222" s="379"/>
      <c r="BR222" s="454">
        <v>0.02</v>
      </c>
      <c r="BS222" s="454">
        <v>0.02</v>
      </c>
      <c r="BT222" s="454">
        <v>0.02</v>
      </c>
      <c r="BU222" s="454">
        <v>0.02</v>
      </c>
      <c r="BV222" s="67">
        <f t="shared" si="2041"/>
        <v>2.0000000000000018E-2</v>
      </c>
      <c r="BW222" s="379"/>
      <c r="BX222" s="454">
        <v>0.02</v>
      </c>
      <c r="BY222" s="454">
        <v>0.02</v>
      </c>
      <c r="BZ222" s="454">
        <v>0.02</v>
      </c>
      <c r="CA222" s="454">
        <v>0.02</v>
      </c>
      <c r="CB222" s="67">
        <f t="shared" si="2042"/>
        <v>2.000000000000024E-2</v>
      </c>
      <c r="CC222" s="379"/>
      <c r="CD222" s="454">
        <v>0.02</v>
      </c>
      <c r="CE222" s="454">
        <v>0.02</v>
      </c>
      <c r="CF222" s="454">
        <v>0.02</v>
      </c>
      <c r="CG222" s="454">
        <v>0.02</v>
      </c>
      <c r="CH222" s="67">
        <f t="shared" si="2043"/>
        <v>1.9999999999999796E-2</v>
      </c>
      <c r="CI222" s="379"/>
      <c r="CJ222" s="454">
        <v>0.02</v>
      </c>
      <c r="CK222" s="454">
        <v>0.02</v>
      </c>
      <c r="CL222" s="454">
        <v>0.02</v>
      </c>
      <c r="CM222" s="454">
        <v>0.02</v>
      </c>
      <c r="CN222" s="67">
        <f t="shared" si="2044"/>
        <v>2.000000000000024E-2</v>
      </c>
      <c r="CO222" s="379"/>
    </row>
    <row r="223" spans="1:93" s="137" customFormat="1" ht="18" customHeight="1" x14ac:dyDescent="0.25">
      <c r="B223" s="31" t="s">
        <v>376</v>
      </c>
      <c r="D223" s="379"/>
      <c r="E223" s="379"/>
      <c r="F223" s="379"/>
      <c r="G223" s="379"/>
      <c r="H223" s="379"/>
      <c r="J223" s="67">
        <f t="shared" si="2029"/>
        <v>0.21333333333333337</v>
      </c>
      <c r="K223" s="67">
        <f t="shared" si="2030"/>
        <v>6.8582020389249321E-2</v>
      </c>
      <c r="L223" s="67">
        <f t="shared" si="2030"/>
        <v>1.2006861063464935E-2</v>
      </c>
      <c r="M223" s="67">
        <f t="shared" si="2030"/>
        <v>0.17340590979782267</v>
      </c>
      <c r="N223" s="67">
        <f t="shared" si="2030"/>
        <v>0.11351839313924628</v>
      </c>
      <c r="O223" s="67"/>
      <c r="P223" s="67">
        <f t="shared" si="2031"/>
        <v>-5.4945054945054972E-2</v>
      </c>
      <c r="Q223" s="67">
        <f t="shared" si="2031"/>
        <v>6.0711188204682909E-3</v>
      </c>
      <c r="R223" s="67">
        <f t="shared" si="2031"/>
        <v>3.7288135593220417E-2</v>
      </c>
      <c r="S223" s="67">
        <f t="shared" si="2031"/>
        <v>4.5725646123260466E-2</v>
      </c>
      <c r="T223" s="67">
        <f t="shared" si="2031"/>
        <v>1.2160518848804314E-2</v>
      </c>
      <c r="U223" s="67"/>
      <c r="V223" s="67">
        <f t="shared" si="2032"/>
        <v>2.0348837209302362E-2</v>
      </c>
      <c r="W223" s="67">
        <f t="shared" si="2032"/>
        <v>-0.19913793103448274</v>
      </c>
      <c r="X223" s="67">
        <f t="shared" si="2032"/>
        <v>-9.0686274509803932E-2</v>
      </c>
      <c r="Y223" s="67">
        <f t="shared" si="2032"/>
        <v>-0.14258555133079853</v>
      </c>
      <c r="Z223" s="67">
        <f t="shared" si="2032"/>
        <v>-0.10933119743692432</v>
      </c>
      <c r="AA223" s="67"/>
      <c r="AB223" s="67">
        <f t="shared" si="2033"/>
        <v>3.7986704653371284E-2</v>
      </c>
      <c r="AC223" s="67">
        <f t="shared" si="2033"/>
        <v>0.28740581270182997</v>
      </c>
      <c r="AD223" s="67">
        <f t="shared" si="2033"/>
        <v>2.7852650494159858E-2</v>
      </c>
      <c r="AE223" s="67">
        <f t="shared" si="2033"/>
        <v>9.0169992609016925E-2</v>
      </c>
      <c r="AF223" s="67">
        <f t="shared" si="2033"/>
        <v>0.10341726618705027</v>
      </c>
      <c r="AG223" s="67"/>
      <c r="AH223" s="67">
        <f t="shared" si="2034"/>
        <v>8.3257090576395187E-2</v>
      </c>
      <c r="AI223" s="67">
        <f t="shared" si="2034"/>
        <v>1.5886287625417994E-2</v>
      </c>
      <c r="AJ223" s="67">
        <f t="shared" si="2034"/>
        <v>0.11888111888111896</v>
      </c>
      <c r="AK223" s="67">
        <f t="shared" si="2034"/>
        <v>5.2881355932203444E-2</v>
      </c>
      <c r="AL223" s="67">
        <f t="shared" si="2034"/>
        <v>6.6014669926650393E-2</v>
      </c>
      <c r="AM223" s="67"/>
      <c r="AN223" s="67">
        <f t="shared" si="2035"/>
        <v>0.16891891891891886</v>
      </c>
      <c r="AO223" s="67">
        <f t="shared" si="2035"/>
        <v>0.21728395061728389</v>
      </c>
      <c r="AP223" s="67">
        <f t="shared" si="2035"/>
        <v>0.11562500000000009</v>
      </c>
      <c r="AQ223" s="67">
        <f t="shared" si="2035"/>
        <v>5.4732775273663936E-2</v>
      </c>
      <c r="AR223" s="67">
        <f t="shared" si="2035"/>
        <v>0.13321865443425085</v>
      </c>
      <c r="AS223" s="67"/>
      <c r="AT223" s="67">
        <f t="shared" si="2036"/>
        <v>-6.5028901734104028E-2</v>
      </c>
      <c r="AU223" s="67">
        <f t="shared" si="2036"/>
        <v>-3.9215686274509776E-2</v>
      </c>
      <c r="AV223" s="264">
        <f t="shared" si="2036"/>
        <v>4.0616246498599518E-2</v>
      </c>
      <c r="AW223" s="539">
        <v>0</v>
      </c>
      <c r="AX223" s="67">
        <f t="shared" si="2037"/>
        <v>-1.5179625569235911E-2</v>
      </c>
      <c r="AY223" s="379"/>
      <c r="AZ223" s="454">
        <v>0.05</v>
      </c>
      <c r="BA223" s="454">
        <v>0.05</v>
      </c>
      <c r="BB223" s="454">
        <v>0.05</v>
      </c>
      <c r="BC223" s="454">
        <v>0.05</v>
      </c>
      <c r="BD223" s="67">
        <f t="shared" si="2038"/>
        <v>5.0000000000000044E-2</v>
      </c>
      <c r="BE223" s="379"/>
      <c r="BF223" s="454">
        <v>0.05</v>
      </c>
      <c r="BG223" s="454">
        <v>0.05</v>
      </c>
      <c r="BH223" s="454">
        <v>0.05</v>
      </c>
      <c r="BI223" s="454">
        <v>0.05</v>
      </c>
      <c r="BJ223" s="67">
        <f t="shared" si="2039"/>
        <v>5.0000000000000044E-2</v>
      </c>
      <c r="BK223" s="379"/>
      <c r="BL223" s="454">
        <v>0.05</v>
      </c>
      <c r="BM223" s="454">
        <v>0.05</v>
      </c>
      <c r="BN223" s="454">
        <v>0.05</v>
      </c>
      <c r="BO223" s="454">
        <v>0.05</v>
      </c>
      <c r="BP223" s="67">
        <f t="shared" si="2040"/>
        <v>4.9999999999999822E-2</v>
      </c>
      <c r="BQ223" s="379"/>
      <c r="BR223" s="454">
        <v>0.05</v>
      </c>
      <c r="BS223" s="454">
        <v>0.05</v>
      </c>
      <c r="BT223" s="454">
        <v>0.05</v>
      </c>
      <c r="BU223" s="454">
        <v>0.05</v>
      </c>
      <c r="BV223" s="67">
        <f t="shared" si="2041"/>
        <v>5.0000000000000044E-2</v>
      </c>
      <c r="BW223" s="379"/>
      <c r="BX223" s="454">
        <v>0.05</v>
      </c>
      <c r="BY223" s="454">
        <v>0.05</v>
      </c>
      <c r="BZ223" s="454">
        <v>0.05</v>
      </c>
      <c r="CA223" s="454">
        <v>0.05</v>
      </c>
      <c r="CB223" s="67">
        <f t="shared" si="2042"/>
        <v>5.0000000000000044E-2</v>
      </c>
      <c r="CC223" s="379"/>
      <c r="CD223" s="454">
        <v>0.05</v>
      </c>
      <c r="CE223" s="454">
        <v>0.05</v>
      </c>
      <c r="CF223" s="454">
        <v>0.05</v>
      </c>
      <c r="CG223" s="454">
        <v>0.05</v>
      </c>
      <c r="CH223" s="67">
        <f t="shared" si="2043"/>
        <v>5.0000000000000044E-2</v>
      </c>
      <c r="CI223" s="379"/>
      <c r="CJ223" s="454">
        <v>0.05</v>
      </c>
      <c r="CK223" s="454">
        <v>0.05</v>
      </c>
      <c r="CL223" s="454">
        <v>0.05</v>
      </c>
      <c r="CM223" s="454">
        <v>0.05</v>
      </c>
      <c r="CN223" s="67">
        <f t="shared" si="2044"/>
        <v>5.0000000000000044E-2</v>
      </c>
      <c r="CO223" s="379"/>
    </row>
    <row r="224" spans="1:93" s="137" customFormat="1" ht="18" customHeight="1" x14ac:dyDescent="0.25">
      <c r="B224" s="31" t="s">
        <v>377</v>
      </c>
      <c r="D224" s="379"/>
      <c r="E224" s="379"/>
      <c r="F224" s="379"/>
      <c r="G224" s="379"/>
      <c r="H224" s="379"/>
      <c r="J224" s="67">
        <f t="shared" si="2029"/>
        <v>0.47930283224400871</v>
      </c>
      <c r="K224" s="67">
        <f t="shared" si="2030"/>
        <v>0.21830985915492951</v>
      </c>
      <c r="L224" s="67">
        <f t="shared" si="2030"/>
        <v>0.33686067019400356</v>
      </c>
      <c r="M224" s="67">
        <f t="shared" si="2030"/>
        <v>4.7287899860917859E-2</v>
      </c>
      <c r="N224" s="67">
        <f t="shared" si="2030"/>
        <v>0.24600086467790749</v>
      </c>
      <c r="O224" s="67"/>
      <c r="P224" s="67">
        <f t="shared" si="2031"/>
        <v>5.7437407952871888E-2</v>
      </c>
      <c r="Q224" s="67">
        <f t="shared" si="2031"/>
        <v>7.225433526011571E-2</v>
      </c>
      <c r="R224" s="67">
        <f t="shared" si="2031"/>
        <v>9.6306068601583084E-2</v>
      </c>
      <c r="S224" s="67">
        <f t="shared" si="2031"/>
        <v>0.25763612217795484</v>
      </c>
      <c r="T224" s="67">
        <f t="shared" si="2031"/>
        <v>0.12352532963219987</v>
      </c>
      <c r="U224" s="67"/>
      <c r="V224" s="67">
        <f t="shared" si="2032"/>
        <v>-0.19498607242339838</v>
      </c>
      <c r="W224" s="67">
        <f t="shared" si="2032"/>
        <v>-0.19272237196765496</v>
      </c>
      <c r="X224" s="67">
        <f t="shared" si="2032"/>
        <v>-0.32972322503008422</v>
      </c>
      <c r="Y224" s="67">
        <f t="shared" si="2032"/>
        <v>-0.25343189017951429</v>
      </c>
      <c r="Z224" s="67">
        <f t="shared" si="2032"/>
        <v>-0.24613959234095117</v>
      </c>
      <c r="AA224" s="67"/>
      <c r="AB224" s="67">
        <f t="shared" si="2033"/>
        <v>-8.8235294117647078E-2</v>
      </c>
      <c r="AC224" s="67">
        <f t="shared" si="2033"/>
        <v>0.13856427378964931</v>
      </c>
      <c r="AD224" s="67">
        <f t="shared" si="2033"/>
        <v>0.3357271095152603</v>
      </c>
      <c r="AE224" s="67">
        <f t="shared" si="2033"/>
        <v>0.36492220650636487</v>
      </c>
      <c r="AF224" s="67">
        <f t="shared" si="2033"/>
        <v>0.19541171650962719</v>
      </c>
      <c r="AG224" s="67"/>
      <c r="AH224" s="67">
        <f t="shared" si="2034"/>
        <v>0.13851992409867164</v>
      </c>
      <c r="AI224" s="67">
        <f t="shared" si="2034"/>
        <v>0.12316715542521983</v>
      </c>
      <c r="AJ224" s="67">
        <f t="shared" si="2034"/>
        <v>0.11155913978494625</v>
      </c>
      <c r="AK224" s="67">
        <f t="shared" si="2034"/>
        <v>-1.2435233160621784E-2</v>
      </c>
      <c r="AL224" s="67">
        <f t="shared" si="2034"/>
        <v>7.8135709389993036E-2</v>
      </c>
      <c r="AM224" s="67"/>
      <c r="AN224" s="67">
        <f t="shared" si="2035"/>
        <v>0.19833333333333325</v>
      </c>
      <c r="AO224" s="67">
        <f t="shared" si="2035"/>
        <v>0.17362924281984338</v>
      </c>
      <c r="AP224" s="67">
        <f t="shared" si="2035"/>
        <v>8.9480048367593712E-2</v>
      </c>
      <c r="AQ224" s="67">
        <f t="shared" si="2035"/>
        <v>-1.1542497376705096E-2</v>
      </c>
      <c r="AR224" s="67">
        <f t="shared" si="2035"/>
        <v>0.100127145581691</v>
      </c>
      <c r="AS224" s="67"/>
      <c r="AT224" s="67">
        <f t="shared" si="2036"/>
        <v>0.15994436717663429</v>
      </c>
      <c r="AU224" s="67">
        <f t="shared" si="2036"/>
        <v>1.4460511679644128E-2</v>
      </c>
      <c r="AV224" s="264">
        <f t="shared" si="2036"/>
        <v>-4.9944506104328545E-2</v>
      </c>
      <c r="AW224" s="539">
        <v>0</v>
      </c>
      <c r="AX224" s="67">
        <f t="shared" si="2037"/>
        <v>2.3981508234614202E-2</v>
      </c>
      <c r="AY224" s="379"/>
      <c r="AZ224" s="454">
        <v>0.05</v>
      </c>
      <c r="BA224" s="454">
        <v>0.05</v>
      </c>
      <c r="BB224" s="454">
        <v>0.05</v>
      </c>
      <c r="BC224" s="454">
        <v>0.05</v>
      </c>
      <c r="BD224" s="67">
        <f t="shared" si="2038"/>
        <v>5.0000000000000044E-2</v>
      </c>
      <c r="BE224" s="379"/>
      <c r="BF224" s="454">
        <v>0.05</v>
      </c>
      <c r="BG224" s="454">
        <v>0.05</v>
      </c>
      <c r="BH224" s="454">
        <v>0.05</v>
      </c>
      <c r="BI224" s="454">
        <v>0.05</v>
      </c>
      <c r="BJ224" s="67">
        <f t="shared" si="2039"/>
        <v>5.0000000000000044E-2</v>
      </c>
      <c r="BK224" s="379"/>
      <c r="BL224" s="454">
        <v>0.05</v>
      </c>
      <c r="BM224" s="454">
        <v>0.05</v>
      </c>
      <c r="BN224" s="454">
        <v>0.05</v>
      </c>
      <c r="BO224" s="454">
        <v>0.05</v>
      </c>
      <c r="BP224" s="67">
        <f t="shared" si="2040"/>
        <v>5.0000000000000044E-2</v>
      </c>
      <c r="BQ224" s="379"/>
      <c r="BR224" s="454">
        <v>0.05</v>
      </c>
      <c r="BS224" s="454">
        <v>0.05</v>
      </c>
      <c r="BT224" s="454">
        <v>0.05</v>
      </c>
      <c r="BU224" s="454">
        <v>0.05</v>
      </c>
      <c r="BV224" s="67">
        <f t="shared" si="2041"/>
        <v>5.0000000000000044E-2</v>
      </c>
      <c r="BW224" s="379"/>
      <c r="BX224" s="454">
        <v>0.05</v>
      </c>
      <c r="BY224" s="454">
        <v>0.05</v>
      </c>
      <c r="BZ224" s="454">
        <v>0.05</v>
      </c>
      <c r="CA224" s="454">
        <v>0.05</v>
      </c>
      <c r="CB224" s="67">
        <f t="shared" si="2042"/>
        <v>5.0000000000000044E-2</v>
      </c>
      <c r="CC224" s="379"/>
      <c r="CD224" s="454">
        <v>0.05</v>
      </c>
      <c r="CE224" s="454">
        <v>0.05</v>
      </c>
      <c r="CF224" s="454">
        <v>0.05</v>
      </c>
      <c r="CG224" s="454">
        <v>0.05</v>
      </c>
      <c r="CH224" s="67">
        <f t="shared" si="2043"/>
        <v>5.0000000000000044E-2</v>
      </c>
      <c r="CI224" s="379"/>
      <c r="CJ224" s="454">
        <v>0.05</v>
      </c>
      <c r="CK224" s="454">
        <v>0.05</v>
      </c>
      <c r="CL224" s="454">
        <v>0.05</v>
      </c>
      <c r="CM224" s="454">
        <v>0.05</v>
      </c>
      <c r="CN224" s="67">
        <f t="shared" si="2044"/>
        <v>5.0000000000000044E-2</v>
      </c>
      <c r="CO224" s="379"/>
    </row>
    <row r="225" spans="2:93" s="137" customFormat="1" ht="18" customHeight="1" x14ac:dyDescent="0.25">
      <c r="B225" s="31" t="s">
        <v>378</v>
      </c>
      <c r="C225" s="31"/>
      <c r="D225" s="31"/>
      <c r="E225" s="31"/>
      <c r="F225" s="31"/>
      <c r="G225" s="31"/>
      <c r="H225" s="31"/>
      <c r="I225" s="31"/>
      <c r="J225" s="390">
        <f t="shared" si="2029"/>
        <v>0.2089743589743589</v>
      </c>
      <c r="K225" s="390">
        <f t="shared" si="2030"/>
        <v>0.22128174123337363</v>
      </c>
      <c r="L225" s="390">
        <f t="shared" si="2030"/>
        <v>0.11516533637400217</v>
      </c>
      <c r="M225" s="390">
        <f t="shared" si="2030"/>
        <v>9.4218415417558932E-2</v>
      </c>
      <c r="N225" s="390">
        <f t="shared" si="2030"/>
        <v>0.15652428320655365</v>
      </c>
      <c r="O225" s="390"/>
      <c r="P225" s="390">
        <f t="shared" si="2031"/>
        <v>3.6055143160127257E-2</v>
      </c>
      <c r="Q225" s="390">
        <f t="shared" si="2031"/>
        <v>-4.7524752475247567E-2</v>
      </c>
      <c r="R225" s="390">
        <f t="shared" si="2031"/>
        <v>-8.997955010224945E-2</v>
      </c>
      <c r="S225" s="390">
        <f t="shared" si="2031"/>
        <v>-0.23385518590998045</v>
      </c>
      <c r="T225" s="390">
        <f t="shared" si="2031"/>
        <v>-8.6263597267897785E-2</v>
      </c>
      <c r="U225" s="390"/>
      <c r="V225" s="390">
        <f t="shared" si="2032"/>
        <v>-0.25179119754350054</v>
      </c>
      <c r="W225" s="390">
        <f t="shared" si="2032"/>
        <v>-0.36798336798336795</v>
      </c>
      <c r="X225" s="390">
        <f t="shared" si="2032"/>
        <v>-0.22921348314606738</v>
      </c>
      <c r="Y225" s="390">
        <f t="shared" si="2032"/>
        <v>-2.5542784163473664E-3</v>
      </c>
      <c r="Z225" s="390">
        <f t="shared" si="2032"/>
        <v>-0.22314507198228128</v>
      </c>
      <c r="AA225" s="390"/>
      <c r="AB225" s="390">
        <f t="shared" si="2033"/>
        <v>0.16142270861833108</v>
      </c>
      <c r="AC225" s="390">
        <f t="shared" si="2033"/>
        <v>0.40625</v>
      </c>
      <c r="AD225" s="390">
        <f t="shared" si="2033"/>
        <v>0.36443148688046656</v>
      </c>
      <c r="AE225" s="390">
        <f t="shared" si="2033"/>
        <v>0.25096030729833552</v>
      </c>
      <c r="AF225" s="390">
        <f t="shared" si="2033"/>
        <v>0.28902352102637208</v>
      </c>
      <c r="AG225" s="390"/>
      <c r="AH225" s="390">
        <f t="shared" si="2034"/>
        <v>0.18492343934040045</v>
      </c>
      <c r="AI225" s="390">
        <f t="shared" si="2034"/>
        <v>0.2456140350877194</v>
      </c>
      <c r="AJ225" s="390">
        <f t="shared" si="2034"/>
        <v>0.27029914529914523</v>
      </c>
      <c r="AK225" s="390">
        <f t="shared" si="2034"/>
        <v>0.18219037871033783</v>
      </c>
      <c r="AL225" s="390">
        <f t="shared" si="2034"/>
        <v>0.22062482720486587</v>
      </c>
      <c r="AM225" s="390"/>
      <c r="AN225" s="390">
        <f t="shared" si="2035"/>
        <v>0.19184890656063613</v>
      </c>
      <c r="AO225" s="390">
        <f t="shared" si="2035"/>
        <v>0.18497652582159629</v>
      </c>
      <c r="AP225" s="390">
        <f t="shared" si="2035"/>
        <v>-7.1488645920941951E-2</v>
      </c>
      <c r="AQ225" s="390">
        <f t="shared" si="2035"/>
        <v>-6.4069264069264054E-2</v>
      </c>
      <c r="AR225" s="390">
        <f t="shared" si="2035"/>
        <v>5.2321630804077035E-2</v>
      </c>
      <c r="AS225" s="390"/>
      <c r="AT225" s="390">
        <f t="shared" si="2036"/>
        <v>-4.170141784820669E-3</v>
      </c>
      <c r="AU225" s="390">
        <f t="shared" si="2036"/>
        <v>-3.961965134706813E-3</v>
      </c>
      <c r="AV225" s="392">
        <f t="shared" si="2036"/>
        <v>7.0652173913043459E-2</v>
      </c>
      <c r="AW225" s="542">
        <f>AVERAGE(AW185,AW144)+4%</f>
        <v>-3.5411003795766539E-2</v>
      </c>
      <c r="AX225" s="390">
        <f t="shared" si="2037"/>
        <v>6.3970522808387553E-3</v>
      </c>
      <c r="AY225" s="31"/>
      <c r="AZ225" s="527">
        <f>AVERAGE(AZ185,AZ144)+4%</f>
        <v>-5.1329672551920204E-2</v>
      </c>
      <c r="BA225" s="527">
        <f>AVERAGE(BA185,BA144)+4%</f>
        <v>-2.2854883420834173E-2</v>
      </c>
      <c r="BB225" s="527">
        <f>AVERAGE(BB185,BB144)+4%</f>
        <v>2.3274252498092417E-2</v>
      </c>
      <c r="BC225" s="527">
        <f>AVERAGE(BC185,BC144)+4%</f>
        <v>3.9429891286514938E-2</v>
      </c>
      <c r="BD225" s="390">
        <f t="shared" si="2038"/>
        <v>-4.5750566272177995E-3</v>
      </c>
      <c r="BE225" s="31"/>
      <c r="BF225" s="527">
        <f>AVERAGE(BF185,BF144)</f>
        <v>4.4339746162734284E-2</v>
      </c>
      <c r="BG225" s="527">
        <f>AVERAGE(BG185,BG144)</f>
        <v>4.4381715201443295E-2</v>
      </c>
      <c r="BH225" s="527">
        <f>AVERAGE(BH185,BH144)</f>
        <v>4.4378977609419668E-2</v>
      </c>
      <c r="BI225" s="527">
        <f>AVERAGE(BI185,BI144)</f>
        <v>4.4372675478293488E-2</v>
      </c>
      <c r="BJ225" s="390">
        <f t="shared" si="2039"/>
        <v>4.4368684845519146E-2</v>
      </c>
      <c r="BK225" s="31"/>
      <c r="BL225" s="527">
        <f>AVERAGE(BL185,BL144)</f>
        <v>3.6441720823845225E-2</v>
      </c>
      <c r="BM225" s="527">
        <f>AVERAGE(BM185,BM144)</f>
        <v>3.6481447459331795E-2</v>
      </c>
      <c r="BN225" s="527">
        <f>AVERAGE(BN185,BN144)</f>
        <v>3.6544140558238181E-2</v>
      </c>
      <c r="BO225" s="527">
        <f>AVERAGE(BO185,BO144)</f>
        <v>3.6589096011105049E-2</v>
      </c>
      <c r="BP225" s="390">
        <f t="shared" si="2040"/>
        <v>3.6513139418368423E-2</v>
      </c>
      <c r="BQ225" s="31"/>
      <c r="BR225" s="527">
        <f>AVERAGE(BR185,BR144)</f>
        <v>3.6475604169889042E-2</v>
      </c>
      <c r="BS225" s="527">
        <f>AVERAGE(BS185,BS144)</f>
        <v>3.6513901323709241E-2</v>
      </c>
      <c r="BT225" s="527">
        <f>AVERAGE(BT185,BT144)</f>
        <v>3.6576797586897247E-2</v>
      </c>
      <c r="BU225" s="527">
        <f>AVERAGE(BU185,BU144)</f>
        <v>3.6622028632780523E-2</v>
      </c>
      <c r="BV225" s="390">
        <f t="shared" si="2041"/>
        <v>3.654610842176953E-2</v>
      </c>
      <c r="BW225" s="31"/>
      <c r="BX225" s="527">
        <f>AVERAGE(BX185,BX144)</f>
        <v>3.6508708234975873E-2</v>
      </c>
      <c r="BY225" s="527">
        <f>AVERAGE(BY185,BY144)</f>
        <v>3.6545625230041234E-2</v>
      </c>
      <c r="BZ225" s="527">
        <f>AVERAGE(BZ185,BZ144)</f>
        <v>3.6608718344584235E-2</v>
      </c>
      <c r="CA225" s="527">
        <f>AVERAGE(CA185,CA144)</f>
        <v>3.6654215623805109E-2</v>
      </c>
      <c r="CB225" s="390">
        <f t="shared" si="2042"/>
        <v>3.6578330132536863E-2</v>
      </c>
      <c r="CC225" s="31"/>
      <c r="CD225" s="527">
        <f>AVERAGE(CD185,CD144)</f>
        <v>3.6541059902602369E-2</v>
      </c>
      <c r="CE225" s="527">
        <f>AVERAGE(CE185,CE144)</f>
        <v>3.6576644550873838E-2</v>
      </c>
      <c r="CF225" s="527">
        <f>AVERAGE(CF185,CF144)</f>
        <v>3.6639928299740498E-2</v>
      </c>
      <c r="CG225" s="527">
        <f>AVERAGE(CG185,CG144)</f>
        <v>3.6685682664941766E-2</v>
      </c>
      <c r="CH225" s="390">
        <f t="shared" si="2043"/>
        <v>3.6609830390386788E-2</v>
      </c>
      <c r="CI225" s="31"/>
      <c r="CJ225" s="527">
        <f>AVERAGE(CJ185,CJ144)</f>
        <v>3.6572685219651957E-2</v>
      </c>
      <c r="CK225" s="527">
        <f>AVERAGE(CK185,CK144)</f>
        <v>3.6606983853990971E-2</v>
      </c>
      <c r="CL225" s="527">
        <f>AVERAGE(CL185,CL144)</f>
        <v>3.6670452113516272E-2</v>
      </c>
      <c r="CM225" s="527">
        <f>AVERAGE(CM185,CM144)</f>
        <v>3.6716454624617811E-2</v>
      </c>
      <c r="CN225" s="390">
        <f t="shared" si="2044"/>
        <v>3.6640634219913926E-2</v>
      </c>
      <c r="CO225" s="379"/>
    </row>
    <row r="226" spans="2:93" s="137" customFormat="1" ht="18" customHeight="1" x14ac:dyDescent="0.25">
      <c r="B226" s="155" t="s">
        <v>382</v>
      </c>
      <c r="C226" s="155"/>
      <c r="D226" s="155"/>
      <c r="E226" s="155"/>
      <c r="F226" s="155"/>
      <c r="G226" s="155"/>
      <c r="H226" s="155"/>
      <c r="I226" s="155"/>
      <c r="J226" s="390">
        <f t="shared" si="2029"/>
        <v>0.26184719535783363</v>
      </c>
      <c r="K226" s="390">
        <f t="shared" si="2030"/>
        <v>0.20050335570469802</v>
      </c>
      <c r="L226" s="390">
        <f t="shared" si="2030"/>
        <v>0.14820173625465061</v>
      </c>
      <c r="M226" s="390">
        <f t="shared" si="2030"/>
        <v>0.1147163120567376</v>
      </c>
      <c r="N226" s="390">
        <f t="shared" si="2030"/>
        <v>0.17557527602930545</v>
      </c>
      <c r="O226" s="390"/>
      <c r="P226" s="390">
        <f t="shared" si="2031"/>
        <v>-1.7244682889442364E-3</v>
      </c>
      <c r="Q226" s="390">
        <f t="shared" si="2031"/>
        <v>-4.1579315164220865E-2</v>
      </c>
      <c r="R226" s="390">
        <f t="shared" si="2031"/>
        <v>-1.8541854185418538E-2</v>
      </c>
      <c r="S226" s="390">
        <f t="shared" si="2031"/>
        <v>-5.3761730555113685E-2</v>
      </c>
      <c r="T226" s="390">
        <f t="shared" si="2031"/>
        <v>-3.0195303928022832E-2</v>
      </c>
      <c r="U226" s="390"/>
      <c r="V226" s="390">
        <f t="shared" si="2032"/>
        <v>-0.1652591170825336</v>
      </c>
      <c r="W226" s="390">
        <f t="shared" si="2032"/>
        <v>-0.24371126503827922</v>
      </c>
      <c r="X226" s="390">
        <f t="shared" si="2032"/>
        <v>-0.23679383712399116</v>
      </c>
      <c r="Y226" s="390">
        <f t="shared" si="2032"/>
        <v>-0.19129265422760122</v>
      </c>
      <c r="Z226" s="390">
        <f t="shared" si="2032"/>
        <v>-0.20939494048965923</v>
      </c>
      <c r="AA226" s="390"/>
      <c r="AB226" s="390">
        <f t="shared" si="2033"/>
        <v>3.6330190848471E-2</v>
      </c>
      <c r="AC226" s="390">
        <f t="shared" si="2033"/>
        <v>0.19908411665461556</v>
      </c>
      <c r="AD226" s="390">
        <f t="shared" si="2033"/>
        <v>0.22013938956981494</v>
      </c>
      <c r="AE226" s="390">
        <f t="shared" si="2033"/>
        <v>0.19060486385366859</v>
      </c>
      <c r="AF226" s="390">
        <f t="shared" si="2033"/>
        <v>0.16124785346307946</v>
      </c>
      <c r="AG226" s="390"/>
      <c r="AH226" s="390">
        <f t="shared" si="2034"/>
        <v>0.1178167295318393</v>
      </c>
      <c r="AI226" s="390">
        <f t="shared" si="2034"/>
        <v>0.14673366834170865</v>
      </c>
      <c r="AJ226" s="390">
        <f t="shared" si="2034"/>
        <v>0.21843608430175299</v>
      </c>
      <c r="AK226" s="390">
        <f t="shared" si="2034"/>
        <v>0.19116620111731852</v>
      </c>
      <c r="AL226" s="390">
        <f t="shared" si="2034"/>
        <v>0.17079903386405082</v>
      </c>
      <c r="AM226" s="390"/>
      <c r="AN226" s="390">
        <f t="shared" si="2035"/>
        <v>0.24136562127828509</v>
      </c>
      <c r="AO226" s="390">
        <f t="shared" si="2035"/>
        <v>0.2653812445223489</v>
      </c>
      <c r="AP226" s="390">
        <f t="shared" si="2035"/>
        <v>0.10879405108309093</v>
      </c>
      <c r="AQ226" s="390">
        <f t="shared" si="2035"/>
        <v>0.12399237871903845</v>
      </c>
      <c r="AR226" s="390">
        <f t="shared" si="2035"/>
        <v>0.1788901987201077</v>
      </c>
      <c r="AS226" s="390"/>
      <c r="AT226" s="390">
        <f t="shared" si="2036"/>
        <v>6.8276303165973884E-2</v>
      </c>
      <c r="AU226" s="390">
        <f t="shared" si="2036"/>
        <v>1.6345754259592837E-2</v>
      </c>
      <c r="AV226" s="392">
        <f t="shared" si="2036"/>
        <v>4.7820381979880366E-2</v>
      </c>
      <c r="AW226" s="390">
        <f t="shared" ref="AW226" si="2045">AW214/AQ214-1</f>
        <v>3.3892385564842309E-2</v>
      </c>
      <c r="AX226" s="390">
        <f t="shared" si="2037"/>
        <v>4.0460008746000975E-2</v>
      </c>
      <c r="AY226" s="155"/>
      <c r="AZ226" s="390">
        <f t="shared" ref="AZ226" si="2046">AZ214/AT214-1</f>
        <v>4.7868937430475711E-2</v>
      </c>
      <c r="BA226" s="390">
        <f t="shared" ref="BA226" si="2047">BA214/AU214-1</f>
        <v>5.4078153406025953E-2</v>
      </c>
      <c r="BB226" s="390">
        <f t="shared" ref="BB226" si="2048">BB214/AV214-1</f>
        <v>4.2480891394566012E-2</v>
      </c>
      <c r="BC226" s="390">
        <f t="shared" ref="BC226" si="2049">BC214/AW214-1</f>
        <v>4.4512283218863802E-2</v>
      </c>
      <c r="BD226" s="390">
        <f t="shared" si="2038"/>
        <v>4.7189951772298677E-2</v>
      </c>
      <c r="BE226" s="155"/>
      <c r="BF226" s="390">
        <f t="shared" ref="BF226" si="2050">BF214/AZ214-1</f>
        <v>4.7423236249108047E-2</v>
      </c>
      <c r="BG226" s="390">
        <f t="shared" ref="BG226" si="2051">BG214/BA214-1</f>
        <v>4.7489933750693769E-2</v>
      </c>
      <c r="BH226" s="390">
        <f t="shared" ref="BH226" si="2052">BH214/BB214-1</f>
        <v>4.7294735098124985E-2</v>
      </c>
      <c r="BI226" s="390">
        <f t="shared" ref="BI226" si="2053">BI214/BC214-1</f>
        <v>4.6909739249495486E-2</v>
      </c>
      <c r="BJ226" s="390">
        <f t="shared" si="2039"/>
        <v>4.7269193388311148E-2</v>
      </c>
      <c r="BK226" s="155"/>
      <c r="BL226" s="390">
        <f t="shared" ref="BL226" si="2054">BL214/BF214-1</f>
        <v>4.6195301598476401E-2</v>
      </c>
      <c r="BM226" s="390">
        <f t="shared" ref="BM226" si="2055">BM214/BG214-1</f>
        <v>4.6284046612820706E-2</v>
      </c>
      <c r="BN226" s="390">
        <f t="shared" ref="BN226" si="2056">BN214/BH214-1</f>
        <v>4.6082832901288784E-2</v>
      </c>
      <c r="BO226" s="390">
        <f t="shared" ref="BO226" si="2057">BO214/BI214-1</f>
        <v>4.5955868565007219E-2</v>
      </c>
      <c r="BP226" s="390">
        <f t="shared" si="2040"/>
        <v>4.6125208207582924E-2</v>
      </c>
      <c r="BQ226" s="155"/>
      <c r="BR226" s="390">
        <f t="shared" ref="BR226" si="2058">BR214/BL214-1</f>
        <v>4.6261607199527655E-2</v>
      </c>
      <c r="BS226" s="390">
        <f t="shared" ref="BS226" si="2059">BS214/BM214-1</f>
        <v>4.6348767097628807E-2</v>
      </c>
      <c r="BT226" s="390">
        <f t="shared" ref="BT226" si="2060">BT214/BN214-1</f>
        <v>4.6151453301930934E-2</v>
      </c>
      <c r="BU226" s="390">
        <f t="shared" ref="BU226" si="2061">BU214/BO214-1</f>
        <v>4.6032718121704175E-2</v>
      </c>
      <c r="BV226" s="390">
        <f t="shared" si="2041"/>
        <v>4.619455615547885E-2</v>
      </c>
      <c r="BW226" s="155"/>
      <c r="BX226" s="390">
        <f t="shared" ref="BX226" si="2062">BX214/BR214-1</f>
        <v>4.6326647278966959E-2</v>
      </c>
      <c r="BY226" s="390">
        <f t="shared" ref="BY226" si="2063">BY214/BS214-1</f>
        <v>4.6412253169834772E-2</v>
      </c>
      <c r="BZ226" s="390">
        <f t="shared" ref="BZ226" si="2064">BZ214/BT214-1</f>
        <v>4.6218774985332223E-2</v>
      </c>
      <c r="CA226" s="390">
        <f t="shared" ref="CA226" si="2065">CA214/BU214-1</f>
        <v>4.610807469221756E-2</v>
      </c>
      <c r="CB226" s="390">
        <f t="shared" si="2042"/>
        <v>4.626257501480846E-2</v>
      </c>
      <c r="CC226" s="155"/>
      <c r="CD226" s="390">
        <f t="shared" ref="CD226" si="2066">CD214/BX214-1</f>
        <v>4.6390445644683309E-2</v>
      </c>
      <c r="CE226" s="390">
        <f t="shared" ref="CE226" si="2067">CE214/BY214-1</f>
        <v>4.6474528049614383E-2</v>
      </c>
      <c r="CF226" s="390">
        <f t="shared" ref="CF226" si="2068">CF214/BZ214-1</f>
        <v>4.6284821398367537E-2</v>
      </c>
      <c r="CG226" s="390">
        <f t="shared" ref="CG226" si="2069">CG214/CA214-1</f>
        <v>4.6181962796405518E-2</v>
      </c>
      <c r="CH226" s="390">
        <f t="shared" si="2043"/>
        <v>4.6329288656822953E-2</v>
      </c>
      <c r="CI226" s="155"/>
      <c r="CJ226" s="390">
        <f t="shared" ref="CJ226" si="2070">CJ214/CD214-1</f>
        <v>4.6453025757044797E-2</v>
      </c>
      <c r="CK226" s="390">
        <f t="shared" ref="CK226" si="2071">CK214/CE214-1</f>
        <v>4.6535614615788035E-2</v>
      </c>
      <c r="CL226" s="390">
        <f t="shared" ref="CL226" si="2072">CL214/CF214-1</f>
        <v>4.6349615695907787E-2</v>
      </c>
      <c r="CM226" s="390">
        <f t="shared" ref="CM226" si="2073">CM214/CG214-1</f>
        <v>4.6254406830596784E-2</v>
      </c>
      <c r="CN226" s="390">
        <f t="shared" si="2044"/>
        <v>4.6394720676325107E-2</v>
      </c>
      <c r="CO226" s="379"/>
    </row>
    <row r="227" spans="2:93" s="137" customFormat="1" ht="18" customHeight="1" x14ac:dyDescent="0.25">
      <c r="B227" s="136"/>
      <c r="C227" s="136"/>
      <c r="D227" s="136"/>
      <c r="E227" s="136"/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36"/>
      <c r="AH227" s="136"/>
      <c r="AI227" s="136"/>
      <c r="AJ227" s="136"/>
      <c r="AK227" s="136"/>
      <c r="AL227" s="136"/>
      <c r="AM227" s="136"/>
      <c r="AN227" s="136"/>
      <c r="AO227" s="136"/>
      <c r="AP227" s="136"/>
      <c r="AQ227" s="136"/>
      <c r="AR227" s="136"/>
      <c r="AS227" s="136"/>
      <c r="AT227" s="136"/>
      <c r="AU227" s="136"/>
      <c r="AV227" s="393"/>
      <c r="AW227" s="136"/>
      <c r="AX227" s="136"/>
      <c r="AY227" s="136"/>
      <c r="AZ227" s="136"/>
      <c r="BA227" s="136"/>
      <c r="BB227" s="136"/>
      <c r="BC227" s="136"/>
      <c r="BD227" s="136"/>
      <c r="BE227" s="136"/>
      <c r="BF227" s="136"/>
      <c r="BG227" s="136"/>
      <c r="BH227" s="136"/>
      <c r="BI227" s="136"/>
      <c r="BJ227" s="136"/>
      <c r="BK227" s="136"/>
      <c r="BL227" s="136"/>
      <c r="BM227" s="136"/>
      <c r="BN227" s="136"/>
      <c r="BO227" s="136"/>
      <c r="BP227" s="136"/>
      <c r="BQ227" s="136"/>
      <c r="BR227" s="136"/>
      <c r="BS227" s="136"/>
      <c r="BT227" s="136"/>
      <c r="BU227" s="136"/>
      <c r="BV227" s="136"/>
      <c r="BW227" s="136"/>
      <c r="BX227" s="136"/>
      <c r="BY227" s="136"/>
      <c r="BZ227" s="136"/>
      <c r="CA227" s="136"/>
      <c r="CB227" s="136"/>
      <c r="CC227" s="136"/>
      <c r="CD227" s="136"/>
      <c r="CE227" s="136"/>
      <c r="CF227" s="136"/>
      <c r="CG227" s="136"/>
      <c r="CH227" s="136"/>
      <c r="CI227" s="136"/>
      <c r="CJ227" s="136"/>
      <c r="CK227" s="136"/>
      <c r="CL227" s="136"/>
      <c r="CM227" s="136"/>
      <c r="CN227" s="136"/>
      <c r="CO227" s="379"/>
    </row>
    <row r="228" spans="2:93" s="137" customFormat="1" ht="18" customHeight="1" x14ac:dyDescent="0.25">
      <c r="B228" s="386" t="s">
        <v>383</v>
      </c>
      <c r="D228" s="379"/>
      <c r="E228" s="379"/>
      <c r="F228" s="379"/>
      <c r="G228" s="379"/>
      <c r="H228" s="379"/>
      <c r="J228" s="246"/>
      <c r="K228" s="246"/>
      <c r="L228" s="246"/>
      <c r="M228" s="246"/>
      <c r="N228" s="246"/>
      <c r="O228" s="246"/>
      <c r="P228" s="246"/>
      <c r="Q228" s="246"/>
      <c r="R228" s="246"/>
      <c r="S228" s="246"/>
      <c r="T228" s="246"/>
      <c r="U228" s="246"/>
      <c r="V228" s="246"/>
      <c r="W228" s="246"/>
      <c r="X228" s="246"/>
      <c r="Y228" s="246"/>
      <c r="Z228" s="246"/>
      <c r="AA228" s="246"/>
      <c r="AB228" s="246"/>
      <c r="AC228" s="246"/>
      <c r="AD228" s="246"/>
      <c r="AE228" s="246"/>
      <c r="AF228" s="246"/>
      <c r="AG228" s="246"/>
      <c r="AH228" s="246"/>
      <c r="AI228" s="246"/>
      <c r="AJ228" s="246"/>
      <c r="AK228" s="246"/>
      <c r="AL228" s="246"/>
      <c r="AM228" s="246"/>
      <c r="AN228" s="246"/>
      <c r="AO228" s="246"/>
      <c r="AP228" s="246"/>
      <c r="AQ228" s="246"/>
      <c r="AR228" s="246"/>
      <c r="AS228" s="246"/>
      <c r="AT228" s="246"/>
      <c r="AU228" s="246"/>
      <c r="AV228" s="265"/>
      <c r="AW228" s="246"/>
      <c r="AX228" s="246"/>
      <c r="AY228" s="379"/>
      <c r="AZ228" s="246"/>
      <c r="BA228" s="246"/>
      <c r="BB228" s="246"/>
      <c r="BC228" s="246"/>
      <c r="BD228" s="246"/>
      <c r="BE228" s="379"/>
      <c r="BF228" s="246"/>
      <c r="BG228" s="246"/>
      <c r="BH228" s="246"/>
      <c r="BI228" s="246"/>
      <c r="BJ228" s="246"/>
      <c r="BK228" s="379"/>
      <c r="BL228" s="246"/>
      <c r="BM228" s="246"/>
      <c r="BN228" s="246"/>
      <c r="BO228" s="246"/>
      <c r="BP228" s="246"/>
      <c r="BQ228" s="379"/>
      <c r="BR228" s="246"/>
      <c r="BS228" s="246"/>
      <c r="BT228" s="246"/>
      <c r="BU228" s="246"/>
      <c r="BV228" s="246"/>
      <c r="BW228" s="379"/>
      <c r="BX228" s="246"/>
      <c r="BY228" s="246"/>
      <c r="BZ228" s="246"/>
      <c r="CA228" s="246"/>
      <c r="CB228" s="246"/>
      <c r="CC228" s="379"/>
      <c r="CD228" s="246"/>
      <c r="CE228" s="246"/>
      <c r="CF228" s="246"/>
      <c r="CG228" s="246"/>
      <c r="CH228" s="246"/>
      <c r="CI228" s="379"/>
      <c r="CJ228" s="246"/>
      <c r="CK228" s="246"/>
      <c r="CL228" s="246"/>
      <c r="CM228" s="246"/>
      <c r="CN228" s="246"/>
      <c r="CO228" s="379"/>
    </row>
    <row r="229" spans="2:93" s="137" customFormat="1" ht="18" customHeight="1" x14ac:dyDescent="0.25">
      <c r="B229" s="31" t="s">
        <v>374</v>
      </c>
      <c r="D229" s="67">
        <f t="shared" ref="D229:H233" si="2074">D209/D$214</f>
        <v>0.41634429400386846</v>
      </c>
      <c r="E229" s="67">
        <f t="shared" si="2074"/>
        <v>0.41568791946308725</v>
      </c>
      <c r="F229" s="67">
        <f t="shared" si="2074"/>
        <v>0.39851178172798679</v>
      </c>
      <c r="G229" s="67">
        <f t="shared" si="2074"/>
        <v>0.4125886524822695</v>
      </c>
      <c r="H229" s="67">
        <f t="shared" si="2074"/>
        <v>0.41063873697244868</v>
      </c>
      <c r="J229" s="67">
        <f t="shared" ref="J229:N233" si="2075">J209/J$214</f>
        <v>0.42632688254454876</v>
      </c>
      <c r="K229" s="67">
        <f t="shared" si="2075"/>
        <v>0.45108315863032844</v>
      </c>
      <c r="L229" s="67">
        <f t="shared" si="2075"/>
        <v>0.41566156615661565</v>
      </c>
      <c r="M229" s="67">
        <f t="shared" si="2075"/>
        <v>0.40862096389374902</v>
      </c>
      <c r="N229" s="67">
        <f t="shared" si="2075"/>
        <v>0.4250603467193329</v>
      </c>
      <c r="O229" s="67"/>
      <c r="P229" s="67">
        <f t="shared" ref="P229:T233" si="2076">P209/P$214</f>
        <v>0.41285988483685221</v>
      </c>
      <c r="Q229" s="67">
        <f t="shared" si="2076"/>
        <v>0.41870215092963908</v>
      </c>
      <c r="R229" s="67">
        <f t="shared" si="2076"/>
        <v>0.39049889948642702</v>
      </c>
      <c r="S229" s="67">
        <f t="shared" si="2076"/>
        <v>0.38443435871575055</v>
      </c>
      <c r="T229" s="67">
        <f t="shared" si="2076"/>
        <v>0.40114042630221297</v>
      </c>
      <c r="U229" s="67"/>
      <c r="V229" s="67">
        <f t="shared" ref="V229:Z233" si="2077">V209/V$214</f>
        <v>0.39963209933318006</v>
      </c>
      <c r="W229" s="67">
        <f t="shared" si="2077"/>
        <v>0.4376958303205592</v>
      </c>
      <c r="X229" s="67">
        <f t="shared" si="2077"/>
        <v>0.38067772170151404</v>
      </c>
      <c r="Y229" s="67">
        <f t="shared" si="2077"/>
        <v>0.35439617543130325</v>
      </c>
      <c r="Z229" s="67">
        <f t="shared" si="2077"/>
        <v>0.39170005724098456</v>
      </c>
      <c r="AA229" s="67"/>
      <c r="AB229" s="67">
        <f t="shared" ref="AB229:AF233" si="2078">AB209/AB$214</f>
        <v>0.39538495673396939</v>
      </c>
      <c r="AC229" s="67">
        <f t="shared" si="2078"/>
        <v>0.40040201005025128</v>
      </c>
      <c r="AD229" s="67">
        <f t="shared" si="2078"/>
        <v>0.37896395509158953</v>
      </c>
      <c r="AE229" s="67">
        <f t="shared" si="2078"/>
        <v>0.33397346368715086</v>
      </c>
      <c r="AF229" s="67">
        <f t="shared" si="2078"/>
        <v>0.37516636269532211</v>
      </c>
      <c r="AG229" s="67"/>
      <c r="AH229" s="67">
        <f t="shared" ref="AH229:AL233" si="2079">AH209/AH$214</f>
        <v>0.38467645891226676</v>
      </c>
      <c r="AI229" s="67">
        <f t="shared" si="2079"/>
        <v>0.39912357581069235</v>
      </c>
      <c r="AJ229" s="67">
        <f t="shared" si="2079"/>
        <v>0.39152925961849339</v>
      </c>
      <c r="AK229" s="67">
        <f t="shared" si="2079"/>
        <v>0.37197713615711564</v>
      </c>
      <c r="AL229" s="67">
        <f t="shared" si="2079"/>
        <v>0.38628326035702254</v>
      </c>
      <c r="AM229" s="67"/>
      <c r="AN229" s="67">
        <f t="shared" ref="AN229:AR233" si="2080">AN209/AN$214</f>
        <v>0.41125679565078349</v>
      </c>
      <c r="AO229" s="67">
        <f t="shared" si="2080"/>
        <v>0.43219282449092672</v>
      </c>
      <c r="AP229" s="67">
        <f t="shared" si="2080"/>
        <v>0.43242455168391891</v>
      </c>
      <c r="AQ229" s="67">
        <f t="shared" si="2080"/>
        <v>0.43343330290781068</v>
      </c>
      <c r="AR229" s="67">
        <f t="shared" si="2080"/>
        <v>0.4279132888111139</v>
      </c>
      <c r="AS229" s="67"/>
      <c r="AT229" s="67">
        <f t="shared" ref="AT229:AX233" si="2081">AT209/AT$214</f>
        <v>0.44170034425984134</v>
      </c>
      <c r="AU229" s="67">
        <f t="shared" si="2081"/>
        <v>0.45086547635273272</v>
      </c>
      <c r="AV229" s="264">
        <f t="shared" si="2081"/>
        <v>0.44719632670098791</v>
      </c>
      <c r="AW229" s="67">
        <f t="shared" si="2081"/>
        <v>0.46114725270765605</v>
      </c>
      <c r="AX229" s="67">
        <f t="shared" si="2081"/>
        <v>0.45065681797483698</v>
      </c>
      <c r="AY229" s="67"/>
      <c r="AZ229" s="67">
        <f t="shared" ref="AZ229:BD233" si="2082">AZ209/AZ$214</f>
        <v>0.46367476058336943</v>
      </c>
      <c r="BA229" s="67">
        <f t="shared" si="2082"/>
        <v>0.47050782941041341</v>
      </c>
      <c r="BB229" s="67">
        <f t="shared" si="2082"/>
        <v>0.45042182251215596</v>
      </c>
      <c r="BC229" s="67">
        <f t="shared" si="2082"/>
        <v>0.46357005381580579</v>
      </c>
      <c r="BD229" s="67">
        <f t="shared" si="2082"/>
        <v>0.46212383181390121</v>
      </c>
      <c r="BE229" s="67"/>
      <c r="BF229" s="67">
        <f t="shared" ref="BF229:BJ233" si="2083">BF209/BF$214</f>
        <v>0.46481544590896268</v>
      </c>
      <c r="BG229" s="67">
        <f t="shared" si="2083"/>
        <v>0.47163529210440674</v>
      </c>
      <c r="BH229" s="67">
        <f t="shared" si="2083"/>
        <v>0.45158530620652071</v>
      </c>
      <c r="BI229" s="67">
        <f t="shared" si="2083"/>
        <v>0.46493841661606333</v>
      </c>
      <c r="BJ229" s="67">
        <f t="shared" si="2083"/>
        <v>0.46332884273497443</v>
      </c>
      <c r="BK229" s="67"/>
      <c r="BL229" s="67">
        <f t="shared" ref="BL229:BP233" si="2084">BL209/BL$214</f>
        <v>0.46650584021808572</v>
      </c>
      <c r="BM229" s="67">
        <f t="shared" si="2084"/>
        <v>0.47331033892069185</v>
      </c>
      <c r="BN229" s="67">
        <f t="shared" si="2084"/>
        <v>0.45327631484187653</v>
      </c>
      <c r="BO229" s="67">
        <f t="shared" si="2084"/>
        <v>0.46673607569756204</v>
      </c>
      <c r="BP229" s="67">
        <f t="shared" si="2084"/>
        <v>0.46504498797546212</v>
      </c>
      <c r="BQ229" s="67"/>
      <c r="BR229" s="67">
        <f t="shared" ref="BR229:BV233" si="2085">BR209/BR$214</f>
        <v>0.46817271020781764</v>
      </c>
      <c r="BS229" s="67">
        <f t="shared" si="2085"/>
        <v>0.47496195484154141</v>
      </c>
      <c r="BT229" s="67">
        <f t="shared" si="2085"/>
        <v>0.4549438124678577</v>
      </c>
      <c r="BU229" s="67">
        <f t="shared" si="2085"/>
        <v>0.46850626275097168</v>
      </c>
      <c r="BV229" s="67">
        <f t="shared" si="2085"/>
        <v>0.46673654962286726</v>
      </c>
      <c r="BW229" s="67"/>
      <c r="BX229" s="67">
        <f t="shared" ref="BX229:CB233" si="2086">BX209/BX$214</f>
        <v>0.46981633029856817</v>
      </c>
      <c r="BY229" s="67">
        <f t="shared" si="2086"/>
        <v>0.4765904174696976</v>
      </c>
      <c r="BZ229" s="67">
        <f t="shared" si="2086"/>
        <v>0.45658806218417147</v>
      </c>
      <c r="CA229" s="67">
        <f t="shared" si="2086"/>
        <v>0.47024928665544874</v>
      </c>
      <c r="CB229" s="67">
        <f t="shared" si="2086"/>
        <v>0.46840381067541692</v>
      </c>
      <c r="CC229" s="67"/>
      <c r="CD229" s="67">
        <f t="shared" ref="CD229:CH233" si="2087">CD209/CD$214</f>
        <v>0.47143697542992097</v>
      </c>
      <c r="CE229" s="67">
        <f t="shared" si="2087"/>
        <v>0.47819600470911522</v>
      </c>
      <c r="CF229" s="67">
        <f t="shared" si="2087"/>
        <v>0.45820932836685424</v>
      </c>
      <c r="CG229" s="67">
        <f t="shared" si="2087"/>
        <v>0.4719654596877339</v>
      </c>
      <c r="CH229" s="67">
        <f t="shared" si="2087"/>
        <v>0.4700470554929646</v>
      </c>
      <c r="CI229" s="67"/>
      <c r="CJ229" s="67">
        <f t="shared" ref="CJ229:CN233" si="2088">CJ209/CJ$214</f>
        <v>0.47303492083967014</v>
      </c>
      <c r="CK229" s="67">
        <f t="shared" si="2088"/>
        <v>0.47977899455328882</v>
      </c>
      <c r="CL229" s="67">
        <f t="shared" si="2088"/>
        <v>0.45980787641921489</v>
      </c>
      <c r="CM229" s="67">
        <f t="shared" si="2088"/>
        <v>0.47365509711287579</v>
      </c>
      <c r="CN229" s="67">
        <f t="shared" si="2088"/>
        <v>0.47166656952226693</v>
      </c>
      <c r="CO229" s="239"/>
    </row>
    <row r="230" spans="2:93" s="137" customFormat="1" ht="18" customHeight="1" x14ac:dyDescent="0.25">
      <c r="B230" s="31" t="s">
        <v>375</v>
      </c>
      <c r="D230" s="67">
        <f t="shared" si="2074"/>
        <v>6.6489361702127658E-2</v>
      </c>
      <c r="E230" s="67">
        <f t="shared" si="2074"/>
        <v>6.5436241610738258E-2</v>
      </c>
      <c r="F230" s="67">
        <f t="shared" si="2074"/>
        <v>6.2009094667217858E-2</v>
      </c>
      <c r="G230" s="67">
        <f t="shared" si="2074"/>
        <v>6.6312056737588651E-2</v>
      </c>
      <c r="H230" s="67">
        <f t="shared" si="2074"/>
        <v>6.5060365287380045E-2</v>
      </c>
      <c r="J230" s="67">
        <f t="shared" si="2075"/>
        <v>5.3650124544931982E-2</v>
      </c>
      <c r="K230" s="67">
        <f t="shared" si="2075"/>
        <v>5.0139762403913345E-2</v>
      </c>
      <c r="L230" s="67">
        <f t="shared" si="2075"/>
        <v>5.9405940594059403E-2</v>
      </c>
      <c r="M230" s="67">
        <f t="shared" si="2075"/>
        <v>6.9031334499761413E-2</v>
      </c>
      <c r="N230" s="67">
        <f t="shared" si="2075"/>
        <v>5.8415624314241826E-2</v>
      </c>
      <c r="O230" s="67"/>
      <c r="P230" s="67">
        <f t="shared" si="2076"/>
        <v>6.3723608445297508E-2</v>
      </c>
      <c r="Q230" s="67">
        <f t="shared" si="2076"/>
        <v>5.9241706161137442E-2</v>
      </c>
      <c r="R230" s="67">
        <f t="shared" si="2076"/>
        <v>6.9332355099046228E-2</v>
      </c>
      <c r="S230" s="67">
        <f t="shared" si="2076"/>
        <v>5.950579929399899E-2</v>
      </c>
      <c r="T230" s="67">
        <f t="shared" si="2076"/>
        <v>6.2859211657691094E-2</v>
      </c>
      <c r="U230" s="67"/>
      <c r="V230" s="67">
        <f t="shared" si="2077"/>
        <v>5.7254541273856062E-2</v>
      </c>
      <c r="W230" s="67">
        <f t="shared" si="2077"/>
        <v>4.7481320800192815E-2</v>
      </c>
      <c r="X230" s="67">
        <f t="shared" si="2077"/>
        <v>5.3112232636385481E-2</v>
      </c>
      <c r="Y230" s="67">
        <f t="shared" si="2077"/>
        <v>5.5082103512783205E-2</v>
      </c>
      <c r="Z230" s="67">
        <f t="shared" si="2077"/>
        <v>5.334859759587865E-2</v>
      </c>
      <c r="AA230" s="67"/>
      <c r="AB230" s="67">
        <f t="shared" si="2078"/>
        <v>5.6800532504992236E-2</v>
      </c>
      <c r="AC230" s="67">
        <f t="shared" si="2078"/>
        <v>5.0251256281407038E-2</v>
      </c>
      <c r="AD230" s="67">
        <f t="shared" si="2078"/>
        <v>6.4802048453811309E-2</v>
      </c>
      <c r="AE230" s="67">
        <f t="shared" si="2078"/>
        <v>6.9483240223463694E-2</v>
      </c>
      <c r="AF230" s="67">
        <f t="shared" si="2078"/>
        <v>6.0777838024350571E-2</v>
      </c>
      <c r="AG230" s="67"/>
      <c r="AH230" s="67">
        <f t="shared" si="2079"/>
        <v>6.1532354108773321E-2</v>
      </c>
      <c r="AI230" s="67">
        <f t="shared" si="2079"/>
        <v>6.6958808063102546E-2</v>
      </c>
      <c r="AJ230" s="67">
        <f t="shared" si="2079"/>
        <v>7.5654704170708048E-2</v>
      </c>
      <c r="AK230" s="67">
        <f t="shared" si="2079"/>
        <v>9.1455371537446872E-2</v>
      </c>
      <c r="AL230" s="67">
        <f t="shared" si="2079"/>
        <v>7.5109464466150216E-2</v>
      </c>
      <c r="AM230" s="67"/>
      <c r="AN230" s="67">
        <f t="shared" si="2080"/>
        <v>6.0761112887751836E-2</v>
      </c>
      <c r="AO230" s="67">
        <f t="shared" si="2080"/>
        <v>6.3582213602992099E-2</v>
      </c>
      <c r="AP230" s="67">
        <f t="shared" si="2080"/>
        <v>6.7065169849832337E-2</v>
      </c>
      <c r="AQ230" s="67">
        <f t="shared" si="2080"/>
        <v>8.9190246446733609E-2</v>
      </c>
      <c r="AR230" s="67">
        <f t="shared" si="2080"/>
        <v>7.0818899325024109E-2</v>
      </c>
      <c r="AS230" s="67"/>
      <c r="AT230" s="67">
        <f t="shared" si="2081"/>
        <v>6.1068702290076333E-2</v>
      </c>
      <c r="AU230" s="67">
        <f t="shared" si="2081"/>
        <v>5.9833719503884421E-2</v>
      </c>
      <c r="AV230" s="264">
        <f t="shared" si="2081"/>
        <v>6.247391122860721E-2</v>
      </c>
      <c r="AW230" s="67">
        <f t="shared" si="2081"/>
        <v>8.1953146485459705E-2</v>
      </c>
      <c r="AX230" s="67">
        <f t="shared" si="2081"/>
        <v>6.6788127135698344E-2</v>
      </c>
      <c r="AY230" s="67"/>
      <c r="AZ230" s="67">
        <f t="shared" si="2082"/>
        <v>5.536500329691444E-2</v>
      </c>
      <c r="BA230" s="67">
        <f t="shared" si="2082"/>
        <v>5.3925824517866573E-2</v>
      </c>
      <c r="BB230" s="67">
        <f t="shared" si="2082"/>
        <v>5.9928111627095153E-2</v>
      </c>
      <c r="BC230" s="67">
        <f t="shared" si="2082"/>
        <v>7.8460682370249835E-2</v>
      </c>
      <c r="BD230" s="67">
        <f t="shared" si="2082"/>
        <v>6.2390299873760373E-2</v>
      </c>
      <c r="BE230" s="67"/>
      <c r="BF230" s="67">
        <f t="shared" si="2083"/>
        <v>5.3915457866949547E-2</v>
      </c>
      <c r="BG230" s="67">
        <f t="shared" si="2083"/>
        <v>5.2510615363407523E-2</v>
      </c>
      <c r="BH230" s="67">
        <f t="shared" si="2083"/>
        <v>5.8366257187294907E-2</v>
      </c>
      <c r="BI230" s="67">
        <f t="shared" si="2083"/>
        <v>7.6443931140640978E-2</v>
      </c>
      <c r="BJ230" s="67">
        <f t="shared" si="2083"/>
        <v>6.076575752729084E-2</v>
      </c>
      <c r="BK230" s="67"/>
      <c r="BL230" s="67">
        <f t="shared" si="2084"/>
        <v>5.2565488432478949E-2</v>
      </c>
      <c r="BM230" s="67">
        <f t="shared" si="2084"/>
        <v>5.1191478876190827E-2</v>
      </c>
      <c r="BN230" s="67">
        <f t="shared" si="2084"/>
        <v>5.6910963891765302E-2</v>
      </c>
      <c r="BO230" s="67">
        <f t="shared" si="2084"/>
        <v>7.4546940369891637E-2</v>
      </c>
      <c r="BP230" s="67">
        <f t="shared" si="2084"/>
        <v>5.9248235480372585E-2</v>
      </c>
      <c r="BQ230" s="67"/>
      <c r="BR230" s="67">
        <f t="shared" si="2085"/>
        <v>5.1246072523526635E-2</v>
      </c>
      <c r="BS230" s="67">
        <f t="shared" si="2085"/>
        <v>4.9902394015859469E-2</v>
      </c>
      <c r="BT230" s="67">
        <f t="shared" si="2085"/>
        <v>5.5488316712061177E-2</v>
      </c>
      <c r="BU230" s="67">
        <f t="shared" si="2085"/>
        <v>7.2691683405301091E-2</v>
      </c>
      <c r="BV230" s="67">
        <f t="shared" si="2085"/>
        <v>5.7764781736255592E-2</v>
      </c>
      <c r="BW230" s="67"/>
      <c r="BX230" s="67">
        <f t="shared" si="2086"/>
        <v>4.9956668990444736E-2</v>
      </c>
      <c r="BY230" s="67">
        <f t="shared" si="2086"/>
        <v>4.8642819062933336E-2</v>
      </c>
      <c r="BZ230" s="67">
        <f t="shared" si="2086"/>
        <v>5.4097751253886536E-2</v>
      </c>
      <c r="CA230" s="67">
        <f t="shared" si="2086"/>
        <v>7.0877492361601305E-2</v>
      </c>
      <c r="CB230" s="67">
        <f t="shared" si="2086"/>
        <v>5.6314809282121917E-2</v>
      </c>
      <c r="CC230" s="67"/>
      <c r="CD230" s="67">
        <f t="shared" si="2087"/>
        <v>4.8696738948968185E-2</v>
      </c>
      <c r="CE230" s="67">
        <f t="shared" si="2087"/>
        <v>4.741221512258316E-2</v>
      </c>
      <c r="CF230" s="67">
        <f t="shared" si="2087"/>
        <v>5.2738704748881066E-2</v>
      </c>
      <c r="CG230" s="67">
        <f t="shared" si="2087"/>
        <v>6.9103697807589209E-2</v>
      </c>
      <c r="CH230" s="67">
        <f t="shared" si="2087"/>
        <v>5.4897732568971395E-2</v>
      </c>
      <c r="CI230" s="67"/>
      <c r="CJ230" s="67">
        <f t="shared" si="2088"/>
        <v>4.7465746197268489E-2</v>
      </c>
      <c r="CK230" s="67">
        <f t="shared" si="2088"/>
        <v>4.6210046509300377E-2</v>
      </c>
      <c r="CL230" s="67">
        <f t="shared" si="2088"/>
        <v>5.1410616525224828E-2</v>
      </c>
      <c r="CM230" s="67">
        <f t="shared" si="2088"/>
        <v>6.7369629512254572E-2</v>
      </c>
      <c r="CN230" s="67">
        <f t="shared" si="2088"/>
        <v>5.3512968016656927E-2</v>
      </c>
      <c r="CO230" s="239"/>
    </row>
    <row r="231" spans="2:93" s="137" customFormat="1" ht="18" customHeight="1" x14ac:dyDescent="0.25">
      <c r="B231" s="31" t="s">
        <v>376</v>
      </c>
      <c r="D231" s="67">
        <f t="shared" si="2074"/>
        <v>0.21760154738878143</v>
      </c>
      <c r="E231" s="67">
        <f t="shared" si="2074"/>
        <v>0.2263003355704698</v>
      </c>
      <c r="F231" s="67">
        <f t="shared" si="2074"/>
        <v>0.24100868127325342</v>
      </c>
      <c r="G231" s="67">
        <f t="shared" si="2074"/>
        <v>0.22801418439716312</v>
      </c>
      <c r="H231" s="67">
        <f t="shared" si="2074"/>
        <v>0.2286141781033949</v>
      </c>
      <c r="J231" s="67">
        <f t="shared" si="2075"/>
        <v>0.20923548572523473</v>
      </c>
      <c r="K231" s="67">
        <f t="shared" si="2075"/>
        <v>0.20143256464011181</v>
      </c>
      <c r="L231" s="67">
        <f t="shared" si="2075"/>
        <v>0.21242124212421243</v>
      </c>
      <c r="M231" s="67">
        <f t="shared" si="2075"/>
        <v>0.2400190870049308</v>
      </c>
      <c r="N231" s="67">
        <f t="shared" si="2075"/>
        <v>0.21654597322800087</v>
      </c>
      <c r="O231" s="67"/>
      <c r="P231" s="67">
        <f t="shared" si="2076"/>
        <v>0.19808061420345491</v>
      </c>
      <c r="Q231" s="67">
        <f t="shared" si="2076"/>
        <v>0.2114473204520598</v>
      </c>
      <c r="R231" s="67">
        <f t="shared" si="2076"/>
        <v>0.22450476889214968</v>
      </c>
      <c r="S231" s="67">
        <f t="shared" si="2076"/>
        <v>0.26525466464952091</v>
      </c>
      <c r="T231" s="67">
        <f t="shared" si="2076"/>
        <v>0.22600352989093542</v>
      </c>
      <c r="U231" s="67"/>
      <c r="V231" s="67">
        <f t="shared" si="2077"/>
        <v>0.24212462635088527</v>
      </c>
      <c r="W231" s="67">
        <f t="shared" si="2077"/>
        <v>0.22390937575319353</v>
      </c>
      <c r="X231" s="67">
        <f t="shared" si="2077"/>
        <v>0.26748377793799566</v>
      </c>
      <c r="Y231" s="67">
        <f t="shared" si="2077"/>
        <v>0.28123051340677613</v>
      </c>
      <c r="Z231" s="67">
        <f t="shared" si="2077"/>
        <v>0.25460789925586719</v>
      </c>
      <c r="AA231" s="67"/>
      <c r="AB231" s="67">
        <f t="shared" si="2078"/>
        <v>0.24251164854670512</v>
      </c>
      <c r="AC231" s="67">
        <f t="shared" si="2078"/>
        <v>0.24040201005025125</v>
      </c>
      <c r="AD231" s="67">
        <f t="shared" si="2078"/>
        <v>0.22532991924364781</v>
      </c>
      <c r="AE231" s="67">
        <f t="shared" si="2078"/>
        <v>0.25750698324022347</v>
      </c>
      <c r="AF231" s="67">
        <f t="shared" si="2078"/>
        <v>0.2419283284862227</v>
      </c>
      <c r="AG231" s="67"/>
      <c r="AH231" s="67">
        <f t="shared" si="2079"/>
        <v>0.2350138944025407</v>
      </c>
      <c r="AI231" s="67">
        <f t="shared" si="2079"/>
        <v>0.21297107800175286</v>
      </c>
      <c r="AJ231" s="67">
        <f t="shared" si="2079"/>
        <v>0.20691884901390237</v>
      </c>
      <c r="AK231" s="67">
        <f t="shared" si="2079"/>
        <v>0.22761248717572916</v>
      </c>
      <c r="AL231" s="67">
        <f t="shared" si="2079"/>
        <v>0.22027618726844056</v>
      </c>
      <c r="AM231" s="67"/>
      <c r="AN231" s="67">
        <f t="shared" si="2080"/>
        <v>0.22129836904381195</v>
      </c>
      <c r="AO231" s="67">
        <f t="shared" si="2080"/>
        <v>0.20487602160964122</v>
      </c>
      <c r="AP231" s="67">
        <f t="shared" si="2080"/>
        <v>0.20819361422947952</v>
      </c>
      <c r="AQ231" s="67">
        <f t="shared" si="2080"/>
        <v>0.213587169122441</v>
      </c>
      <c r="AR231" s="67">
        <f t="shared" si="2080"/>
        <v>0.21174243777007964</v>
      </c>
      <c r="AS231" s="67"/>
      <c r="AT231" s="67">
        <f t="shared" si="2081"/>
        <v>0.19368358030234994</v>
      </c>
      <c r="AU231" s="67">
        <f t="shared" si="2081"/>
        <v>0.19367588932806323</v>
      </c>
      <c r="AV231" s="264">
        <f t="shared" si="2081"/>
        <v>0.20676220954501182</v>
      </c>
      <c r="AW231" s="67">
        <f t="shared" si="2081"/>
        <v>0.20658549391071562</v>
      </c>
      <c r="AX231" s="67">
        <f t="shared" si="2081"/>
        <v>0.20041930020831669</v>
      </c>
      <c r="AY231" s="67"/>
      <c r="AZ231" s="67">
        <f t="shared" si="2082"/>
        <v>0.19407747672734174</v>
      </c>
      <c r="BA231" s="67">
        <f t="shared" si="2082"/>
        <v>0.19292657108711864</v>
      </c>
      <c r="BB231" s="67">
        <f t="shared" si="2082"/>
        <v>0.20825352465870059</v>
      </c>
      <c r="BC231" s="67">
        <f t="shared" si="2082"/>
        <v>0.2076708642791516</v>
      </c>
      <c r="BD231" s="67">
        <f t="shared" si="2082"/>
        <v>0.20095710893957353</v>
      </c>
      <c r="BE231" s="67"/>
      <c r="BF231" s="67">
        <f t="shared" si="2083"/>
        <v>0.19455492632898172</v>
      </c>
      <c r="BG231" s="67">
        <f t="shared" si="2083"/>
        <v>0.19338887478959546</v>
      </c>
      <c r="BH231" s="67">
        <f t="shared" si="2083"/>
        <v>0.20879146391502479</v>
      </c>
      <c r="BI231" s="67">
        <f t="shared" si="2083"/>
        <v>0.20828386566489215</v>
      </c>
      <c r="BJ231" s="67">
        <f t="shared" si="2083"/>
        <v>0.20148111461569065</v>
      </c>
      <c r="BK231" s="67"/>
      <c r="BL231" s="67">
        <f t="shared" si="2084"/>
        <v>0.19526246421992946</v>
      </c>
      <c r="BM231" s="67">
        <f t="shared" si="2084"/>
        <v>0.19407570935105478</v>
      </c>
      <c r="BN231" s="67">
        <f t="shared" si="2084"/>
        <v>0.20957330549316383</v>
      </c>
      <c r="BO231" s="67">
        <f t="shared" si="2084"/>
        <v>0.20908918389470699</v>
      </c>
      <c r="BP231" s="67">
        <f t="shared" si="2084"/>
        <v>0.20222738988285255</v>
      </c>
      <c r="BQ231" s="67"/>
      <c r="BR231" s="67">
        <f t="shared" si="2085"/>
        <v>0.19596015568200667</v>
      </c>
      <c r="BS231" s="67">
        <f t="shared" si="2085"/>
        <v>0.19475293633102167</v>
      </c>
      <c r="BT231" s="67">
        <f t="shared" si="2085"/>
        <v>0.2103442767041806</v>
      </c>
      <c r="BU231" s="67">
        <f t="shared" si="2085"/>
        <v>0.20988219516083895</v>
      </c>
      <c r="BV231" s="67">
        <f t="shared" si="2085"/>
        <v>0.20296297483834233</v>
      </c>
      <c r="BW231" s="67"/>
      <c r="BX231" s="67">
        <f t="shared" si="2086"/>
        <v>0.19664811557766693</v>
      </c>
      <c r="BY231" s="67">
        <f t="shared" si="2086"/>
        <v>0.1954206695574536</v>
      </c>
      <c r="BZ231" s="67">
        <f t="shared" si="2086"/>
        <v>0.21110449919280608</v>
      </c>
      <c r="CA231" s="67">
        <f t="shared" si="2086"/>
        <v>0.21066303783547344</v>
      </c>
      <c r="CB231" s="67">
        <f t="shared" si="2086"/>
        <v>0.20368799254550721</v>
      </c>
      <c r="CC231" s="67"/>
      <c r="CD231" s="67">
        <f t="shared" si="2087"/>
        <v>0.19732645898667128</v>
      </c>
      <c r="CE231" s="67">
        <f t="shared" si="2087"/>
        <v>0.19607902298181684</v>
      </c>
      <c r="CF231" s="67">
        <f t="shared" si="2087"/>
        <v>0.21185409519388468</v>
      </c>
      <c r="CG231" s="67">
        <f t="shared" si="2087"/>
        <v>0.2114318518128509</v>
      </c>
      <c r="CH231" s="67">
        <f t="shared" si="2087"/>
        <v>0.20440256665980494</v>
      </c>
      <c r="CI231" s="67"/>
      <c r="CJ231" s="67">
        <f t="shared" si="2088"/>
        <v>0.19799530111360089</v>
      </c>
      <c r="CK231" s="67">
        <f t="shared" si="2088"/>
        <v>0.19672811059229262</v>
      </c>
      <c r="CL231" s="67">
        <f t="shared" si="2088"/>
        <v>0.21259318741722252</v>
      </c>
      <c r="CM231" s="67">
        <f t="shared" si="2088"/>
        <v>0.21218877832591904</v>
      </c>
      <c r="CN231" s="67">
        <f t="shared" si="2088"/>
        <v>0.20510682130933949</v>
      </c>
      <c r="CO231" s="239"/>
    </row>
    <row r="232" spans="2:93" s="137" customFormat="1" ht="18" customHeight="1" x14ac:dyDescent="0.25">
      <c r="B232" s="31" t="s">
        <v>377</v>
      </c>
      <c r="D232" s="67">
        <f t="shared" si="2074"/>
        <v>0.11097678916827854</v>
      </c>
      <c r="E232" s="67">
        <f t="shared" si="2074"/>
        <v>0.11912751677852348</v>
      </c>
      <c r="F232" s="67">
        <f t="shared" si="2074"/>
        <v>0.11719718892104175</v>
      </c>
      <c r="G232" s="67">
        <f t="shared" si="2074"/>
        <v>0.1274822695035461</v>
      </c>
      <c r="H232" s="67">
        <f t="shared" si="2074"/>
        <v>0.11933752966670107</v>
      </c>
      <c r="J232" s="67">
        <f t="shared" si="2075"/>
        <v>0.13010155202146004</v>
      </c>
      <c r="K232" s="67">
        <f t="shared" si="2075"/>
        <v>0.12089447938504543</v>
      </c>
      <c r="L232" s="67">
        <f t="shared" si="2075"/>
        <v>0.13645364536453644</v>
      </c>
      <c r="M232" s="67">
        <f t="shared" si="2075"/>
        <v>0.11977095594083029</v>
      </c>
      <c r="N232" s="67">
        <f t="shared" si="2075"/>
        <v>0.12648672372174677</v>
      </c>
      <c r="O232" s="67"/>
      <c r="P232" s="67">
        <f t="shared" si="2076"/>
        <v>0.13781190019193859</v>
      </c>
      <c r="Q232" s="67">
        <f t="shared" si="2076"/>
        <v>0.13525337222019687</v>
      </c>
      <c r="R232" s="67">
        <f t="shared" si="2076"/>
        <v>0.15242112986060161</v>
      </c>
      <c r="S232" s="67">
        <f t="shared" si="2076"/>
        <v>0.15918641788535889</v>
      </c>
      <c r="T232" s="67">
        <f t="shared" si="2076"/>
        <v>0.14653572883196814</v>
      </c>
      <c r="U232" s="67"/>
      <c r="V232" s="67">
        <f t="shared" si="2077"/>
        <v>0.13290411588871004</v>
      </c>
      <c r="W232" s="67">
        <f t="shared" si="2077"/>
        <v>0.14437213786454567</v>
      </c>
      <c r="X232" s="67">
        <f t="shared" si="2077"/>
        <v>0.1338620523912521</v>
      </c>
      <c r="Y232" s="67">
        <f t="shared" si="2077"/>
        <v>0.14695489503221784</v>
      </c>
      <c r="Z232" s="67">
        <f t="shared" si="2077"/>
        <v>0.13972524327418431</v>
      </c>
      <c r="AA232" s="67"/>
      <c r="AB232" s="67">
        <f t="shared" si="2078"/>
        <v>0.11692922121144886</v>
      </c>
      <c r="AC232" s="67">
        <f t="shared" si="2078"/>
        <v>0.13708542713567839</v>
      </c>
      <c r="AD232" s="67">
        <f t="shared" si="2078"/>
        <v>0.1465432341934213</v>
      </c>
      <c r="AE232" s="67">
        <f t="shared" si="2078"/>
        <v>0.16847067039106145</v>
      </c>
      <c r="AF232" s="67">
        <f t="shared" si="2078"/>
        <v>0.14383595405924976</v>
      </c>
      <c r="AG232" s="67"/>
      <c r="AH232" s="67">
        <f t="shared" si="2079"/>
        <v>0.11909487892020643</v>
      </c>
      <c r="AI232" s="67">
        <f t="shared" si="2079"/>
        <v>0.13426818580192812</v>
      </c>
      <c r="AJ232" s="67">
        <f t="shared" si="2079"/>
        <v>0.13368897510507599</v>
      </c>
      <c r="AK232" s="67">
        <f t="shared" si="2079"/>
        <v>0.13967462992818408</v>
      </c>
      <c r="AL232" s="67">
        <f t="shared" si="2079"/>
        <v>0.13245200404176491</v>
      </c>
      <c r="AM232" s="67"/>
      <c r="AN232" s="67">
        <f t="shared" si="2080"/>
        <v>0.11496642149024625</v>
      </c>
      <c r="AO232" s="67">
        <f t="shared" si="2080"/>
        <v>0.12453248372350741</v>
      </c>
      <c r="AP232" s="67">
        <f t="shared" si="2080"/>
        <v>0.1313602565971716</v>
      </c>
      <c r="AQ232" s="67">
        <f t="shared" si="2080"/>
        <v>0.12283218150997523</v>
      </c>
      <c r="AR232" s="67">
        <f t="shared" si="2080"/>
        <v>0.12360272847398307</v>
      </c>
      <c r="AS232" s="67"/>
      <c r="AT232" s="67">
        <f t="shared" si="2081"/>
        <v>0.12483161203412663</v>
      </c>
      <c r="AU232" s="67">
        <f t="shared" si="2081"/>
        <v>0.12430148562082595</v>
      </c>
      <c r="AV232" s="264">
        <f t="shared" si="2081"/>
        <v>0.11910393766522888</v>
      </c>
      <c r="AW232" s="67">
        <f t="shared" si="2081"/>
        <v>0.11880557708418445</v>
      </c>
      <c r="AX232" s="67">
        <f t="shared" si="2081"/>
        <v>0.12164514470598979</v>
      </c>
      <c r="AY232" s="67"/>
      <c r="AZ232" s="67">
        <f t="shared" si="2082"/>
        <v>0.12508548345487094</v>
      </c>
      <c r="BA232" s="67">
        <f t="shared" si="2082"/>
        <v>0.1238205720136891</v>
      </c>
      <c r="BB232" s="67">
        <f t="shared" si="2082"/>
        <v>0.11996299939962835</v>
      </c>
      <c r="BC232" s="67">
        <f t="shared" si="2082"/>
        <v>0.119429764438926</v>
      </c>
      <c r="BD232" s="67">
        <f t="shared" si="2082"/>
        <v>0.12197156946084065</v>
      </c>
      <c r="BE232" s="67"/>
      <c r="BF232" s="67">
        <f t="shared" si="2083"/>
        <v>0.12539320599564974</v>
      </c>
      <c r="BG232" s="67">
        <f t="shared" si="2083"/>
        <v>0.12411727924567986</v>
      </c>
      <c r="BH232" s="67">
        <f t="shared" si="2083"/>
        <v>0.1202728755795836</v>
      </c>
      <c r="BI232" s="67">
        <f t="shared" si="2083"/>
        <v>0.11978229637138486</v>
      </c>
      <c r="BJ232" s="67">
        <f t="shared" si="2083"/>
        <v>0.12228961640657776</v>
      </c>
      <c r="BK232" s="67"/>
      <c r="BL232" s="67">
        <f t="shared" si="2084"/>
        <v>0.12584922346168562</v>
      </c>
      <c r="BM232" s="67">
        <f t="shared" si="2084"/>
        <v>0.12455809073058549</v>
      </c>
      <c r="BN232" s="67">
        <f t="shared" si="2084"/>
        <v>0.12072325000144565</v>
      </c>
      <c r="BO232" s="67">
        <f t="shared" si="2084"/>
        <v>0.12024542810061904</v>
      </c>
      <c r="BP232" s="67">
        <f t="shared" si="2084"/>
        <v>0.12274257060195744</v>
      </c>
      <c r="BQ232" s="67"/>
      <c r="BR232" s="67">
        <f t="shared" si="2085"/>
        <v>0.1262988947749564</v>
      </c>
      <c r="BS232" s="67">
        <f t="shared" si="2085"/>
        <v>0.12499273605481478</v>
      </c>
      <c r="BT232" s="67">
        <f t="shared" si="2085"/>
        <v>0.12116736262367336</v>
      </c>
      <c r="BU232" s="67">
        <f t="shared" si="2085"/>
        <v>0.12070148219872423</v>
      </c>
      <c r="BV232" s="67">
        <f t="shared" si="2085"/>
        <v>0.12318903627797316</v>
      </c>
      <c r="BW232" s="67"/>
      <c r="BX232" s="67">
        <f t="shared" si="2086"/>
        <v>0.12674229396582243</v>
      </c>
      <c r="BY232" s="67">
        <f t="shared" si="2086"/>
        <v>0.12542128827332702</v>
      </c>
      <c r="BZ232" s="67">
        <f t="shared" si="2086"/>
        <v>0.12160528351887082</v>
      </c>
      <c r="CA232" s="67">
        <f t="shared" si="2086"/>
        <v>0.12115053824237851</v>
      </c>
      <c r="CB232" s="67">
        <f t="shared" si="2086"/>
        <v>0.12362908812832291</v>
      </c>
      <c r="CC232" s="67"/>
      <c r="CD232" s="67">
        <f t="shared" si="2087"/>
        <v>0.12717949520470159</v>
      </c>
      <c r="CE232" s="67">
        <f t="shared" si="2087"/>
        <v>0.12584382052034976</v>
      </c>
      <c r="CF232" s="67">
        <f t="shared" si="2087"/>
        <v>0.12203708309957288</v>
      </c>
      <c r="CG232" s="67">
        <f t="shared" si="2087"/>
        <v>0.12159267668358092</v>
      </c>
      <c r="CH232" s="67">
        <f t="shared" si="2087"/>
        <v>0.12406280120608816</v>
      </c>
      <c r="CI232" s="67"/>
      <c r="CJ232" s="67">
        <f t="shared" si="2088"/>
        <v>0.12761057274245993</v>
      </c>
      <c r="CK232" s="67">
        <f t="shared" si="2088"/>
        <v>0.1262604059536741</v>
      </c>
      <c r="CL232" s="67">
        <f t="shared" si="2088"/>
        <v>0.12246283205191287</v>
      </c>
      <c r="CM232" s="67">
        <f t="shared" si="2088"/>
        <v>0.12202797874420987</v>
      </c>
      <c r="CN232" s="67">
        <f t="shared" si="2088"/>
        <v>0.12449025085122439</v>
      </c>
      <c r="CO232" s="239"/>
    </row>
    <row r="233" spans="2:93" s="137" customFormat="1" ht="18" customHeight="1" x14ac:dyDescent="0.25">
      <c r="B233" s="31" t="s">
        <v>378</v>
      </c>
      <c r="C233" s="31"/>
      <c r="D233" s="390">
        <f t="shared" si="2074"/>
        <v>0.1885880077369439</v>
      </c>
      <c r="E233" s="390">
        <f t="shared" si="2074"/>
        <v>0.17344798657718122</v>
      </c>
      <c r="F233" s="390">
        <f t="shared" si="2074"/>
        <v>0.18127325341050021</v>
      </c>
      <c r="G233" s="390">
        <f t="shared" si="2074"/>
        <v>0.16560283687943261</v>
      </c>
      <c r="H233" s="390">
        <f t="shared" si="2074"/>
        <v>0.17634918997007532</v>
      </c>
      <c r="I233" s="31"/>
      <c r="J233" s="390">
        <f t="shared" si="2075"/>
        <v>0.18068595516382449</v>
      </c>
      <c r="K233" s="390">
        <f t="shared" si="2075"/>
        <v>0.17645003494060099</v>
      </c>
      <c r="L233" s="390">
        <f t="shared" si="2075"/>
        <v>0.17605760576057605</v>
      </c>
      <c r="M233" s="390">
        <f t="shared" si="2075"/>
        <v>0.16255765866072849</v>
      </c>
      <c r="N233" s="390">
        <f t="shared" si="2075"/>
        <v>0.17349133201667763</v>
      </c>
      <c r="O233" s="390"/>
      <c r="P233" s="390">
        <f t="shared" si="2076"/>
        <v>0.18752399232245681</v>
      </c>
      <c r="Q233" s="390">
        <f t="shared" si="2076"/>
        <v>0.17535545023696683</v>
      </c>
      <c r="R233" s="390">
        <f t="shared" si="2076"/>
        <v>0.16324284666177549</v>
      </c>
      <c r="S233" s="390">
        <f t="shared" si="2076"/>
        <v>0.13161875945537066</v>
      </c>
      <c r="T233" s="390">
        <f t="shared" si="2076"/>
        <v>0.16346110331719238</v>
      </c>
      <c r="U233" s="390"/>
      <c r="V233" s="390">
        <f t="shared" si="2077"/>
        <v>0.16808461715336859</v>
      </c>
      <c r="W233" s="390">
        <f t="shared" si="2077"/>
        <v>0.14654133526150881</v>
      </c>
      <c r="X233" s="390">
        <f t="shared" si="2077"/>
        <v>0.16486421533285267</v>
      </c>
      <c r="Y233" s="390">
        <f t="shared" si="2077"/>
        <v>0.16233631261691955</v>
      </c>
      <c r="Z233" s="390">
        <f t="shared" si="2077"/>
        <v>0.16061820263308529</v>
      </c>
      <c r="AA233" s="390"/>
      <c r="AB233" s="390">
        <f t="shared" si="2078"/>
        <v>0.1883736410028844</v>
      </c>
      <c r="AC233" s="390">
        <f t="shared" si="2078"/>
        <v>0.17185929648241205</v>
      </c>
      <c r="AD233" s="390">
        <f t="shared" si="2078"/>
        <v>0.18436084301753003</v>
      </c>
      <c r="AE233" s="390">
        <f t="shared" si="2078"/>
        <v>0.17056564245810055</v>
      </c>
      <c r="AF233" s="390">
        <f t="shared" si="2078"/>
        <v>0.17829151673485483</v>
      </c>
      <c r="AG233" s="390"/>
      <c r="AH233" s="390">
        <f t="shared" si="2079"/>
        <v>0.19968241365621278</v>
      </c>
      <c r="AI233" s="390">
        <f t="shared" si="2079"/>
        <v>0.18667835232252411</v>
      </c>
      <c r="AJ233" s="390">
        <f t="shared" si="2079"/>
        <v>0.19220821209182024</v>
      </c>
      <c r="AK233" s="390">
        <f t="shared" si="2079"/>
        <v>0.16928037520152425</v>
      </c>
      <c r="AL233" s="390">
        <f t="shared" si="2079"/>
        <v>0.18587908386662175</v>
      </c>
      <c r="AM233" s="390"/>
      <c r="AN233" s="390">
        <f t="shared" si="2080"/>
        <v>0.19171730092740646</v>
      </c>
      <c r="AO233" s="390">
        <f t="shared" si="2080"/>
        <v>0.17481645657293254</v>
      </c>
      <c r="AP233" s="390">
        <f t="shared" si="2080"/>
        <v>0.16095640763959762</v>
      </c>
      <c r="AQ233" s="390">
        <f t="shared" si="2080"/>
        <v>0.14095710001303952</v>
      </c>
      <c r="AR233" s="390">
        <f t="shared" si="2080"/>
        <v>0.1659226456197993</v>
      </c>
      <c r="AS233" s="390"/>
      <c r="AT233" s="390">
        <f t="shared" si="2081"/>
        <v>0.17871576111360574</v>
      </c>
      <c r="AU233" s="390">
        <f t="shared" si="2081"/>
        <v>0.17132342919449367</v>
      </c>
      <c r="AV233" s="392">
        <f t="shared" si="2081"/>
        <v>0.1644636148601642</v>
      </c>
      <c r="AW233" s="390">
        <f t="shared" si="2081"/>
        <v>0.13150852981198419</v>
      </c>
      <c r="AX233" s="390">
        <f t="shared" si="2081"/>
        <v>0.16049060997515829</v>
      </c>
      <c r="AY233" s="390"/>
      <c r="AZ233" s="390">
        <f t="shared" si="2082"/>
        <v>0.1617972759375034</v>
      </c>
      <c r="BA233" s="390">
        <f t="shared" si="2082"/>
        <v>0.15881920297091223</v>
      </c>
      <c r="BB233" s="390">
        <f t="shared" si="2082"/>
        <v>0.16143354180241995</v>
      </c>
      <c r="BC233" s="390">
        <f t="shared" si="2082"/>
        <v>0.13086863509586677</v>
      </c>
      <c r="BD233" s="390">
        <f t="shared" si="2082"/>
        <v>0.15255718991192413</v>
      </c>
      <c r="BE233" s="390"/>
      <c r="BF233" s="390">
        <f t="shared" si="2083"/>
        <v>0.16132096389945641</v>
      </c>
      <c r="BG233" s="390">
        <f t="shared" si="2083"/>
        <v>0.15834793849691028</v>
      </c>
      <c r="BH233" s="390">
        <f t="shared" si="2083"/>
        <v>0.16098409711157605</v>
      </c>
      <c r="BI233" s="390">
        <f t="shared" si="2083"/>
        <v>0.13055149020701856</v>
      </c>
      <c r="BJ233" s="390">
        <f t="shared" si="2083"/>
        <v>0.15213466871546627</v>
      </c>
      <c r="BK233" s="390"/>
      <c r="BL233" s="390">
        <f t="shared" si="2084"/>
        <v>0.15981698366782029</v>
      </c>
      <c r="BM233" s="390">
        <f t="shared" si="2084"/>
        <v>0.15686438212147705</v>
      </c>
      <c r="BN233" s="390">
        <f t="shared" si="2084"/>
        <v>0.15951616577174876</v>
      </c>
      <c r="BO233" s="390">
        <f t="shared" si="2084"/>
        <v>0.12938237193722024</v>
      </c>
      <c r="BP233" s="390">
        <f t="shared" si="2084"/>
        <v>0.15073681605935549</v>
      </c>
      <c r="BQ233" s="390"/>
      <c r="BR233" s="390">
        <f t="shared" si="2085"/>
        <v>0.15832216681169273</v>
      </c>
      <c r="BS233" s="390">
        <f t="shared" si="2085"/>
        <v>0.15538997875676261</v>
      </c>
      <c r="BT233" s="390">
        <f t="shared" si="2085"/>
        <v>0.15805623149222725</v>
      </c>
      <c r="BU233" s="390">
        <f t="shared" si="2085"/>
        <v>0.12821837648416412</v>
      </c>
      <c r="BV233" s="390">
        <f t="shared" si="2085"/>
        <v>0.14934665752456161</v>
      </c>
      <c r="BW233" s="390"/>
      <c r="BX233" s="390">
        <f t="shared" si="2086"/>
        <v>0.15683659116749779</v>
      </c>
      <c r="BY233" s="390">
        <f t="shared" si="2086"/>
        <v>0.15392480563658839</v>
      </c>
      <c r="BZ233" s="390">
        <f t="shared" si="2086"/>
        <v>0.15660440385026508</v>
      </c>
      <c r="CA233" s="390">
        <f t="shared" si="2086"/>
        <v>0.12705964490509797</v>
      </c>
      <c r="CB233" s="390">
        <f t="shared" si="2086"/>
        <v>0.14796429936863106</v>
      </c>
      <c r="CC233" s="390"/>
      <c r="CD233" s="390">
        <f t="shared" si="2087"/>
        <v>0.15536033142973804</v>
      </c>
      <c r="CE233" s="390">
        <f t="shared" si="2087"/>
        <v>0.15246893666613504</v>
      </c>
      <c r="CF233" s="390">
        <f t="shared" si="2087"/>
        <v>0.15516078859080704</v>
      </c>
      <c r="CG233" s="390">
        <f t="shared" si="2087"/>
        <v>0.12590631400824526</v>
      </c>
      <c r="CH233" s="390">
        <f t="shared" si="2087"/>
        <v>0.14658984407217079</v>
      </c>
      <c r="CI233" s="390"/>
      <c r="CJ233" s="390">
        <f t="shared" si="2088"/>
        <v>0.15389345910700045</v>
      </c>
      <c r="CK233" s="390">
        <f t="shared" si="2088"/>
        <v>0.15102244239144413</v>
      </c>
      <c r="CL233" s="390">
        <f t="shared" si="2088"/>
        <v>0.15372548758642485</v>
      </c>
      <c r="CM233" s="390">
        <f t="shared" si="2088"/>
        <v>0.12475851630474072</v>
      </c>
      <c r="CN233" s="390">
        <f t="shared" si="2088"/>
        <v>0.14522339030051221</v>
      </c>
      <c r="CO233" s="239"/>
    </row>
    <row r="234" spans="2:93" s="137" customFormat="1" ht="18" customHeight="1" x14ac:dyDescent="0.25">
      <c r="B234" s="155" t="s">
        <v>384</v>
      </c>
      <c r="C234" s="155"/>
      <c r="D234" s="396">
        <f>SUM(D229:D233)</f>
        <v>1</v>
      </c>
      <c r="E234" s="396">
        <f t="shared" ref="E234" si="2089">SUM(E229:E233)</f>
        <v>1</v>
      </c>
      <c r="F234" s="396">
        <f t="shared" ref="F234" si="2090">SUM(F229:F233)</f>
        <v>1</v>
      </c>
      <c r="G234" s="396">
        <f t="shared" ref="G234" si="2091">SUM(G229:G233)</f>
        <v>1</v>
      </c>
      <c r="H234" s="396">
        <f t="shared" ref="H234" si="2092">SUM(H229:H233)</f>
        <v>1</v>
      </c>
      <c r="I234" s="155"/>
      <c r="J234" s="396">
        <f>SUM(J229:J233)</f>
        <v>1</v>
      </c>
      <c r="K234" s="396">
        <f t="shared" ref="K234" si="2093">SUM(K229:K233)</f>
        <v>1</v>
      </c>
      <c r="L234" s="396">
        <f t="shared" ref="L234" si="2094">SUM(L229:L233)</f>
        <v>1</v>
      </c>
      <c r="M234" s="396">
        <f t="shared" ref="M234" si="2095">SUM(M229:M233)</f>
        <v>1</v>
      </c>
      <c r="N234" s="396">
        <f t="shared" ref="N234" si="2096">SUM(N229:N233)</f>
        <v>1</v>
      </c>
      <c r="O234" s="396"/>
      <c r="P234" s="396">
        <f>SUM(P229:P233)</f>
        <v>1</v>
      </c>
      <c r="Q234" s="396">
        <f t="shared" ref="Q234" si="2097">SUM(Q229:Q233)</f>
        <v>1</v>
      </c>
      <c r="R234" s="396">
        <f t="shared" ref="R234" si="2098">SUM(R229:R233)</f>
        <v>1</v>
      </c>
      <c r="S234" s="396">
        <f t="shared" ref="S234" si="2099">SUM(S229:S233)</f>
        <v>1</v>
      </c>
      <c r="T234" s="396">
        <f t="shared" ref="T234" si="2100">SUM(T229:T233)</f>
        <v>1</v>
      </c>
      <c r="U234" s="396"/>
      <c r="V234" s="396">
        <f>SUM(V229:V233)</f>
        <v>1</v>
      </c>
      <c r="W234" s="396">
        <f t="shared" ref="W234" si="2101">SUM(W229:W233)</f>
        <v>1</v>
      </c>
      <c r="X234" s="396">
        <f t="shared" ref="X234" si="2102">SUM(X229:X233)</f>
        <v>0.99999999999999989</v>
      </c>
      <c r="Y234" s="396">
        <f t="shared" ref="Y234" si="2103">SUM(Y229:Y233)</f>
        <v>1</v>
      </c>
      <c r="Z234" s="396">
        <f t="shared" ref="Z234" si="2104">SUM(Z229:Z233)</f>
        <v>1</v>
      </c>
      <c r="AA234" s="396"/>
      <c r="AB234" s="396">
        <f>SUM(AB229:AB233)</f>
        <v>1</v>
      </c>
      <c r="AC234" s="396">
        <f t="shared" ref="AC234" si="2105">SUM(AC229:AC233)</f>
        <v>1</v>
      </c>
      <c r="AD234" s="396">
        <f t="shared" ref="AD234" si="2106">SUM(AD229:AD233)</f>
        <v>1</v>
      </c>
      <c r="AE234" s="396">
        <f t="shared" ref="AE234" si="2107">SUM(AE229:AE233)</f>
        <v>1</v>
      </c>
      <c r="AF234" s="396">
        <f t="shared" ref="AF234" si="2108">SUM(AF229:AF233)</f>
        <v>1</v>
      </c>
      <c r="AG234" s="396"/>
      <c r="AH234" s="396">
        <f>SUM(AH229:AH233)</f>
        <v>1</v>
      </c>
      <c r="AI234" s="396">
        <f t="shared" ref="AI234" si="2109">SUM(AI229:AI233)</f>
        <v>1</v>
      </c>
      <c r="AJ234" s="396">
        <f t="shared" ref="AJ234" si="2110">SUM(AJ229:AJ233)</f>
        <v>1</v>
      </c>
      <c r="AK234" s="396">
        <f t="shared" ref="AK234" si="2111">SUM(AK229:AK233)</f>
        <v>1</v>
      </c>
      <c r="AL234" s="396">
        <f t="shared" ref="AL234" si="2112">SUM(AL229:AL233)</f>
        <v>1</v>
      </c>
      <c r="AM234" s="396"/>
      <c r="AN234" s="396">
        <f>SUM(AN229:AN233)</f>
        <v>1</v>
      </c>
      <c r="AO234" s="396">
        <f t="shared" ref="AO234" si="2113">SUM(AO229:AO233)</f>
        <v>1</v>
      </c>
      <c r="AP234" s="396">
        <f t="shared" ref="AP234" si="2114">SUM(AP229:AP233)</f>
        <v>1</v>
      </c>
      <c r="AQ234" s="396">
        <f t="shared" ref="AQ234" si="2115">SUM(AQ229:AQ233)</f>
        <v>1</v>
      </c>
      <c r="AR234" s="396">
        <f t="shared" ref="AR234" si="2116">SUM(AR229:AR233)</f>
        <v>1</v>
      </c>
      <c r="AS234" s="396"/>
      <c r="AT234" s="396">
        <f>SUM(AT229:AT233)</f>
        <v>1</v>
      </c>
      <c r="AU234" s="396">
        <f t="shared" ref="AU234" si="2117">SUM(AU229:AU233)</f>
        <v>1</v>
      </c>
      <c r="AV234" s="398">
        <f t="shared" ref="AV234" si="2118">SUM(AV229:AV233)</f>
        <v>1</v>
      </c>
      <c r="AW234" s="396">
        <f t="shared" ref="AW234:AX234" si="2119">SUM(AW229:AW233)</f>
        <v>1.0000000000000002</v>
      </c>
      <c r="AX234" s="396">
        <f t="shared" si="2119"/>
        <v>1</v>
      </c>
      <c r="AY234" s="396"/>
      <c r="AZ234" s="396">
        <f>SUM(AZ229:AZ233)</f>
        <v>0.99999999999999989</v>
      </c>
      <c r="BA234" s="396">
        <f t="shared" ref="BA234" si="2120">SUM(BA229:BA233)</f>
        <v>1</v>
      </c>
      <c r="BB234" s="396">
        <f t="shared" ref="BB234" si="2121">SUM(BB229:BB233)</f>
        <v>1</v>
      </c>
      <c r="BC234" s="396">
        <f t="shared" ref="BC234:BD234" si="2122">SUM(BC229:BC233)</f>
        <v>1</v>
      </c>
      <c r="BD234" s="396">
        <f t="shared" si="2122"/>
        <v>0.99999999999999989</v>
      </c>
      <c r="BE234" s="396"/>
      <c r="BF234" s="396">
        <f>SUM(BF229:BF233)</f>
        <v>1.0000000000000002</v>
      </c>
      <c r="BG234" s="396">
        <f t="shared" ref="BG234" si="2123">SUM(BG229:BG233)</f>
        <v>0.99999999999999989</v>
      </c>
      <c r="BH234" s="396">
        <f t="shared" ref="BH234" si="2124">SUM(BH229:BH233)</f>
        <v>1.0000000000000002</v>
      </c>
      <c r="BI234" s="396">
        <f t="shared" ref="BI234" si="2125">SUM(BI229:BI233)</f>
        <v>1</v>
      </c>
      <c r="BJ234" s="396">
        <f t="shared" ref="BJ234" si="2126">SUM(BJ229:BJ233)</f>
        <v>1</v>
      </c>
      <c r="BK234" s="396"/>
      <c r="BL234" s="396">
        <f>SUM(BL229:BL233)</f>
        <v>1</v>
      </c>
      <c r="BM234" s="396">
        <f t="shared" ref="BM234" si="2127">SUM(BM229:BM233)</f>
        <v>1</v>
      </c>
      <c r="BN234" s="396">
        <f t="shared" ref="BN234" si="2128">SUM(BN229:BN233)</f>
        <v>1</v>
      </c>
      <c r="BO234" s="396">
        <f t="shared" ref="BO234" si="2129">SUM(BO229:BO233)</f>
        <v>0.99999999999999989</v>
      </c>
      <c r="BP234" s="396">
        <f t="shared" ref="BP234" si="2130">SUM(BP229:BP233)</f>
        <v>1.0000000000000002</v>
      </c>
      <c r="BQ234" s="396"/>
      <c r="BR234" s="396">
        <f>SUM(BR229:BR233)</f>
        <v>1</v>
      </c>
      <c r="BS234" s="396">
        <f t="shared" ref="BS234" si="2131">SUM(BS229:BS233)</f>
        <v>0.99999999999999989</v>
      </c>
      <c r="BT234" s="396">
        <f t="shared" ref="BT234" si="2132">SUM(BT229:BT233)</f>
        <v>1</v>
      </c>
      <c r="BU234" s="396">
        <f t="shared" ref="BU234" si="2133">SUM(BU229:BU233)</f>
        <v>1</v>
      </c>
      <c r="BV234" s="396">
        <f t="shared" ref="BV234" si="2134">SUM(BV229:BV233)</f>
        <v>1</v>
      </c>
      <c r="BW234" s="396"/>
      <c r="BX234" s="396">
        <f>SUM(BX229:BX233)</f>
        <v>1</v>
      </c>
      <c r="BY234" s="396">
        <f t="shared" ref="BY234" si="2135">SUM(BY229:BY233)</f>
        <v>1</v>
      </c>
      <c r="BZ234" s="396">
        <f t="shared" ref="BZ234" si="2136">SUM(BZ229:BZ233)</f>
        <v>0.99999999999999989</v>
      </c>
      <c r="CA234" s="396">
        <f t="shared" ref="CA234" si="2137">SUM(CA229:CA233)</f>
        <v>1</v>
      </c>
      <c r="CB234" s="396">
        <f t="shared" ref="CB234" si="2138">SUM(CB229:CB233)</f>
        <v>1</v>
      </c>
      <c r="CC234" s="396"/>
      <c r="CD234" s="396">
        <f>SUM(CD229:CD233)</f>
        <v>1</v>
      </c>
      <c r="CE234" s="396">
        <f t="shared" ref="CE234" si="2139">SUM(CE229:CE233)</f>
        <v>1</v>
      </c>
      <c r="CF234" s="396">
        <f t="shared" ref="CF234" si="2140">SUM(CF229:CF233)</f>
        <v>0.99999999999999989</v>
      </c>
      <c r="CG234" s="396">
        <f t="shared" ref="CG234" si="2141">SUM(CG229:CG233)</f>
        <v>1.0000000000000002</v>
      </c>
      <c r="CH234" s="396">
        <f t="shared" ref="CH234" si="2142">SUM(CH229:CH233)</f>
        <v>0.99999999999999989</v>
      </c>
      <c r="CI234" s="396"/>
      <c r="CJ234" s="396">
        <f>SUM(CJ229:CJ233)</f>
        <v>0.99999999999999989</v>
      </c>
      <c r="CK234" s="396">
        <f t="shared" ref="CK234" si="2143">SUM(CK229:CK233)</f>
        <v>1</v>
      </c>
      <c r="CL234" s="396">
        <f t="shared" ref="CL234" si="2144">SUM(CL229:CL233)</f>
        <v>1</v>
      </c>
      <c r="CM234" s="396">
        <f t="shared" ref="CM234" si="2145">SUM(CM229:CM233)</f>
        <v>1</v>
      </c>
      <c r="CN234" s="396">
        <f t="shared" ref="CN234" si="2146">SUM(CN229:CN233)</f>
        <v>1</v>
      </c>
      <c r="CO234" s="239"/>
    </row>
    <row r="235" spans="2:93" s="137" customFormat="1" ht="18" customHeight="1" x14ac:dyDescent="0.25">
      <c r="B235" s="136"/>
      <c r="D235" s="379"/>
      <c r="E235" s="379"/>
      <c r="F235" s="379"/>
      <c r="G235" s="379"/>
      <c r="H235" s="379"/>
      <c r="I235" s="379"/>
      <c r="J235" s="246"/>
      <c r="K235" s="246"/>
      <c r="L235" s="246"/>
      <c r="M235" s="246"/>
      <c r="N235" s="246"/>
      <c r="O235" s="380"/>
      <c r="P235" s="246"/>
      <c r="Q235" s="246"/>
      <c r="R235" s="246"/>
      <c r="S235" s="246"/>
      <c r="T235" s="246"/>
      <c r="U235" s="380"/>
      <c r="V235" s="246"/>
      <c r="W235" s="246"/>
      <c r="X235" s="246"/>
      <c r="Y235" s="246"/>
      <c r="Z235" s="246"/>
      <c r="AA235" s="380"/>
      <c r="AB235" s="246"/>
      <c r="AC235" s="246"/>
      <c r="AD235" s="246"/>
      <c r="AE235" s="246"/>
      <c r="AF235" s="246"/>
      <c r="AG235" s="379"/>
      <c r="AH235" s="246"/>
      <c r="AI235" s="246"/>
      <c r="AJ235" s="246"/>
      <c r="AK235" s="246"/>
      <c r="AL235" s="246"/>
      <c r="AM235" s="379"/>
      <c r="AN235" s="246"/>
      <c r="AO235" s="246"/>
      <c r="AP235" s="246"/>
      <c r="AQ235" s="246"/>
      <c r="AR235" s="246"/>
      <c r="AS235" s="380"/>
      <c r="AT235" s="246"/>
      <c r="AU235" s="246"/>
      <c r="AV235" s="265"/>
      <c r="AW235" s="246"/>
      <c r="AX235" s="246"/>
      <c r="AY235" s="379"/>
      <c r="AZ235" s="246"/>
      <c r="BA235" s="246"/>
      <c r="BB235" s="246"/>
      <c r="BC235" s="246"/>
      <c r="BD235" s="246"/>
      <c r="BE235" s="379"/>
      <c r="BF235" s="246"/>
      <c r="BG235" s="246"/>
      <c r="BH235" s="246"/>
      <c r="BI235" s="246"/>
      <c r="BJ235" s="246"/>
      <c r="BK235" s="379"/>
      <c r="BL235" s="246"/>
      <c r="BM235" s="246"/>
      <c r="BN235" s="246"/>
      <c r="BO235" s="246"/>
      <c r="BP235" s="246"/>
      <c r="BQ235" s="246"/>
      <c r="BR235" s="246"/>
      <c r="BS235" s="246"/>
      <c r="BT235" s="246"/>
      <c r="BU235" s="246"/>
      <c r="BV235" s="246"/>
      <c r="BW235" s="379"/>
      <c r="BX235" s="246"/>
      <c r="BY235" s="246"/>
      <c r="BZ235" s="246"/>
      <c r="CA235" s="246"/>
      <c r="CB235" s="246"/>
      <c r="CC235" s="379"/>
      <c r="CD235" s="246"/>
      <c r="CE235" s="246"/>
      <c r="CF235" s="246"/>
      <c r="CG235" s="246"/>
      <c r="CH235" s="246"/>
      <c r="CI235" s="379"/>
      <c r="CJ235" s="246"/>
      <c r="CK235" s="246"/>
      <c r="CL235" s="246"/>
      <c r="CM235" s="246"/>
      <c r="CN235" s="246"/>
      <c r="CO235" s="379"/>
    </row>
    <row r="236" spans="2:93" s="137" customFormat="1" ht="18" customHeight="1" x14ac:dyDescent="0.25">
      <c r="B236" s="386" t="s">
        <v>385</v>
      </c>
      <c r="D236" s="379"/>
      <c r="E236" s="379"/>
      <c r="F236" s="379"/>
      <c r="G236" s="379"/>
      <c r="H236" s="379"/>
      <c r="I236" s="379"/>
      <c r="J236" s="246"/>
      <c r="K236" s="246"/>
      <c r="L236" s="246"/>
      <c r="M236" s="246"/>
      <c r="N236" s="246"/>
      <c r="O236" s="380"/>
      <c r="P236" s="246"/>
      <c r="Q236" s="246"/>
      <c r="R236" s="246"/>
      <c r="S236" s="246"/>
      <c r="T236" s="246"/>
      <c r="U236" s="380"/>
      <c r="V236" s="246"/>
      <c r="W236" s="246"/>
      <c r="X236" s="246"/>
      <c r="Y236" s="246"/>
      <c r="Z236" s="246"/>
      <c r="AA236" s="380"/>
      <c r="AB236" s="246"/>
      <c r="AC236" s="246"/>
      <c r="AD236" s="246"/>
      <c r="AE236" s="246"/>
      <c r="AF236" s="246"/>
      <c r="AG236" s="379"/>
      <c r="AH236" s="246"/>
      <c r="AI236" s="246"/>
      <c r="AJ236" s="246"/>
      <c r="AK236" s="246"/>
      <c r="AL236" s="246"/>
      <c r="AM236" s="379"/>
      <c r="AN236" s="246"/>
      <c r="AO236" s="246"/>
      <c r="AP236" s="246"/>
      <c r="AQ236" s="246"/>
      <c r="AR236" s="246"/>
      <c r="AS236" s="380"/>
      <c r="AT236" s="246"/>
      <c r="AU236" s="246"/>
      <c r="AV236" s="265"/>
      <c r="AW236" s="246"/>
      <c r="AX236" s="246"/>
      <c r="AY236" s="379"/>
      <c r="AZ236" s="246"/>
      <c r="BA236" s="246"/>
      <c r="BB236" s="246"/>
      <c r="BC236" s="246"/>
      <c r="BD236" s="246"/>
      <c r="BE236" s="379"/>
      <c r="BF236" s="246"/>
      <c r="BG236" s="246"/>
      <c r="BH236" s="246"/>
      <c r="BI236" s="246"/>
      <c r="BJ236" s="246"/>
      <c r="BK236" s="379"/>
      <c r="BL236" s="246"/>
      <c r="BM236" s="246"/>
      <c r="BN236" s="246"/>
      <c r="BO236" s="246"/>
      <c r="BP236" s="246"/>
      <c r="BQ236" s="246"/>
      <c r="BR236" s="246"/>
      <c r="BS236" s="246"/>
      <c r="BT236" s="246"/>
      <c r="BU236" s="246"/>
      <c r="BV236" s="246"/>
      <c r="BW236" s="379"/>
      <c r="BX236" s="246"/>
      <c r="BY236" s="246"/>
      <c r="BZ236" s="246"/>
      <c r="CA236" s="246"/>
      <c r="CB236" s="246"/>
      <c r="CC236" s="379"/>
      <c r="CD236" s="246"/>
      <c r="CE236" s="246"/>
      <c r="CF236" s="246"/>
      <c r="CG236" s="246"/>
      <c r="CH236" s="246"/>
      <c r="CI236" s="379"/>
      <c r="CJ236" s="246"/>
      <c r="CK236" s="246"/>
      <c r="CL236" s="246"/>
      <c r="CM236" s="246"/>
      <c r="CN236" s="246"/>
      <c r="CO236" s="379"/>
    </row>
    <row r="237" spans="2:93" s="137" customFormat="1" ht="18" customHeight="1" x14ac:dyDescent="0.25">
      <c r="B237" s="31" t="s">
        <v>386</v>
      </c>
      <c r="C237" s="153"/>
      <c r="D237" s="121">
        <v>809</v>
      </c>
      <c r="E237" s="121">
        <v>1053</v>
      </c>
      <c r="F237" s="121">
        <v>1065</v>
      </c>
      <c r="G237" s="121">
        <v>1497</v>
      </c>
      <c r="H237" s="153">
        <f>+SUM(D237:G237)</f>
        <v>4424</v>
      </c>
      <c r="I237" s="153"/>
      <c r="J237" s="121">
        <v>1215</v>
      </c>
      <c r="K237" s="121">
        <v>1467</v>
      </c>
      <c r="L237" s="121">
        <v>1362</v>
      </c>
      <c r="M237" s="121">
        <v>1719</v>
      </c>
      <c r="N237" s="153">
        <f>+SUM(J237:M237)</f>
        <v>5763</v>
      </c>
      <c r="O237" s="153"/>
      <c r="P237" s="121">
        <v>1131</v>
      </c>
      <c r="Q237" s="121">
        <v>1305</v>
      </c>
      <c r="R237" s="121">
        <v>1246</v>
      </c>
      <c r="S237" s="121">
        <v>1523</v>
      </c>
      <c r="T237" s="153">
        <f>+SUM(P237:S237)</f>
        <v>5205</v>
      </c>
      <c r="U237" s="153"/>
      <c r="V237" s="121">
        <v>861</v>
      </c>
      <c r="W237" s="121">
        <v>1027</v>
      </c>
      <c r="X237" s="121">
        <v>734</v>
      </c>
      <c r="Y237" s="121">
        <v>1079</v>
      </c>
      <c r="Z237" s="153">
        <f>+SUM(V237:Y237)</f>
        <v>3701</v>
      </c>
      <c r="AA237" s="153"/>
      <c r="AB237" s="121">
        <v>915</v>
      </c>
      <c r="AC237" s="121">
        <v>1137</v>
      </c>
      <c r="AD237" s="121">
        <v>1088</v>
      </c>
      <c r="AE237" s="121">
        <v>1320</v>
      </c>
      <c r="AF237" s="153">
        <f>+SUM(AB237:AE237)</f>
        <v>4460</v>
      </c>
      <c r="AG237" s="153"/>
      <c r="AH237" s="121">
        <v>948</v>
      </c>
      <c r="AI237" s="121">
        <v>1232</v>
      </c>
      <c r="AJ237" s="121">
        <v>1323</v>
      </c>
      <c r="AK237" s="121">
        <v>1827</v>
      </c>
      <c r="AL237" s="153">
        <f>+SUM(AH237:AK237)</f>
        <v>5330</v>
      </c>
      <c r="AM237" s="153"/>
      <c r="AN237" s="121">
        <v>1314</v>
      </c>
      <c r="AO237" s="121">
        <v>1760</v>
      </c>
      <c r="AP237" s="121">
        <v>1667</v>
      </c>
      <c r="AQ237" s="121">
        <v>2247</v>
      </c>
      <c r="AR237" s="153">
        <f>+SUM(AN237:AQ237)</f>
        <v>6988</v>
      </c>
      <c r="AS237" s="153"/>
      <c r="AT237" s="121">
        <v>1568</v>
      </c>
      <c r="AU237" s="121">
        <v>1829</v>
      </c>
      <c r="AV237" s="263">
        <v>1656</v>
      </c>
      <c r="AW237" s="121"/>
      <c r="AX237" s="153"/>
      <c r="AY237" s="153"/>
      <c r="AZ237" s="153"/>
      <c r="BA237" s="153"/>
      <c r="BB237" s="153"/>
      <c r="BC237" s="153"/>
      <c r="BD237" s="153"/>
      <c r="BE237" s="153"/>
      <c r="BF237" s="153"/>
      <c r="BG237" s="153"/>
      <c r="BH237" s="153"/>
      <c r="BI237" s="153"/>
      <c r="BJ237" s="153"/>
      <c r="BK237" s="153"/>
      <c r="BL237" s="153"/>
      <c r="BM237" s="153"/>
      <c r="BN237" s="153"/>
      <c r="BO237" s="153"/>
      <c r="BP237" s="153"/>
      <c r="BQ237" s="153"/>
      <c r="BR237" s="153"/>
      <c r="BS237" s="153"/>
      <c r="BT237" s="153"/>
      <c r="BU237" s="153"/>
      <c r="BV237" s="153"/>
      <c r="BW237" s="153"/>
      <c r="BX237" s="153"/>
      <c r="BY237" s="153"/>
      <c r="BZ237" s="153"/>
      <c r="CA237" s="153"/>
      <c r="CB237" s="153"/>
      <c r="CC237" s="153"/>
      <c r="CD237" s="153"/>
      <c r="CE237" s="153"/>
      <c r="CF237" s="153"/>
      <c r="CG237" s="153"/>
      <c r="CH237" s="153"/>
      <c r="CI237" s="153"/>
      <c r="CJ237" s="153"/>
      <c r="CK237" s="153"/>
      <c r="CL237" s="153"/>
      <c r="CM237" s="153"/>
      <c r="CN237" s="153"/>
      <c r="CO237" s="379"/>
    </row>
    <row r="238" spans="2:93" s="137" customFormat="1" ht="18" customHeight="1" x14ac:dyDescent="0.25">
      <c r="B238" s="31" t="s">
        <v>387</v>
      </c>
      <c r="C238" s="153"/>
      <c r="D238" s="121">
        <v>716</v>
      </c>
      <c r="E238" s="121">
        <v>877</v>
      </c>
      <c r="F238" s="121">
        <v>898</v>
      </c>
      <c r="G238" s="121">
        <v>1060</v>
      </c>
      <c r="H238" s="153">
        <f>+SUM(D238:G238)</f>
        <v>3551</v>
      </c>
      <c r="I238" s="153"/>
      <c r="J238" s="121">
        <v>969</v>
      </c>
      <c r="K238" s="121">
        <v>992</v>
      </c>
      <c r="L238" s="121">
        <v>1102</v>
      </c>
      <c r="M238" s="121">
        <v>1271</v>
      </c>
      <c r="N238" s="153">
        <f>+SUM(J238:M238)</f>
        <v>4334</v>
      </c>
      <c r="O238" s="153"/>
      <c r="P238" s="121">
        <v>1036</v>
      </c>
      <c r="Q238" s="121">
        <v>1021</v>
      </c>
      <c r="R238" s="121">
        <v>1123</v>
      </c>
      <c r="S238" s="121">
        <v>1294</v>
      </c>
      <c r="T238" s="153">
        <f>+SUM(P238:S238)</f>
        <v>4474</v>
      </c>
      <c r="U238" s="153"/>
      <c r="V238" s="121">
        <v>854</v>
      </c>
      <c r="W238" s="121">
        <v>895</v>
      </c>
      <c r="X238" s="121">
        <v>1034</v>
      </c>
      <c r="Y238" s="121">
        <v>1180</v>
      </c>
      <c r="Z238" s="153">
        <f>+SUM(V238:Y238)</f>
        <v>3963</v>
      </c>
      <c r="AA238" s="153"/>
      <c r="AB238" s="121">
        <v>963</v>
      </c>
      <c r="AC238" s="121">
        <v>1052</v>
      </c>
      <c r="AD238" s="121">
        <v>1010</v>
      </c>
      <c r="AE238" s="121">
        <v>1267</v>
      </c>
      <c r="AF238" s="153">
        <f>+SUM(AB238:AE238)</f>
        <v>4292</v>
      </c>
      <c r="AG238" s="153"/>
      <c r="AH238" s="121">
        <v>1012</v>
      </c>
      <c r="AI238" s="121">
        <v>1186</v>
      </c>
      <c r="AJ238" s="121">
        <v>1320</v>
      </c>
      <c r="AK238" s="121">
        <v>1422</v>
      </c>
      <c r="AL238" s="153">
        <f>+SUM(AH238:AK238)</f>
        <v>4940</v>
      </c>
      <c r="AM238" s="153"/>
      <c r="AN238" s="121">
        <v>1284</v>
      </c>
      <c r="AO238" s="121">
        <v>1645</v>
      </c>
      <c r="AP238" s="121">
        <v>1598</v>
      </c>
      <c r="AQ238" s="121">
        <v>1835</v>
      </c>
      <c r="AR238" s="153">
        <f>+SUM(AN238:AQ238)</f>
        <v>6362</v>
      </c>
      <c r="AS238" s="153"/>
      <c r="AT238" s="121">
        <v>1618</v>
      </c>
      <c r="AU238" s="121">
        <v>1885</v>
      </c>
      <c r="AV238" s="263">
        <v>2011</v>
      </c>
      <c r="AW238" s="121"/>
      <c r="AX238" s="153"/>
      <c r="AY238" s="153"/>
      <c r="AZ238" s="153"/>
      <c r="BA238" s="153"/>
      <c r="BB238" s="153"/>
      <c r="BC238" s="153"/>
      <c r="BD238" s="153"/>
      <c r="BE238" s="153"/>
      <c r="BF238" s="153"/>
      <c r="BG238" s="153"/>
      <c r="BH238" s="153"/>
      <c r="BI238" s="153"/>
      <c r="BJ238" s="153"/>
      <c r="BK238" s="153"/>
      <c r="BL238" s="153"/>
      <c r="BM238" s="153"/>
      <c r="BN238" s="153"/>
      <c r="BO238" s="153"/>
      <c r="BP238" s="153"/>
      <c r="BQ238" s="153"/>
      <c r="BR238" s="153"/>
      <c r="BS238" s="153"/>
      <c r="BT238" s="153"/>
      <c r="BU238" s="153"/>
      <c r="BV238" s="153"/>
      <c r="BW238" s="153"/>
      <c r="BX238" s="153"/>
      <c r="BY238" s="153"/>
      <c r="BZ238" s="153"/>
      <c r="CA238" s="153"/>
      <c r="CB238" s="153"/>
      <c r="CC238" s="153"/>
      <c r="CD238" s="153"/>
      <c r="CE238" s="153"/>
      <c r="CF238" s="153"/>
      <c r="CG238" s="153"/>
      <c r="CH238" s="153"/>
      <c r="CI238" s="153"/>
      <c r="CJ238" s="153"/>
      <c r="CK238" s="153"/>
      <c r="CL238" s="153"/>
      <c r="CM238" s="153"/>
      <c r="CN238" s="153"/>
      <c r="CO238" s="379"/>
    </row>
    <row r="239" spans="2:93" s="137" customFormat="1" ht="18" customHeight="1" x14ac:dyDescent="0.25">
      <c r="B239" s="31" t="s">
        <v>388</v>
      </c>
      <c r="C239" s="153"/>
      <c r="D239" s="121">
        <v>777</v>
      </c>
      <c r="E239" s="121">
        <v>884</v>
      </c>
      <c r="F239" s="121">
        <v>885</v>
      </c>
      <c r="G239" s="121">
        <v>899</v>
      </c>
      <c r="H239" s="153">
        <f>+SUM(D239:G239)</f>
        <v>3445</v>
      </c>
      <c r="I239" s="153"/>
      <c r="J239" s="121">
        <v>906</v>
      </c>
      <c r="K239" s="121">
        <v>969</v>
      </c>
      <c r="L239" s="121">
        <v>863</v>
      </c>
      <c r="M239" s="121">
        <v>902</v>
      </c>
      <c r="N239" s="153">
        <f>+SUM(J239:M239)</f>
        <v>3640</v>
      </c>
      <c r="O239" s="153"/>
      <c r="P239" s="121">
        <v>904</v>
      </c>
      <c r="Q239" s="121">
        <v>957</v>
      </c>
      <c r="R239" s="121">
        <v>980</v>
      </c>
      <c r="S239" s="121">
        <v>908</v>
      </c>
      <c r="T239" s="153">
        <f>+SUM(P239:S239)</f>
        <v>3749</v>
      </c>
      <c r="U239" s="153"/>
      <c r="V239" s="121">
        <v>801</v>
      </c>
      <c r="W239" s="121">
        <v>678</v>
      </c>
      <c r="X239" s="121">
        <v>730</v>
      </c>
      <c r="Y239" s="121">
        <v>736</v>
      </c>
      <c r="Z239" s="153">
        <f>+SUM(V239:Y239)</f>
        <v>2945</v>
      </c>
      <c r="AA239" s="153"/>
      <c r="AB239" s="121">
        <v>813</v>
      </c>
      <c r="AC239" s="121">
        <v>899</v>
      </c>
      <c r="AD239" s="121">
        <v>948</v>
      </c>
      <c r="AE239" s="121">
        <v>952</v>
      </c>
      <c r="AF239" s="153">
        <f>+SUM(AB239:AE239)</f>
        <v>3612</v>
      </c>
      <c r="AG239" s="153"/>
      <c r="AH239" s="121">
        <v>1020</v>
      </c>
      <c r="AI239" s="121">
        <v>1117</v>
      </c>
      <c r="AJ239" s="121">
        <v>1158</v>
      </c>
      <c r="AK239" s="121">
        <v>1131</v>
      </c>
      <c r="AL239" s="153">
        <f>+SUM(AH239:AK239)</f>
        <v>4426</v>
      </c>
      <c r="AM239" s="153"/>
      <c r="AN239" s="121">
        <v>1255</v>
      </c>
      <c r="AO239" s="121">
        <v>1318</v>
      </c>
      <c r="AP239" s="121">
        <v>1220</v>
      </c>
      <c r="AQ239" s="121">
        <v>1078</v>
      </c>
      <c r="AR239" s="153">
        <f>+SUM(AN239:AQ239)</f>
        <v>4871</v>
      </c>
      <c r="AS239" s="153"/>
      <c r="AT239" s="121">
        <v>989</v>
      </c>
      <c r="AU239" s="121">
        <v>1045</v>
      </c>
      <c r="AV239" s="263">
        <v>1028</v>
      </c>
      <c r="AW239" s="121"/>
      <c r="AX239" s="153"/>
      <c r="AY239" s="153"/>
      <c r="AZ239" s="153"/>
      <c r="BA239" s="153"/>
      <c r="BB239" s="153"/>
      <c r="BC239" s="153"/>
      <c r="BD239" s="153"/>
      <c r="BE239" s="153"/>
      <c r="BF239" s="153"/>
      <c r="BG239" s="153"/>
      <c r="BH239" s="153"/>
      <c r="BI239" s="153"/>
      <c r="BJ239" s="153"/>
      <c r="BK239" s="153"/>
      <c r="BL239" s="153"/>
      <c r="BM239" s="153"/>
      <c r="BN239" s="153"/>
      <c r="BO239" s="153"/>
      <c r="BP239" s="153"/>
      <c r="BQ239" s="153"/>
      <c r="BR239" s="153"/>
      <c r="BS239" s="153"/>
      <c r="BT239" s="153"/>
      <c r="BU239" s="153"/>
      <c r="BV239" s="153"/>
      <c r="BW239" s="153"/>
      <c r="BX239" s="153"/>
      <c r="BY239" s="153"/>
      <c r="BZ239" s="153"/>
      <c r="CA239" s="153"/>
      <c r="CB239" s="153"/>
      <c r="CC239" s="153"/>
      <c r="CD239" s="153"/>
      <c r="CE239" s="153"/>
      <c r="CF239" s="153"/>
      <c r="CG239" s="153"/>
      <c r="CH239" s="153"/>
      <c r="CI239" s="153"/>
      <c r="CJ239" s="153"/>
      <c r="CK239" s="153"/>
      <c r="CL239" s="153"/>
      <c r="CM239" s="153"/>
      <c r="CN239" s="153"/>
      <c r="CO239" s="379"/>
    </row>
    <row r="240" spans="2:93" s="137" customFormat="1" ht="18" customHeight="1" x14ac:dyDescent="0.25">
      <c r="B240" s="31" t="s">
        <v>389</v>
      </c>
      <c r="C240" s="153"/>
      <c r="D240" s="121">
        <v>1054</v>
      </c>
      <c r="E240" s="121">
        <v>1127</v>
      </c>
      <c r="F240" s="121">
        <v>1113</v>
      </c>
      <c r="G240" s="121">
        <v>1250</v>
      </c>
      <c r="H240" s="153">
        <f>+SUM(D240:G240)</f>
        <v>4544</v>
      </c>
      <c r="I240" s="153"/>
      <c r="J240" s="121">
        <v>1186</v>
      </c>
      <c r="K240" s="121">
        <v>1286</v>
      </c>
      <c r="L240" s="121">
        <v>1250</v>
      </c>
      <c r="M240" s="121">
        <v>1373</v>
      </c>
      <c r="N240" s="153">
        <f>+SUM(J240:M240)</f>
        <v>5095</v>
      </c>
      <c r="O240" s="153"/>
      <c r="P240" s="121">
        <v>1162</v>
      </c>
      <c r="Q240" s="121">
        <v>1241</v>
      </c>
      <c r="R240" s="121">
        <v>1213</v>
      </c>
      <c r="S240" s="121">
        <v>1441</v>
      </c>
      <c r="T240" s="153">
        <f>+SUM(P240:S240)</f>
        <v>5057</v>
      </c>
      <c r="U240" s="153"/>
      <c r="V240" s="121">
        <v>1102</v>
      </c>
      <c r="W240" s="121">
        <v>941</v>
      </c>
      <c r="X240" s="121">
        <v>977</v>
      </c>
      <c r="Y240" s="121">
        <v>1035</v>
      </c>
      <c r="Z240" s="153">
        <f>+SUM(V240:Y240)</f>
        <v>4055</v>
      </c>
      <c r="AA240" s="153"/>
      <c r="AB240" s="121">
        <v>967</v>
      </c>
      <c r="AC240" s="121">
        <v>1032</v>
      </c>
      <c r="AD240" s="121">
        <v>1095</v>
      </c>
      <c r="AE240" s="121">
        <v>1212</v>
      </c>
      <c r="AF240" s="153">
        <f>+SUM(AB240:AE240)</f>
        <v>4306</v>
      </c>
      <c r="AG240" s="153"/>
      <c r="AH240" s="121">
        <v>1052</v>
      </c>
      <c r="AI240" s="121">
        <v>1105</v>
      </c>
      <c r="AJ240" s="121">
        <v>1196</v>
      </c>
      <c r="AK240" s="121">
        <v>1288</v>
      </c>
      <c r="AL240" s="153">
        <f>+SUM(AH240:AK240)</f>
        <v>4641</v>
      </c>
      <c r="AM240" s="153"/>
      <c r="AN240" s="121">
        <v>1202</v>
      </c>
      <c r="AO240" s="121">
        <v>1234</v>
      </c>
      <c r="AP240" s="121">
        <v>1270</v>
      </c>
      <c r="AQ240" s="121">
        <v>1428</v>
      </c>
      <c r="AR240" s="153">
        <f>+SUM(AN240:AQ240)</f>
        <v>5134</v>
      </c>
      <c r="AS240" s="153"/>
      <c r="AT240" s="121">
        <v>1312</v>
      </c>
      <c r="AU240" s="121">
        <v>1321</v>
      </c>
      <c r="AV240" s="263">
        <v>1310</v>
      </c>
      <c r="AW240" s="121"/>
      <c r="AX240" s="153"/>
      <c r="AY240" s="153"/>
      <c r="AZ240" s="153"/>
      <c r="BA240" s="153"/>
      <c r="BB240" s="153"/>
      <c r="BC240" s="153"/>
      <c r="BD240" s="153"/>
      <c r="BE240" s="153"/>
      <c r="BF240" s="153"/>
      <c r="BG240" s="153"/>
      <c r="BH240" s="153"/>
      <c r="BI240" s="153"/>
      <c r="BJ240" s="153"/>
      <c r="BK240" s="153"/>
      <c r="BL240" s="153"/>
      <c r="BM240" s="153"/>
      <c r="BN240" s="153"/>
      <c r="BO240" s="153"/>
      <c r="BP240" s="153"/>
      <c r="BQ240" s="153"/>
      <c r="BR240" s="153"/>
      <c r="BS240" s="153"/>
      <c r="BT240" s="153"/>
      <c r="BU240" s="153"/>
      <c r="BV240" s="153"/>
      <c r="BW240" s="153"/>
      <c r="BX240" s="153"/>
      <c r="BY240" s="153"/>
      <c r="BZ240" s="153"/>
      <c r="CA240" s="153"/>
      <c r="CB240" s="153"/>
      <c r="CC240" s="153"/>
      <c r="CD240" s="153"/>
      <c r="CE240" s="153"/>
      <c r="CF240" s="153"/>
      <c r="CG240" s="153"/>
      <c r="CH240" s="153"/>
      <c r="CI240" s="153"/>
      <c r="CJ240" s="153"/>
      <c r="CK240" s="153"/>
      <c r="CL240" s="153"/>
      <c r="CM240" s="153"/>
      <c r="CN240" s="153"/>
      <c r="CO240" s="379"/>
    </row>
    <row r="241" spans="2:93" s="137" customFormat="1" ht="18" customHeight="1" x14ac:dyDescent="0.25">
      <c r="B241" s="31" t="s">
        <v>378</v>
      </c>
      <c r="C241" s="153"/>
      <c r="D241" s="121">
        <v>780</v>
      </c>
      <c r="E241" s="121">
        <v>827</v>
      </c>
      <c r="F241" s="121">
        <v>877</v>
      </c>
      <c r="G241" s="121">
        <v>934</v>
      </c>
      <c r="H241" s="153">
        <f>+SUM(D241:G241)</f>
        <v>3418</v>
      </c>
      <c r="I241" s="153"/>
      <c r="J241" s="121">
        <v>943</v>
      </c>
      <c r="K241" s="121">
        <v>1010</v>
      </c>
      <c r="L241" s="121">
        <v>978</v>
      </c>
      <c r="M241" s="121">
        <v>1022</v>
      </c>
      <c r="N241" s="153">
        <f>+SUM(J241:M241)</f>
        <v>3953</v>
      </c>
      <c r="O241" s="153"/>
      <c r="P241" s="121">
        <v>977</v>
      </c>
      <c r="Q241" s="121">
        <v>962</v>
      </c>
      <c r="R241" s="121">
        <v>890</v>
      </c>
      <c r="S241" s="121">
        <v>783</v>
      </c>
      <c r="T241" s="153">
        <f>+SUM(P241:S241)</f>
        <v>3612</v>
      </c>
      <c r="U241" s="153"/>
      <c r="V241" s="121">
        <v>731</v>
      </c>
      <c r="W241" s="121">
        <v>608</v>
      </c>
      <c r="X241" s="121">
        <v>686</v>
      </c>
      <c r="Y241" s="121">
        <v>781</v>
      </c>
      <c r="Z241" s="153">
        <f>+SUM(V241:Y241)</f>
        <v>2806</v>
      </c>
      <c r="AA241" s="153"/>
      <c r="AB241" s="121">
        <v>849</v>
      </c>
      <c r="AC241" s="121">
        <v>855</v>
      </c>
      <c r="AD241" s="121">
        <v>936</v>
      </c>
      <c r="AE241" s="121">
        <v>977</v>
      </c>
      <c r="AF241" s="153">
        <f>+SUM(AB241:AE241)</f>
        <v>3617</v>
      </c>
      <c r="AG241" s="153"/>
      <c r="AH241" s="121">
        <v>1006</v>
      </c>
      <c r="AI241" s="121">
        <v>1065</v>
      </c>
      <c r="AJ241" s="121">
        <v>1189</v>
      </c>
      <c r="AK241" s="121">
        <v>1155</v>
      </c>
      <c r="AL241" s="153">
        <f>+SUM(AH241:AK241)</f>
        <v>4415</v>
      </c>
      <c r="AM241" s="153"/>
      <c r="AN241" s="121">
        <v>1199</v>
      </c>
      <c r="AO241" s="121">
        <v>1262</v>
      </c>
      <c r="AP241" s="121">
        <v>1104</v>
      </c>
      <c r="AQ241" s="121">
        <v>1081</v>
      </c>
      <c r="AR241" s="153">
        <f>+SUM(AN241:AQ241)</f>
        <v>4646</v>
      </c>
      <c r="AS241" s="153"/>
      <c r="AT241" s="121">
        <v>1194</v>
      </c>
      <c r="AU241" s="121">
        <v>1257</v>
      </c>
      <c r="AV241" s="263">
        <v>1182</v>
      </c>
      <c r="AW241" s="121"/>
      <c r="AX241" s="153"/>
      <c r="AY241" s="153"/>
      <c r="AZ241" s="153"/>
      <c r="BA241" s="153"/>
      <c r="BB241" s="153"/>
      <c r="BC241" s="153"/>
      <c r="BD241" s="153"/>
      <c r="BE241" s="153"/>
      <c r="BF241" s="153"/>
      <c r="BG241" s="153"/>
      <c r="BH241" s="153"/>
      <c r="BI241" s="153"/>
      <c r="BJ241" s="153"/>
      <c r="BK241" s="153"/>
      <c r="BL241" s="153"/>
      <c r="BM241" s="153"/>
      <c r="BN241" s="153"/>
      <c r="BO241" s="153"/>
      <c r="BP241" s="153"/>
      <c r="BQ241" s="153"/>
      <c r="BR241" s="153"/>
      <c r="BS241" s="153"/>
      <c r="BT241" s="153"/>
      <c r="BU241" s="153"/>
      <c r="BV241" s="153"/>
      <c r="BW241" s="153"/>
      <c r="BX241" s="153"/>
      <c r="BY241" s="153"/>
      <c r="BZ241" s="153"/>
      <c r="CA241" s="153"/>
      <c r="CB241" s="153"/>
      <c r="CC241" s="153"/>
      <c r="CD241" s="153"/>
      <c r="CE241" s="153"/>
      <c r="CF241" s="153"/>
      <c r="CG241" s="153"/>
      <c r="CH241" s="153"/>
      <c r="CI241" s="153"/>
      <c r="CJ241" s="153"/>
      <c r="CK241" s="153"/>
      <c r="CL241" s="153"/>
      <c r="CM241" s="153"/>
      <c r="CN241" s="153"/>
      <c r="CO241" s="379"/>
    </row>
    <row r="242" spans="2:93" s="137" customFormat="1" ht="18" customHeight="1" x14ac:dyDescent="0.25">
      <c r="B242" s="155" t="s">
        <v>141</v>
      </c>
      <c r="C242" s="73"/>
      <c r="D242" s="73">
        <f t="shared" ref="D242:AV242" si="2147">SUM(D237:D241)</f>
        <v>4136</v>
      </c>
      <c r="E242" s="73">
        <f t="shared" si="2147"/>
        <v>4768</v>
      </c>
      <c r="F242" s="73">
        <f t="shared" si="2147"/>
        <v>4838</v>
      </c>
      <c r="G242" s="73">
        <f t="shared" si="2147"/>
        <v>5640</v>
      </c>
      <c r="H242" s="73">
        <f t="shared" si="2147"/>
        <v>19382</v>
      </c>
      <c r="I242" s="73"/>
      <c r="J242" s="73">
        <f t="shared" si="2147"/>
        <v>5219</v>
      </c>
      <c r="K242" s="73">
        <f t="shared" si="2147"/>
        <v>5724</v>
      </c>
      <c r="L242" s="73">
        <f t="shared" si="2147"/>
        <v>5555</v>
      </c>
      <c r="M242" s="73">
        <f t="shared" si="2147"/>
        <v>6287</v>
      </c>
      <c r="N242" s="73">
        <f t="shared" si="2147"/>
        <v>22785</v>
      </c>
      <c r="O242" s="73"/>
      <c r="P242" s="73">
        <f t="shared" si="2147"/>
        <v>5210</v>
      </c>
      <c r="Q242" s="73">
        <f t="shared" si="2147"/>
        <v>5486</v>
      </c>
      <c r="R242" s="73">
        <f t="shared" si="2147"/>
        <v>5452</v>
      </c>
      <c r="S242" s="73">
        <f t="shared" si="2147"/>
        <v>5949</v>
      </c>
      <c r="T242" s="73">
        <f t="shared" si="2147"/>
        <v>22097</v>
      </c>
      <c r="U242" s="73"/>
      <c r="V242" s="73">
        <f t="shared" si="2147"/>
        <v>4349</v>
      </c>
      <c r="W242" s="73">
        <f t="shared" si="2147"/>
        <v>4149</v>
      </c>
      <c r="X242" s="73">
        <f t="shared" si="2147"/>
        <v>4161</v>
      </c>
      <c r="Y242" s="73">
        <f t="shared" si="2147"/>
        <v>4811</v>
      </c>
      <c r="Z242" s="73">
        <f t="shared" si="2147"/>
        <v>17470</v>
      </c>
      <c r="AA242" s="73"/>
      <c r="AB242" s="73">
        <f t="shared" si="2147"/>
        <v>4507</v>
      </c>
      <c r="AC242" s="73">
        <f t="shared" si="2147"/>
        <v>4975</v>
      </c>
      <c r="AD242" s="73">
        <f t="shared" si="2147"/>
        <v>5077</v>
      </c>
      <c r="AE242" s="73">
        <f t="shared" si="2147"/>
        <v>5728</v>
      </c>
      <c r="AF242" s="73">
        <f t="shared" si="2147"/>
        <v>20287</v>
      </c>
      <c r="AG242" s="73"/>
      <c r="AH242" s="73">
        <f t="shared" si="2147"/>
        <v>5038</v>
      </c>
      <c r="AI242" s="73">
        <f t="shared" si="2147"/>
        <v>5705</v>
      </c>
      <c r="AJ242" s="73">
        <f t="shared" si="2147"/>
        <v>6186</v>
      </c>
      <c r="AK242" s="73">
        <f t="shared" si="2147"/>
        <v>6823</v>
      </c>
      <c r="AL242" s="73">
        <f t="shared" si="2147"/>
        <v>23752</v>
      </c>
      <c r="AM242" s="73"/>
      <c r="AN242" s="73">
        <f t="shared" si="2147"/>
        <v>6254</v>
      </c>
      <c r="AO242" s="73">
        <f t="shared" si="2147"/>
        <v>7219</v>
      </c>
      <c r="AP242" s="73">
        <f t="shared" si="2147"/>
        <v>6859</v>
      </c>
      <c r="AQ242" s="73">
        <f t="shared" si="2147"/>
        <v>7669</v>
      </c>
      <c r="AR242" s="73">
        <f>SUM(AR237:AR241)</f>
        <v>28001</v>
      </c>
      <c r="AS242" s="73"/>
      <c r="AT242" s="73">
        <f t="shared" si="2147"/>
        <v>6681</v>
      </c>
      <c r="AU242" s="73">
        <f>SUM(AU237:AU241)</f>
        <v>7337</v>
      </c>
      <c r="AV242" s="306">
        <f t="shared" si="2147"/>
        <v>7187</v>
      </c>
      <c r="AW242" s="199"/>
      <c r="AX242" s="73"/>
      <c r="AY242" s="73"/>
      <c r="AZ242" s="73"/>
      <c r="BA242" s="73"/>
      <c r="BB242" s="73"/>
      <c r="BC242" s="73"/>
      <c r="BD242" s="73"/>
      <c r="BE242" s="73"/>
      <c r="BF242" s="73"/>
      <c r="BG242" s="73"/>
      <c r="BH242" s="73"/>
      <c r="BI242" s="73"/>
      <c r="BJ242" s="73"/>
      <c r="BK242" s="73"/>
      <c r="BL242" s="73"/>
      <c r="BM242" s="73"/>
      <c r="BN242" s="73"/>
      <c r="BO242" s="73"/>
      <c r="BP242" s="73"/>
      <c r="BQ242" s="73"/>
      <c r="BR242" s="73"/>
      <c r="BS242" s="73"/>
      <c r="BT242" s="73"/>
      <c r="BU242" s="73"/>
      <c r="BV242" s="73"/>
      <c r="BW242" s="73"/>
      <c r="BX242" s="73"/>
      <c r="BY242" s="73"/>
      <c r="BZ242" s="73"/>
      <c r="CA242" s="73"/>
      <c r="CB242" s="73"/>
      <c r="CC242" s="73"/>
      <c r="CD242" s="73"/>
      <c r="CE242" s="73"/>
      <c r="CF242" s="73"/>
      <c r="CG242" s="73"/>
      <c r="CH242" s="73"/>
      <c r="CI242" s="73"/>
      <c r="CJ242" s="73"/>
      <c r="CK242" s="73"/>
      <c r="CL242" s="73"/>
      <c r="CM242" s="73"/>
      <c r="CN242" s="73"/>
      <c r="CO242" s="379"/>
    </row>
    <row r="243" spans="2:93" s="137" customFormat="1" ht="18" customHeight="1" x14ac:dyDescent="0.25">
      <c r="B243" s="377" t="s">
        <v>379</v>
      </c>
      <c r="D243" s="378" t="str">
        <f>IF(D242=D214,"OK",D242-D214)</f>
        <v>OK</v>
      </c>
      <c r="E243" s="378" t="str">
        <f>IF(E242=E214,"OK",E242-E214)</f>
        <v>OK</v>
      </c>
      <c r="F243" s="378" t="str">
        <f>IF(F242=F214,"OK",F242-F214)</f>
        <v>OK</v>
      </c>
      <c r="G243" s="378" t="str">
        <f>IF(G242=G214,"OK",G242-G214)</f>
        <v>OK</v>
      </c>
      <c r="H243" s="378" t="str">
        <f>IF(H242=H214,"OK",H242-H214)</f>
        <v>OK</v>
      </c>
      <c r="I243" s="379"/>
      <c r="J243" s="378" t="str">
        <f>IF(J242=J214,"OK",J242-J214)</f>
        <v>OK</v>
      </c>
      <c r="K243" s="378" t="str">
        <f>IF(K242=K214,"OK",K242-K214)</f>
        <v>OK</v>
      </c>
      <c r="L243" s="378" t="str">
        <f>IF(L242=L214,"OK",L242-L214)</f>
        <v>OK</v>
      </c>
      <c r="M243" s="378" t="str">
        <f>IF(M242=M214,"OK",M242-M214)</f>
        <v>OK</v>
      </c>
      <c r="N243" s="378" t="str">
        <f>IF(N242=N214,"OK",N242-N214)</f>
        <v>OK</v>
      </c>
      <c r="O243" s="380"/>
      <c r="P243" s="378" t="str">
        <f>IF(P242=P214,"OK",P242-P214)</f>
        <v>OK</v>
      </c>
      <c r="Q243" s="378" t="str">
        <f>IF(Q242=Q214,"OK",Q242-Q214)</f>
        <v>OK</v>
      </c>
      <c r="R243" s="378" t="str">
        <f>IF(R242=R214,"OK",R242-R214)</f>
        <v>OK</v>
      </c>
      <c r="S243" s="378" t="str">
        <f>IF(S242=S214,"OK",S242-S214)</f>
        <v>OK</v>
      </c>
      <c r="T243" s="378" t="str">
        <f>IF(T242=T214,"OK",T242-T214)</f>
        <v>OK</v>
      </c>
      <c r="U243" s="380"/>
      <c r="V243" s="378" t="str">
        <f>IF(V242=V214,"OK",V242-V214)</f>
        <v>OK</v>
      </c>
      <c r="W243" s="378" t="str">
        <f>IF(W242=W214,"OK",W242-W214)</f>
        <v>OK</v>
      </c>
      <c r="X243" s="378" t="str">
        <f>IF(X242=X214,"OK",X242-X214)</f>
        <v>OK</v>
      </c>
      <c r="Y243" s="378" t="str">
        <f>IF(Y242=Y214,"OK",Y242-Y214)</f>
        <v>OK</v>
      </c>
      <c r="Z243" s="378" t="str">
        <f>IF(Z242=Z214,"OK",Z242-Z214)</f>
        <v>OK</v>
      </c>
      <c r="AA243" s="380"/>
      <c r="AB243" s="378" t="str">
        <f>IF(AB242=AB214,"OK",AB242-AB214)</f>
        <v>OK</v>
      </c>
      <c r="AC243" s="378" t="str">
        <f>IF(AC242=AC214,"OK",AC242-AC214)</f>
        <v>OK</v>
      </c>
      <c r="AD243" s="378" t="str">
        <f>IF(AD242=AD214,"OK",AD242-AD214)</f>
        <v>OK</v>
      </c>
      <c r="AE243" s="378" t="str">
        <f>IF(AE242=AE214,"OK",AE242-AE214)</f>
        <v>OK</v>
      </c>
      <c r="AF243" s="378" t="str">
        <f>IF(AF242=AF214,"OK",AF242-AF214)</f>
        <v>OK</v>
      </c>
      <c r="AG243" s="379"/>
      <c r="AH243" s="378" t="str">
        <f>IF(AH242=AH214,"OK",AH242-AH214)</f>
        <v>OK</v>
      </c>
      <c r="AI243" s="378" t="str">
        <f>IF(AI242=AI214,"OK",AI242-AI214)</f>
        <v>OK</v>
      </c>
      <c r="AJ243" s="378" t="str">
        <f>IF(AJ242=AJ214,"OK",AJ242-AJ214)</f>
        <v>OK</v>
      </c>
      <c r="AK243" s="378" t="str">
        <f>IF(AK242=AK214,"OK",AK242-AK214)</f>
        <v>OK</v>
      </c>
      <c r="AL243" s="378" t="str">
        <f>IF(AL242=AL214,"OK",AL242-AL214)</f>
        <v>OK</v>
      </c>
      <c r="AM243" s="379"/>
      <c r="AN243" s="378" t="str">
        <f>IF(AN242=AN214,"OK",AN242-AN214)</f>
        <v>OK</v>
      </c>
      <c r="AO243" s="378" t="str">
        <f>IF(AO242=AO214,"OK",AO242-AO214)</f>
        <v>OK</v>
      </c>
      <c r="AP243" s="378" t="str">
        <f>IF(AP242=AP214,"OK",AP242-AP214)</f>
        <v>OK</v>
      </c>
      <c r="AQ243" s="378" t="str">
        <f>IF(AQ242=AQ214,"OK",AQ242-AQ214)</f>
        <v>OK</v>
      </c>
      <c r="AR243" s="378" t="str">
        <f>IF(AR242=AR214,"OK",AR242-AR214)</f>
        <v>OK</v>
      </c>
      <c r="AS243" s="380"/>
      <c r="AT243" s="378" t="str">
        <f>IF(AT242=AT214,"OK",AT242-AT214)</f>
        <v>OK</v>
      </c>
      <c r="AU243" s="378" t="str">
        <f>IF(AU242=AU214,"OK",AU242-AU214)</f>
        <v>OK</v>
      </c>
      <c r="AV243" s="391" t="str">
        <f>IF(AV242=AV214,"OK",AV242-AV214)</f>
        <v>OK</v>
      </c>
      <c r="AW243" s="378"/>
      <c r="AX243" s="246"/>
      <c r="AY243" s="379"/>
      <c r="AZ243" s="246"/>
      <c r="BA243" s="246"/>
      <c r="BB243" s="246"/>
      <c r="BC243" s="246"/>
      <c r="BD243" s="246"/>
      <c r="BE243" s="379"/>
      <c r="BF243" s="246"/>
      <c r="BG243" s="246"/>
      <c r="BH243" s="246"/>
      <c r="BI243" s="246"/>
      <c r="BJ243" s="246"/>
      <c r="BK243" s="379"/>
      <c r="BL243" s="246"/>
      <c r="BM243" s="246"/>
      <c r="BN243" s="246"/>
      <c r="BO243" s="246"/>
      <c r="BP243" s="246"/>
      <c r="BQ243" s="246"/>
      <c r="BR243" s="246"/>
      <c r="BS243" s="246"/>
      <c r="BT243" s="246"/>
      <c r="BU243" s="246"/>
      <c r="BV243" s="246"/>
      <c r="BW243" s="379"/>
      <c r="BX243" s="246"/>
      <c r="BY243" s="246"/>
      <c r="BZ243" s="246"/>
      <c r="CA243" s="246"/>
      <c r="CB243" s="246"/>
      <c r="CC243" s="379"/>
      <c r="CD243" s="246"/>
      <c r="CE243" s="246"/>
      <c r="CF243" s="246"/>
      <c r="CG243" s="246"/>
      <c r="CH243" s="246"/>
      <c r="CI243" s="379"/>
      <c r="CJ243" s="246"/>
      <c r="CK243" s="246"/>
      <c r="CL243" s="246"/>
      <c r="CM243" s="246"/>
      <c r="CN243" s="246"/>
      <c r="CO243" s="379"/>
    </row>
    <row r="244" spans="2:93" s="137" customFormat="1" ht="18" customHeight="1" x14ac:dyDescent="0.25">
      <c r="B244" s="136"/>
      <c r="D244" s="379"/>
      <c r="E244" s="379"/>
      <c r="F244" s="379"/>
      <c r="G244" s="379"/>
      <c r="H244" s="379"/>
      <c r="I244" s="379"/>
      <c r="J244" s="246"/>
      <c r="K244" s="246"/>
      <c r="L244" s="246"/>
      <c r="M244" s="246"/>
      <c r="N244" s="246"/>
      <c r="O244" s="380"/>
      <c r="P244" s="246"/>
      <c r="Q244" s="246"/>
      <c r="R244" s="246"/>
      <c r="S244" s="246"/>
      <c r="T244" s="246"/>
      <c r="U244" s="380"/>
      <c r="V244" s="246"/>
      <c r="W244" s="246"/>
      <c r="X244" s="246"/>
      <c r="Y244" s="246"/>
      <c r="Z244" s="246"/>
      <c r="AA244" s="380"/>
      <c r="AB244" s="246"/>
      <c r="AC244" s="246"/>
      <c r="AD244" s="246"/>
      <c r="AE244" s="246"/>
      <c r="AF244" s="246"/>
      <c r="AG244" s="379"/>
      <c r="AH244" s="246"/>
      <c r="AI244" s="246"/>
      <c r="AJ244" s="246"/>
      <c r="AK244" s="246"/>
      <c r="AL244" s="246"/>
      <c r="AM244" s="379"/>
      <c r="AN244" s="246"/>
      <c r="AO244" s="246"/>
      <c r="AP244" s="246"/>
      <c r="AQ244" s="246"/>
      <c r="AR244" s="246"/>
      <c r="AS244" s="380"/>
      <c r="AT244" s="246"/>
      <c r="AU244" s="246"/>
      <c r="AV244" s="265"/>
      <c r="AW244" s="246"/>
      <c r="AX244" s="246"/>
      <c r="AY244" s="379"/>
      <c r="AZ244" s="246"/>
      <c r="BA244" s="246"/>
      <c r="BB244" s="246"/>
      <c r="BC244" s="246"/>
      <c r="BD244" s="246"/>
      <c r="BE244" s="379"/>
      <c r="BF244" s="246"/>
      <c r="BG244" s="246"/>
      <c r="BH244" s="246"/>
      <c r="BI244" s="246"/>
      <c r="BJ244" s="246"/>
      <c r="BK244" s="379"/>
      <c r="BL244" s="246"/>
      <c r="BM244" s="246"/>
      <c r="BN244" s="246"/>
      <c r="BO244" s="246"/>
      <c r="BP244" s="246"/>
      <c r="BQ244" s="246"/>
      <c r="BR244" s="246"/>
      <c r="BS244" s="246"/>
      <c r="BT244" s="246"/>
      <c r="BU244" s="246"/>
      <c r="BV244" s="246"/>
      <c r="BW244" s="379"/>
      <c r="BX244" s="246"/>
      <c r="BY244" s="246"/>
      <c r="BZ244" s="246"/>
      <c r="CA244" s="246"/>
      <c r="CB244" s="246"/>
      <c r="CC244" s="379"/>
      <c r="CD244" s="246"/>
      <c r="CE244" s="246"/>
      <c r="CF244" s="246"/>
      <c r="CG244" s="246"/>
      <c r="CH244" s="246"/>
      <c r="CI244" s="379"/>
      <c r="CJ244" s="246"/>
      <c r="CK244" s="246"/>
      <c r="CL244" s="246"/>
      <c r="CM244" s="246"/>
      <c r="CN244" s="246"/>
      <c r="CO244" s="379"/>
    </row>
    <row r="245" spans="2:93" s="137" customFormat="1" ht="18" customHeight="1" x14ac:dyDescent="0.25">
      <c r="B245" s="386" t="s">
        <v>390</v>
      </c>
      <c r="D245" s="379"/>
      <c r="E245" s="379"/>
      <c r="F245" s="379"/>
      <c r="G245" s="379"/>
      <c r="H245" s="379"/>
      <c r="J245" s="246"/>
      <c r="K245" s="246"/>
      <c r="L245" s="246"/>
      <c r="M245" s="246"/>
      <c r="N245" s="246"/>
      <c r="O245" s="380"/>
      <c r="P245" s="246"/>
      <c r="Q245" s="246"/>
      <c r="R245" s="246"/>
      <c r="S245" s="246"/>
      <c r="T245" s="246"/>
      <c r="U245" s="380"/>
      <c r="V245" s="246"/>
      <c r="W245" s="246"/>
      <c r="X245" s="246"/>
      <c r="Y245" s="246"/>
      <c r="Z245" s="246"/>
      <c r="AA245" s="380"/>
      <c r="AB245" s="246"/>
      <c r="AC245" s="246"/>
      <c r="AD245" s="246"/>
      <c r="AE245" s="246"/>
      <c r="AF245" s="246"/>
      <c r="AG245" s="379"/>
      <c r="AH245" s="246"/>
      <c r="AI245" s="246"/>
      <c r="AJ245" s="246"/>
      <c r="AK245" s="246"/>
      <c r="AL245" s="246"/>
      <c r="AM245" s="379"/>
      <c r="AN245" s="246"/>
      <c r="AO245" s="246"/>
      <c r="AP245" s="246"/>
      <c r="AQ245" s="246"/>
      <c r="AR245" s="246"/>
      <c r="AS245" s="380"/>
      <c r="AT245" s="246"/>
      <c r="AU245" s="246"/>
      <c r="AV245" s="265"/>
      <c r="AW245" s="246"/>
      <c r="AX245" s="246"/>
      <c r="AY245" s="379"/>
      <c r="AZ245" s="246"/>
      <c r="BA245" s="246"/>
      <c r="BB245" s="246"/>
      <c r="BC245" s="246"/>
      <c r="BD245" s="246"/>
      <c r="BE245" s="379"/>
      <c r="BF245" s="246"/>
      <c r="BG245" s="246"/>
      <c r="BH245" s="246"/>
      <c r="BI245" s="246"/>
      <c r="BJ245" s="246"/>
      <c r="BK245" s="379"/>
      <c r="BL245" s="246"/>
      <c r="BM245" s="246"/>
      <c r="BN245" s="246"/>
      <c r="BO245" s="246"/>
      <c r="BP245" s="246"/>
      <c r="BQ245" s="379"/>
      <c r="BR245" s="246"/>
      <c r="BS245" s="246"/>
      <c r="BT245" s="246"/>
      <c r="BU245" s="246"/>
      <c r="BV245" s="246"/>
      <c r="BW245" s="379"/>
      <c r="BX245" s="246"/>
      <c r="BY245" s="246"/>
      <c r="BZ245" s="246"/>
      <c r="CA245" s="246"/>
      <c r="CB245" s="246"/>
      <c r="CC245" s="379"/>
      <c r="CD245" s="246"/>
      <c r="CE245" s="246"/>
      <c r="CF245" s="246"/>
      <c r="CG245" s="246"/>
      <c r="CH245" s="246"/>
      <c r="CI245" s="379"/>
      <c r="CJ245" s="246"/>
      <c r="CK245" s="246"/>
      <c r="CL245" s="246"/>
      <c r="CM245" s="246"/>
      <c r="CN245" s="246"/>
      <c r="CO245" s="379"/>
    </row>
    <row r="246" spans="2:93" s="137" customFormat="1" ht="18" customHeight="1" x14ac:dyDescent="0.25">
      <c r="B246" s="31" t="s">
        <v>386</v>
      </c>
      <c r="D246" s="379"/>
      <c r="E246" s="379"/>
      <c r="F246" s="379"/>
      <c r="G246" s="379"/>
      <c r="H246" s="379"/>
      <c r="J246" s="67">
        <f t="shared" ref="J246:J251" si="2148">J237/D237-1</f>
        <v>0.50185414091470948</v>
      </c>
      <c r="K246" s="67">
        <f t="shared" ref="K246:N246" si="2149">K237/E237-1</f>
        <v>0.3931623931623931</v>
      </c>
      <c r="L246" s="67">
        <f t="shared" si="2149"/>
        <v>0.27887323943661979</v>
      </c>
      <c r="M246" s="67">
        <f t="shared" si="2149"/>
        <v>0.14829659318637267</v>
      </c>
      <c r="N246" s="67">
        <f t="shared" si="2149"/>
        <v>0.30266726943942124</v>
      </c>
      <c r="O246" s="67"/>
      <c r="P246" s="67">
        <f>P237/J237-1</f>
        <v>-6.9135802469135754E-2</v>
      </c>
      <c r="Q246" s="67">
        <f t="shared" ref="Q246:Q251" si="2150">Q237/K237-1</f>
        <v>-0.11042944785276076</v>
      </c>
      <c r="R246" s="67">
        <f t="shared" ref="R246:R251" si="2151">R237/L237-1</f>
        <v>-8.5168869309838469E-2</v>
      </c>
      <c r="S246" s="67">
        <f t="shared" ref="S246:S251" si="2152">S237/M237-1</f>
        <v>-0.11401977894124493</v>
      </c>
      <c r="T246" s="67">
        <f t="shared" ref="T246:T251" si="2153">T237/N237-1</f>
        <v>-9.68245705361791E-2</v>
      </c>
      <c r="U246" s="67"/>
      <c r="V246" s="67">
        <f>V237/P237-1</f>
        <v>-0.23872679045092837</v>
      </c>
      <c r="W246" s="67">
        <f t="shared" ref="W246:W251" si="2154">W237/Q237-1</f>
        <v>-0.21302681992337169</v>
      </c>
      <c r="X246" s="67">
        <f t="shared" ref="X246:X251" si="2155">X237/R237-1</f>
        <v>-0.41091492776886041</v>
      </c>
      <c r="Y246" s="67">
        <f t="shared" ref="Y246:Y251" si="2156">Y237/S237-1</f>
        <v>-0.29152987524622453</v>
      </c>
      <c r="Z246" s="67">
        <f t="shared" ref="Z246:Z251" si="2157">Z237/T237-1</f>
        <v>-0.28895292987512011</v>
      </c>
      <c r="AA246" s="67"/>
      <c r="AB246" s="67">
        <f>AB237/V237-1</f>
        <v>6.2717770034843134E-2</v>
      </c>
      <c r="AC246" s="67">
        <f t="shared" ref="AC246:AC251" si="2158">AC237/W237-1</f>
        <v>0.10710808179162612</v>
      </c>
      <c r="AD246" s="67">
        <f t="shared" ref="AD246:AD251" si="2159">AD237/X237-1</f>
        <v>0.48228882833787456</v>
      </c>
      <c r="AE246" s="67">
        <f t="shared" ref="AE246:AE251" si="2160">AE237/Y237-1</f>
        <v>0.22335495829471741</v>
      </c>
      <c r="AF246" s="67">
        <f t="shared" ref="AF246:AF251" si="2161">AF237/Z237-1</f>
        <v>0.20507970818697641</v>
      </c>
      <c r="AG246" s="67"/>
      <c r="AH246" s="67">
        <f>AH237/AB237-1</f>
        <v>3.6065573770491799E-2</v>
      </c>
      <c r="AI246" s="67">
        <f t="shared" ref="AI246:AI251" si="2162">AI237/AC237-1</f>
        <v>8.3553210202286676E-2</v>
      </c>
      <c r="AJ246" s="67">
        <f t="shared" ref="AJ246:AJ251" si="2163">AJ237/AD237-1</f>
        <v>0.21599264705882359</v>
      </c>
      <c r="AK246" s="67">
        <f t="shared" ref="AK246:AK251" si="2164">AK237/AE237-1</f>
        <v>0.38409090909090904</v>
      </c>
      <c r="AL246" s="67">
        <f t="shared" ref="AL246:AL251" si="2165">AL237/AF237-1</f>
        <v>0.19506726457399104</v>
      </c>
      <c r="AM246" s="67"/>
      <c r="AN246" s="67">
        <f>AN237/AH237-1</f>
        <v>0.38607594936708867</v>
      </c>
      <c r="AO246" s="67">
        <f t="shared" ref="AO246:AO251" si="2166">AO237/AI237-1</f>
        <v>0.4285714285714286</v>
      </c>
      <c r="AP246" s="67">
        <f t="shared" ref="AP246:AP251" si="2167">AP237/AJ237-1</f>
        <v>0.26001511715797432</v>
      </c>
      <c r="AQ246" s="67">
        <f t="shared" ref="AQ246:AQ251" si="2168">AQ237/AK237-1</f>
        <v>0.22988505747126431</v>
      </c>
      <c r="AR246" s="67">
        <f t="shared" ref="AR246:AR251" si="2169">AR237/AL237-1</f>
        <v>0.31106941838649149</v>
      </c>
      <c r="AS246" s="67"/>
      <c r="AT246" s="67">
        <f>AT237/AN237-1</f>
        <v>0.19330289193302885</v>
      </c>
      <c r="AU246" s="67">
        <f t="shared" ref="AU246:AU251" si="2170">AU237/AO237-1</f>
        <v>3.9204545454545547E-2</v>
      </c>
      <c r="AV246" s="264">
        <f t="shared" ref="AV246:AV251" si="2171">AV237/AP237-1</f>
        <v>-6.5986802639471653E-3</v>
      </c>
      <c r="AW246" s="67"/>
      <c r="AX246" s="246"/>
      <c r="AY246" s="379"/>
      <c r="AZ246" s="246"/>
      <c r="BA246" s="246"/>
      <c r="BB246" s="246"/>
      <c r="BC246" s="246"/>
      <c r="BD246" s="246"/>
      <c r="BE246" s="379"/>
      <c r="BF246" s="246"/>
      <c r="BG246" s="246"/>
      <c r="BH246" s="246"/>
      <c r="BI246" s="246"/>
      <c r="BJ246" s="246"/>
      <c r="BK246" s="379"/>
      <c r="BL246" s="246"/>
      <c r="BM246" s="246"/>
      <c r="BN246" s="246"/>
      <c r="BO246" s="246"/>
      <c r="BP246" s="246"/>
      <c r="BQ246" s="379"/>
      <c r="BR246" s="246"/>
      <c r="BS246" s="246"/>
      <c r="BT246" s="246"/>
      <c r="BU246" s="246"/>
      <c r="BV246" s="246"/>
      <c r="BW246" s="379"/>
      <c r="BX246" s="246"/>
      <c r="BY246" s="246"/>
      <c r="BZ246" s="246"/>
      <c r="CA246" s="246"/>
      <c r="CB246" s="246"/>
      <c r="CC246" s="379"/>
      <c r="CD246" s="246"/>
      <c r="CE246" s="246"/>
      <c r="CF246" s="246"/>
      <c r="CG246" s="246"/>
      <c r="CH246" s="246"/>
      <c r="CI246" s="379"/>
      <c r="CJ246" s="246"/>
      <c r="CK246" s="246"/>
      <c r="CL246" s="246"/>
      <c r="CM246" s="246"/>
      <c r="CN246" s="246"/>
      <c r="CO246" s="379"/>
    </row>
    <row r="247" spans="2:93" s="137" customFormat="1" ht="18" customHeight="1" x14ac:dyDescent="0.25">
      <c r="B247" s="31" t="s">
        <v>387</v>
      </c>
      <c r="D247" s="379"/>
      <c r="E247" s="379"/>
      <c r="F247" s="379"/>
      <c r="G247" s="379"/>
      <c r="H247" s="379"/>
      <c r="J247" s="67">
        <f t="shared" si="2148"/>
        <v>0.3533519553072626</v>
      </c>
      <c r="K247" s="67">
        <f t="shared" ref="K247:K250" si="2172">K238/E238-1</f>
        <v>0.13112884834663618</v>
      </c>
      <c r="L247" s="67">
        <f t="shared" ref="L247:L250" si="2173">L238/F238-1</f>
        <v>0.22717149220489974</v>
      </c>
      <c r="M247" s="67">
        <f t="shared" ref="M247:M250" si="2174">M238/G238-1</f>
        <v>0.19905660377358481</v>
      </c>
      <c r="N247" s="67">
        <f t="shared" ref="N247:N250" si="2175">N238/H238-1</f>
        <v>0.22050126724866237</v>
      </c>
      <c r="O247" s="67"/>
      <c r="P247" s="67">
        <f t="shared" ref="P247:P251" si="2176">P238/J238-1</f>
        <v>6.9143446852425239E-2</v>
      </c>
      <c r="Q247" s="67">
        <f t="shared" si="2150"/>
        <v>2.9233870967741993E-2</v>
      </c>
      <c r="R247" s="67">
        <f t="shared" si="2151"/>
        <v>1.9056261343012748E-2</v>
      </c>
      <c r="S247" s="67">
        <f t="shared" si="2152"/>
        <v>1.8095987411486991E-2</v>
      </c>
      <c r="T247" s="67">
        <f t="shared" si="2153"/>
        <v>3.2302722658052563E-2</v>
      </c>
      <c r="U247" s="67"/>
      <c r="V247" s="67">
        <f t="shared" ref="V247:V251" si="2177">V238/P238-1</f>
        <v>-0.17567567567567566</v>
      </c>
      <c r="W247" s="67">
        <f t="shared" si="2154"/>
        <v>-0.12340842311459355</v>
      </c>
      <c r="X247" s="67">
        <f t="shared" si="2155"/>
        <v>-7.9252003561887774E-2</v>
      </c>
      <c r="Y247" s="67">
        <f t="shared" si="2156"/>
        <v>-8.8098918083462152E-2</v>
      </c>
      <c r="Z247" s="67">
        <f t="shared" si="2157"/>
        <v>-0.11421546714349573</v>
      </c>
      <c r="AA247" s="67"/>
      <c r="AB247" s="67">
        <f t="shared" ref="AB247:AB251" si="2178">AB238/V238-1</f>
        <v>0.1276346604215457</v>
      </c>
      <c r="AC247" s="67">
        <f t="shared" si="2158"/>
        <v>0.17541899441340791</v>
      </c>
      <c r="AD247" s="67">
        <f t="shared" si="2159"/>
        <v>-2.3210831721469982E-2</v>
      </c>
      <c r="AE247" s="67">
        <f t="shared" si="2160"/>
        <v>7.3728813559321926E-2</v>
      </c>
      <c r="AF247" s="67">
        <f t="shared" si="2161"/>
        <v>8.3017915720413837E-2</v>
      </c>
      <c r="AG247" s="67"/>
      <c r="AH247" s="67">
        <f t="shared" ref="AH247:AH251" si="2179">AH238/AB238-1</f>
        <v>5.0882658359293842E-2</v>
      </c>
      <c r="AI247" s="67">
        <f t="shared" si="2162"/>
        <v>0.12737642585551323</v>
      </c>
      <c r="AJ247" s="67">
        <f t="shared" si="2163"/>
        <v>0.30693069306930698</v>
      </c>
      <c r="AK247" s="67">
        <f t="shared" si="2164"/>
        <v>0.12233622730860305</v>
      </c>
      <c r="AL247" s="67">
        <f t="shared" si="2165"/>
        <v>0.15097856477166816</v>
      </c>
      <c r="AM247" s="67"/>
      <c r="AN247" s="67">
        <f t="shared" ref="AN247:AN251" si="2180">AN238/AH238-1</f>
        <v>0.26877470355731226</v>
      </c>
      <c r="AO247" s="67">
        <f t="shared" si="2166"/>
        <v>0.38701517706576727</v>
      </c>
      <c r="AP247" s="67">
        <f t="shared" si="2167"/>
        <v>0.21060606060606069</v>
      </c>
      <c r="AQ247" s="67">
        <f t="shared" si="2168"/>
        <v>0.29043600562587901</v>
      </c>
      <c r="AR247" s="67">
        <f t="shared" si="2169"/>
        <v>0.28785425101214579</v>
      </c>
      <c r="AS247" s="67"/>
      <c r="AT247" s="67">
        <f t="shared" ref="AT247:AT251" si="2181">AT238/AN238-1</f>
        <v>0.2601246105919004</v>
      </c>
      <c r="AU247" s="67">
        <f t="shared" si="2170"/>
        <v>0.14589665653495443</v>
      </c>
      <c r="AV247" s="264">
        <f t="shared" si="2171"/>
        <v>0.2584480600750938</v>
      </c>
      <c r="AW247" s="67"/>
      <c r="AX247" s="246"/>
      <c r="AY247" s="379"/>
      <c r="AZ247" s="246"/>
      <c r="BA247" s="246"/>
      <c r="BB247" s="246"/>
      <c r="BC247" s="246"/>
      <c r="BD247" s="246"/>
      <c r="BE247" s="379"/>
      <c r="BF247" s="246"/>
      <c r="BG247" s="246"/>
      <c r="BH247" s="246"/>
      <c r="BI247" s="246"/>
      <c r="BJ247" s="246"/>
      <c r="BK247" s="379"/>
      <c r="BL247" s="246"/>
      <c r="BM247" s="246"/>
      <c r="BN247" s="246"/>
      <c r="BO247" s="246"/>
      <c r="BP247" s="246"/>
      <c r="BQ247" s="379"/>
      <c r="BR247" s="246"/>
      <c r="BS247" s="246"/>
      <c r="BT247" s="246"/>
      <c r="BU247" s="246"/>
      <c r="BV247" s="246"/>
      <c r="BW247" s="379"/>
      <c r="BX247" s="246"/>
      <c r="BY247" s="246"/>
      <c r="BZ247" s="246"/>
      <c r="CA247" s="246"/>
      <c r="CB247" s="246"/>
      <c r="CC247" s="379"/>
      <c r="CD247" s="246"/>
      <c r="CE247" s="246"/>
      <c r="CF247" s="246"/>
      <c r="CG247" s="246"/>
      <c r="CH247" s="246"/>
      <c r="CI247" s="379"/>
      <c r="CJ247" s="246"/>
      <c r="CK247" s="246"/>
      <c r="CL247" s="246"/>
      <c r="CM247" s="246"/>
      <c r="CN247" s="246"/>
      <c r="CO247" s="379"/>
    </row>
    <row r="248" spans="2:93" s="137" customFormat="1" ht="18" customHeight="1" x14ac:dyDescent="0.25">
      <c r="B248" s="31" t="s">
        <v>388</v>
      </c>
      <c r="D248" s="379"/>
      <c r="E248" s="379"/>
      <c r="F248" s="379"/>
      <c r="G248" s="379"/>
      <c r="H248" s="379"/>
      <c r="J248" s="67">
        <f t="shared" si="2148"/>
        <v>0.16602316602316591</v>
      </c>
      <c r="K248" s="67">
        <f t="shared" si="2172"/>
        <v>9.6153846153846256E-2</v>
      </c>
      <c r="L248" s="67">
        <f t="shared" si="2173"/>
        <v>-2.4858757062146908E-2</v>
      </c>
      <c r="M248" s="67">
        <f t="shared" si="2174"/>
        <v>3.3370411568409697E-3</v>
      </c>
      <c r="N248" s="67">
        <f t="shared" si="2175"/>
        <v>5.6603773584905648E-2</v>
      </c>
      <c r="O248" s="67"/>
      <c r="P248" s="67">
        <f t="shared" si="2176"/>
        <v>-2.2075055187638082E-3</v>
      </c>
      <c r="Q248" s="67">
        <f t="shared" si="2150"/>
        <v>-1.2383900928792602E-2</v>
      </c>
      <c r="R248" s="67">
        <f t="shared" si="2151"/>
        <v>0.13557358053302426</v>
      </c>
      <c r="S248" s="67">
        <f t="shared" si="2152"/>
        <v>6.6518847006651338E-3</v>
      </c>
      <c r="T248" s="67">
        <f t="shared" si="2153"/>
        <v>2.9945054945054839E-2</v>
      </c>
      <c r="U248" s="67"/>
      <c r="V248" s="67">
        <f t="shared" si="2177"/>
        <v>-0.11393805309734517</v>
      </c>
      <c r="W248" s="67">
        <f t="shared" si="2154"/>
        <v>-0.29153605015673978</v>
      </c>
      <c r="X248" s="67">
        <f t="shared" si="2155"/>
        <v>-0.25510204081632648</v>
      </c>
      <c r="Y248" s="67">
        <f t="shared" si="2156"/>
        <v>-0.18942731277533043</v>
      </c>
      <c r="Z248" s="67">
        <f t="shared" si="2157"/>
        <v>-0.21445718858362228</v>
      </c>
      <c r="AA248" s="67"/>
      <c r="AB248" s="67">
        <f t="shared" si="2178"/>
        <v>1.4981273408239737E-2</v>
      </c>
      <c r="AC248" s="67">
        <f t="shared" si="2158"/>
        <v>0.32595870206489685</v>
      </c>
      <c r="AD248" s="67">
        <f t="shared" si="2159"/>
        <v>0.29863013698630136</v>
      </c>
      <c r="AE248" s="67">
        <f t="shared" si="2160"/>
        <v>0.29347826086956519</v>
      </c>
      <c r="AF248" s="67">
        <f t="shared" si="2161"/>
        <v>0.2264855687606111</v>
      </c>
      <c r="AG248" s="67"/>
      <c r="AH248" s="67">
        <f t="shared" si="2179"/>
        <v>0.25461254612546136</v>
      </c>
      <c r="AI248" s="67">
        <f t="shared" si="2162"/>
        <v>0.24249165739710787</v>
      </c>
      <c r="AJ248" s="67">
        <f t="shared" si="2163"/>
        <v>0.22151898734177222</v>
      </c>
      <c r="AK248" s="67">
        <f t="shared" si="2164"/>
        <v>0.18802521008403361</v>
      </c>
      <c r="AL248" s="67">
        <f t="shared" si="2165"/>
        <v>0.22535991140642309</v>
      </c>
      <c r="AM248" s="67"/>
      <c r="AN248" s="67">
        <f t="shared" si="2180"/>
        <v>0.23039215686274517</v>
      </c>
      <c r="AO248" s="67">
        <f t="shared" si="2166"/>
        <v>0.17994628469113705</v>
      </c>
      <c r="AP248" s="67">
        <f t="shared" si="2167"/>
        <v>5.3540587219343738E-2</v>
      </c>
      <c r="AQ248" s="67">
        <f t="shared" si="2168"/>
        <v>-4.6861184792219235E-2</v>
      </c>
      <c r="AR248" s="67">
        <f t="shared" si="2169"/>
        <v>0.1005422503389064</v>
      </c>
      <c r="AS248" s="67"/>
      <c r="AT248" s="67">
        <f t="shared" si="2181"/>
        <v>-0.21195219123505971</v>
      </c>
      <c r="AU248" s="67">
        <f t="shared" si="2170"/>
        <v>-0.20713201820940819</v>
      </c>
      <c r="AV248" s="264">
        <f t="shared" si="2171"/>
        <v>-0.15737704918032791</v>
      </c>
      <c r="AW248" s="67"/>
      <c r="AX248" s="246"/>
      <c r="AY248" s="379"/>
      <c r="AZ248" s="246"/>
      <c r="BA248" s="246"/>
      <c r="BB248" s="246"/>
      <c r="BC248" s="246"/>
      <c r="BD248" s="246"/>
      <c r="BE248" s="379"/>
      <c r="BF248" s="246"/>
      <c r="BG248" s="246"/>
      <c r="BH248" s="246"/>
      <c r="BI248" s="246"/>
      <c r="BJ248" s="246"/>
      <c r="BK248" s="379"/>
      <c r="BL248" s="246"/>
      <c r="BM248" s="246"/>
      <c r="BN248" s="246"/>
      <c r="BO248" s="246"/>
      <c r="BP248" s="246"/>
      <c r="BQ248" s="379"/>
      <c r="BR248" s="246"/>
      <c r="BS248" s="246"/>
      <c r="BT248" s="246"/>
      <c r="BU248" s="246"/>
      <c r="BV248" s="246"/>
      <c r="BW248" s="379"/>
      <c r="BX248" s="246"/>
      <c r="BY248" s="246"/>
      <c r="BZ248" s="246"/>
      <c r="CA248" s="246"/>
      <c r="CB248" s="246"/>
      <c r="CC248" s="379"/>
      <c r="CD248" s="246"/>
      <c r="CE248" s="246"/>
      <c r="CF248" s="246"/>
      <c r="CG248" s="246"/>
      <c r="CH248" s="246"/>
      <c r="CI248" s="379"/>
      <c r="CJ248" s="246"/>
      <c r="CK248" s="246"/>
      <c r="CL248" s="246"/>
      <c r="CM248" s="246"/>
      <c r="CN248" s="246"/>
      <c r="CO248" s="379"/>
    </row>
    <row r="249" spans="2:93" s="137" customFormat="1" ht="18" customHeight="1" x14ac:dyDescent="0.25">
      <c r="B249" s="31" t="s">
        <v>389</v>
      </c>
      <c r="D249" s="379"/>
      <c r="E249" s="379"/>
      <c r="F249" s="379"/>
      <c r="G249" s="379"/>
      <c r="H249" s="379"/>
      <c r="J249" s="67">
        <f t="shared" si="2148"/>
        <v>0.1252371916508539</v>
      </c>
      <c r="K249" s="67">
        <f t="shared" si="2172"/>
        <v>0.1410825199645076</v>
      </c>
      <c r="L249" s="67">
        <f t="shared" si="2173"/>
        <v>0.1230907457322552</v>
      </c>
      <c r="M249" s="67">
        <f t="shared" si="2174"/>
        <v>9.8400000000000043E-2</v>
      </c>
      <c r="N249" s="67">
        <f t="shared" si="2175"/>
        <v>0.12125880281690149</v>
      </c>
      <c r="O249" s="67"/>
      <c r="P249" s="67">
        <f t="shared" si="2176"/>
        <v>-2.02360876897133E-2</v>
      </c>
      <c r="Q249" s="67">
        <f t="shared" si="2150"/>
        <v>-3.499222395023327E-2</v>
      </c>
      <c r="R249" s="67">
        <f t="shared" si="2151"/>
        <v>-2.959999999999996E-2</v>
      </c>
      <c r="S249" s="67">
        <f t="shared" si="2152"/>
        <v>4.9526584122359774E-2</v>
      </c>
      <c r="T249" s="67">
        <f t="shared" si="2153"/>
        <v>-7.458292443572101E-3</v>
      </c>
      <c r="U249" s="67"/>
      <c r="V249" s="67">
        <f t="shared" si="2177"/>
        <v>-5.1635111876075723E-2</v>
      </c>
      <c r="W249" s="67">
        <f t="shared" si="2154"/>
        <v>-0.24174053182916999</v>
      </c>
      <c r="X249" s="67">
        <f t="shared" si="2155"/>
        <v>-0.19455894476504532</v>
      </c>
      <c r="Y249" s="67">
        <f t="shared" si="2156"/>
        <v>-0.28174878556557947</v>
      </c>
      <c r="Z249" s="67">
        <f t="shared" si="2157"/>
        <v>-0.19814119042910816</v>
      </c>
      <c r="AA249" s="67"/>
      <c r="AB249" s="67">
        <f t="shared" si="2178"/>
        <v>-0.1225045372050817</v>
      </c>
      <c r="AC249" s="67">
        <f t="shared" si="2158"/>
        <v>9.6705632306057332E-2</v>
      </c>
      <c r="AD249" s="67">
        <f t="shared" si="2159"/>
        <v>0.12077789150460583</v>
      </c>
      <c r="AE249" s="67">
        <f t="shared" si="2160"/>
        <v>0.17101449275362324</v>
      </c>
      <c r="AF249" s="67">
        <f t="shared" si="2161"/>
        <v>6.1898890258939687E-2</v>
      </c>
      <c r="AG249" s="67"/>
      <c r="AH249" s="67">
        <f t="shared" si="2179"/>
        <v>8.7900723888314269E-2</v>
      </c>
      <c r="AI249" s="67">
        <f t="shared" si="2162"/>
        <v>7.0736434108527035E-2</v>
      </c>
      <c r="AJ249" s="67">
        <f t="shared" si="2163"/>
        <v>9.2237442922374457E-2</v>
      </c>
      <c r="AK249" s="67">
        <f t="shared" si="2164"/>
        <v>6.2706270627062688E-2</v>
      </c>
      <c r="AL249" s="67">
        <f t="shared" si="2165"/>
        <v>7.7798420808174562E-2</v>
      </c>
      <c r="AM249" s="67"/>
      <c r="AN249" s="67">
        <f t="shared" si="2180"/>
        <v>0.14258555133079853</v>
      </c>
      <c r="AO249" s="67">
        <f t="shared" si="2166"/>
        <v>0.11674208144796383</v>
      </c>
      <c r="AP249" s="67">
        <f t="shared" si="2167"/>
        <v>6.1872909698996725E-2</v>
      </c>
      <c r="AQ249" s="67">
        <f t="shared" si="2168"/>
        <v>0.10869565217391308</v>
      </c>
      <c r="AR249" s="67">
        <f t="shared" si="2169"/>
        <v>0.10622710622710629</v>
      </c>
      <c r="AS249" s="67"/>
      <c r="AT249" s="67">
        <f t="shared" si="2181"/>
        <v>9.1514143094841849E-2</v>
      </c>
      <c r="AU249" s="67">
        <f t="shared" si="2170"/>
        <v>7.0502431118314446E-2</v>
      </c>
      <c r="AV249" s="264">
        <f t="shared" si="2171"/>
        <v>3.1496062992125928E-2</v>
      </c>
      <c r="AW249" s="67"/>
      <c r="AX249" s="246"/>
      <c r="AY249" s="379"/>
      <c r="AZ249" s="246"/>
      <c r="BA249" s="246"/>
      <c r="BB249" s="246"/>
      <c r="BC249" s="246"/>
      <c r="BD249" s="246"/>
      <c r="BE249" s="379"/>
      <c r="BF249" s="246"/>
      <c r="BG249" s="246"/>
      <c r="BH249" s="246"/>
      <c r="BI249" s="246"/>
      <c r="BJ249" s="246"/>
      <c r="BK249" s="379"/>
      <c r="BL249" s="246"/>
      <c r="BM249" s="246"/>
      <c r="BN249" s="246"/>
      <c r="BO249" s="246"/>
      <c r="BP249" s="246"/>
      <c r="BQ249" s="379"/>
      <c r="BR249" s="246"/>
      <c r="BS249" s="246"/>
      <c r="BT249" s="246"/>
      <c r="BU249" s="246"/>
      <c r="BV249" s="246"/>
      <c r="BW249" s="379"/>
      <c r="BX249" s="246"/>
      <c r="BY249" s="246"/>
      <c r="BZ249" s="246"/>
      <c r="CA249" s="246"/>
      <c r="CB249" s="246"/>
      <c r="CC249" s="379"/>
      <c r="CD249" s="246"/>
      <c r="CE249" s="246"/>
      <c r="CF249" s="246"/>
      <c r="CG249" s="246"/>
      <c r="CH249" s="246"/>
      <c r="CI249" s="379"/>
      <c r="CJ249" s="246"/>
      <c r="CK249" s="246"/>
      <c r="CL249" s="246"/>
      <c r="CM249" s="246"/>
      <c r="CN249" s="246"/>
      <c r="CO249" s="379"/>
    </row>
    <row r="250" spans="2:93" s="137" customFormat="1" ht="18" customHeight="1" x14ac:dyDescent="0.25">
      <c r="B250" s="31" t="s">
        <v>378</v>
      </c>
      <c r="C250" s="31"/>
      <c r="D250" s="31"/>
      <c r="E250" s="31"/>
      <c r="F250" s="31"/>
      <c r="G250" s="31"/>
      <c r="H250" s="31"/>
      <c r="I250" s="31"/>
      <c r="J250" s="390">
        <f t="shared" si="2148"/>
        <v>0.2089743589743589</v>
      </c>
      <c r="K250" s="390">
        <f t="shared" si="2172"/>
        <v>0.22128174123337363</v>
      </c>
      <c r="L250" s="390">
        <f t="shared" si="2173"/>
        <v>0.11516533637400217</v>
      </c>
      <c r="M250" s="390">
        <f t="shared" si="2174"/>
        <v>9.4218415417558932E-2</v>
      </c>
      <c r="N250" s="390">
        <f t="shared" si="2175"/>
        <v>0.15652428320655365</v>
      </c>
      <c r="O250" s="390"/>
      <c r="P250" s="390">
        <f t="shared" si="2176"/>
        <v>3.6055143160127257E-2</v>
      </c>
      <c r="Q250" s="390">
        <f t="shared" si="2150"/>
        <v>-4.7524752475247567E-2</v>
      </c>
      <c r="R250" s="390">
        <f t="shared" si="2151"/>
        <v>-8.997955010224945E-2</v>
      </c>
      <c r="S250" s="390">
        <f t="shared" si="2152"/>
        <v>-0.23385518590998045</v>
      </c>
      <c r="T250" s="390">
        <f t="shared" si="2153"/>
        <v>-8.6263597267897785E-2</v>
      </c>
      <c r="U250" s="390"/>
      <c r="V250" s="390">
        <f t="shared" si="2177"/>
        <v>-0.25179119754350054</v>
      </c>
      <c r="W250" s="390">
        <f t="shared" si="2154"/>
        <v>-0.36798336798336795</v>
      </c>
      <c r="X250" s="390">
        <f t="shared" si="2155"/>
        <v>-0.22921348314606738</v>
      </c>
      <c r="Y250" s="390">
        <f t="shared" si="2156"/>
        <v>-2.5542784163473664E-3</v>
      </c>
      <c r="Z250" s="390">
        <f t="shared" si="2157"/>
        <v>-0.22314507198228128</v>
      </c>
      <c r="AA250" s="390"/>
      <c r="AB250" s="390">
        <f t="shared" si="2178"/>
        <v>0.16142270861833108</v>
      </c>
      <c r="AC250" s="390">
        <f t="shared" si="2158"/>
        <v>0.40625</v>
      </c>
      <c r="AD250" s="390">
        <f t="shared" si="2159"/>
        <v>0.36443148688046656</v>
      </c>
      <c r="AE250" s="390">
        <f t="shared" si="2160"/>
        <v>0.25096030729833552</v>
      </c>
      <c r="AF250" s="390">
        <f t="shared" si="2161"/>
        <v>0.28902352102637208</v>
      </c>
      <c r="AG250" s="390"/>
      <c r="AH250" s="390">
        <f t="shared" si="2179"/>
        <v>0.18492343934040045</v>
      </c>
      <c r="AI250" s="390">
        <f t="shared" si="2162"/>
        <v>0.2456140350877194</v>
      </c>
      <c r="AJ250" s="390">
        <f t="shared" si="2163"/>
        <v>0.27029914529914523</v>
      </c>
      <c r="AK250" s="390">
        <f t="shared" si="2164"/>
        <v>0.18219037871033783</v>
      </c>
      <c r="AL250" s="390">
        <f t="shared" si="2165"/>
        <v>0.22062482720486587</v>
      </c>
      <c r="AM250" s="390"/>
      <c r="AN250" s="390">
        <f t="shared" si="2180"/>
        <v>0.19184890656063613</v>
      </c>
      <c r="AO250" s="390">
        <f t="shared" si="2166"/>
        <v>0.18497652582159629</v>
      </c>
      <c r="AP250" s="390">
        <f t="shared" si="2167"/>
        <v>-7.1488645920941951E-2</v>
      </c>
      <c r="AQ250" s="390">
        <f t="shared" si="2168"/>
        <v>-6.4069264069264054E-2</v>
      </c>
      <c r="AR250" s="390">
        <f t="shared" si="2169"/>
        <v>5.2321630804077035E-2</v>
      </c>
      <c r="AS250" s="390"/>
      <c r="AT250" s="390">
        <f t="shared" si="2181"/>
        <v>-4.170141784820669E-3</v>
      </c>
      <c r="AU250" s="390">
        <f t="shared" si="2170"/>
        <v>-3.961965134706813E-3</v>
      </c>
      <c r="AV250" s="392">
        <f t="shared" si="2171"/>
        <v>7.0652173913043459E-2</v>
      </c>
      <c r="AW250" s="390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79"/>
    </row>
    <row r="251" spans="2:93" s="137" customFormat="1" ht="18" customHeight="1" x14ac:dyDescent="0.25">
      <c r="B251" s="155" t="s">
        <v>382</v>
      </c>
      <c r="C251" s="155"/>
      <c r="D251" s="155"/>
      <c r="E251" s="155"/>
      <c r="F251" s="155"/>
      <c r="G251" s="155"/>
      <c r="H251" s="155"/>
      <c r="I251" s="155"/>
      <c r="J251" s="390">
        <f t="shared" si="2148"/>
        <v>0.26184719535783363</v>
      </c>
      <c r="K251" s="390">
        <f t="shared" ref="K251" si="2182">K242/E242-1</f>
        <v>0.20050335570469802</v>
      </c>
      <c r="L251" s="390">
        <f t="shared" ref="L251" si="2183">L242/F242-1</f>
        <v>0.14820173625465061</v>
      </c>
      <c r="M251" s="390">
        <f t="shared" ref="M251" si="2184">M242/G242-1</f>
        <v>0.1147163120567376</v>
      </c>
      <c r="N251" s="390">
        <f t="shared" ref="N251" si="2185">N242/H242-1</f>
        <v>0.17557527602930545</v>
      </c>
      <c r="O251" s="390"/>
      <c r="P251" s="390">
        <f t="shared" si="2176"/>
        <v>-1.7244682889442364E-3</v>
      </c>
      <c r="Q251" s="390">
        <f t="shared" si="2150"/>
        <v>-4.1579315164220865E-2</v>
      </c>
      <c r="R251" s="390">
        <f t="shared" si="2151"/>
        <v>-1.8541854185418538E-2</v>
      </c>
      <c r="S251" s="390">
        <f t="shared" si="2152"/>
        <v>-5.3761730555113685E-2</v>
      </c>
      <c r="T251" s="390">
        <f t="shared" si="2153"/>
        <v>-3.0195303928022832E-2</v>
      </c>
      <c r="U251" s="390"/>
      <c r="V251" s="390">
        <f t="shared" si="2177"/>
        <v>-0.1652591170825336</v>
      </c>
      <c r="W251" s="390">
        <f t="shared" si="2154"/>
        <v>-0.24371126503827922</v>
      </c>
      <c r="X251" s="390">
        <f t="shared" si="2155"/>
        <v>-0.23679383712399116</v>
      </c>
      <c r="Y251" s="390">
        <f t="shared" si="2156"/>
        <v>-0.19129265422760122</v>
      </c>
      <c r="Z251" s="390">
        <f t="shared" si="2157"/>
        <v>-0.20939494048965923</v>
      </c>
      <c r="AA251" s="390"/>
      <c r="AB251" s="390">
        <f t="shared" si="2178"/>
        <v>3.6330190848471E-2</v>
      </c>
      <c r="AC251" s="390">
        <f t="shared" si="2158"/>
        <v>0.19908411665461556</v>
      </c>
      <c r="AD251" s="390">
        <f t="shared" si="2159"/>
        <v>0.22013938956981494</v>
      </c>
      <c r="AE251" s="390">
        <f t="shared" si="2160"/>
        <v>0.19060486385366859</v>
      </c>
      <c r="AF251" s="390">
        <f t="shared" si="2161"/>
        <v>0.16124785346307946</v>
      </c>
      <c r="AG251" s="390"/>
      <c r="AH251" s="390">
        <f t="shared" si="2179"/>
        <v>0.1178167295318393</v>
      </c>
      <c r="AI251" s="390">
        <f t="shared" si="2162"/>
        <v>0.14673366834170865</v>
      </c>
      <c r="AJ251" s="390">
        <f t="shared" si="2163"/>
        <v>0.21843608430175299</v>
      </c>
      <c r="AK251" s="390">
        <f t="shared" si="2164"/>
        <v>0.19116620111731852</v>
      </c>
      <c r="AL251" s="390">
        <f t="shared" si="2165"/>
        <v>0.17079903386405082</v>
      </c>
      <c r="AM251" s="390"/>
      <c r="AN251" s="390">
        <f t="shared" si="2180"/>
        <v>0.24136562127828509</v>
      </c>
      <c r="AO251" s="390">
        <f t="shared" si="2166"/>
        <v>0.2653812445223489</v>
      </c>
      <c r="AP251" s="390">
        <f t="shared" si="2167"/>
        <v>0.10879405108309093</v>
      </c>
      <c r="AQ251" s="390">
        <f t="shared" si="2168"/>
        <v>0.12399237871903845</v>
      </c>
      <c r="AR251" s="390">
        <f t="shared" si="2169"/>
        <v>0.1788901987201077</v>
      </c>
      <c r="AS251" s="390"/>
      <c r="AT251" s="390">
        <f t="shared" si="2181"/>
        <v>6.8276303165973884E-2</v>
      </c>
      <c r="AU251" s="390">
        <f t="shared" si="2170"/>
        <v>1.6345754259592837E-2</v>
      </c>
      <c r="AV251" s="392">
        <f t="shared" si="2171"/>
        <v>4.7820381979880366E-2</v>
      </c>
      <c r="AW251" s="390"/>
      <c r="AX251" s="155"/>
      <c r="AY251" s="155"/>
      <c r="AZ251" s="155"/>
      <c r="BA251" s="155"/>
      <c r="BB251" s="155"/>
      <c r="BC251" s="155"/>
      <c r="BD251" s="155"/>
      <c r="BE251" s="155"/>
      <c r="BF251" s="155"/>
      <c r="BG251" s="155"/>
      <c r="BH251" s="155"/>
      <c r="BI251" s="155"/>
      <c r="BJ251" s="155"/>
      <c r="BK251" s="155"/>
      <c r="BL251" s="155"/>
      <c r="BM251" s="155"/>
      <c r="BN251" s="155"/>
      <c r="BO251" s="155"/>
      <c r="BP251" s="155"/>
      <c r="BQ251" s="155"/>
      <c r="BR251" s="155"/>
      <c r="BS251" s="155"/>
      <c r="BT251" s="155"/>
      <c r="BU251" s="155"/>
      <c r="BV251" s="155"/>
      <c r="BW251" s="155"/>
      <c r="BX251" s="155"/>
      <c r="BY251" s="155"/>
      <c r="BZ251" s="155"/>
      <c r="CA251" s="155"/>
      <c r="CB251" s="155"/>
      <c r="CC251" s="155"/>
      <c r="CD251" s="155"/>
      <c r="CE251" s="155"/>
      <c r="CF251" s="155"/>
      <c r="CG251" s="155"/>
      <c r="CH251" s="155"/>
      <c r="CI251" s="155"/>
      <c r="CJ251" s="155"/>
      <c r="CK251" s="155"/>
      <c r="CL251" s="155"/>
      <c r="CM251" s="155"/>
      <c r="CN251" s="155"/>
      <c r="CO251" s="379"/>
    </row>
    <row r="252" spans="2:93" s="137" customFormat="1" ht="18" customHeight="1" x14ac:dyDescent="0.25">
      <c r="B252" s="136"/>
      <c r="C252" s="136"/>
      <c r="D252" s="136"/>
      <c r="E252" s="136"/>
      <c r="F252" s="136"/>
      <c r="G252" s="136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  <c r="AA252" s="136"/>
      <c r="AB252" s="136"/>
      <c r="AC252" s="136"/>
      <c r="AD252" s="136"/>
      <c r="AE252" s="136"/>
      <c r="AF252" s="136"/>
      <c r="AG252" s="136"/>
      <c r="AH252" s="136"/>
      <c r="AI252" s="136"/>
      <c r="AJ252" s="136"/>
      <c r="AK252" s="136"/>
      <c r="AL252" s="136"/>
      <c r="AM252" s="136"/>
      <c r="AN252" s="136"/>
      <c r="AO252" s="136"/>
      <c r="AP252" s="136"/>
      <c r="AQ252" s="136"/>
      <c r="AR252" s="136"/>
      <c r="AS252" s="136"/>
      <c r="AT252" s="136"/>
      <c r="AU252" s="136"/>
      <c r="AV252" s="397"/>
      <c r="AW252" s="136"/>
      <c r="AX252" s="136"/>
      <c r="AY252" s="136"/>
      <c r="AZ252" s="136"/>
      <c r="BA252" s="136"/>
      <c r="BB252" s="136"/>
      <c r="BC252" s="136"/>
      <c r="BD252" s="136"/>
      <c r="BE252" s="136"/>
      <c r="BF252" s="136"/>
      <c r="BG252" s="136"/>
      <c r="BH252" s="136"/>
      <c r="BI252" s="136"/>
      <c r="BJ252" s="136"/>
      <c r="BK252" s="136"/>
      <c r="BL252" s="136"/>
      <c r="BM252" s="136"/>
      <c r="BN252" s="136"/>
      <c r="BO252" s="136"/>
      <c r="BP252" s="136"/>
      <c r="BQ252" s="136"/>
      <c r="BR252" s="136"/>
      <c r="BS252" s="136"/>
      <c r="BT252" s="136"/>
      <c r="BU252" s="136"/>
      <c r="BV252" s="136"/>
      <c r="BW252" s="136"/>
      <c r="BX252" s="136"/>
      <c r="BY252" s="136"/>
      <c r="BZ252" s="136"/>
      <c r="CA252" s="136"/>
      <c r="CB252" s="136"/>
      <c r="CC252" s="136"/>
      <c r="CD252" s="136"/>
      <c r="CE252" s="136"/>
      <c r="CF252" s="136"/>
      <c r="CG252" s="136"/>
      <c r="CH252" s="136"/>
      <c r="CI252" s="136"/>
      <c r="CJ252" s="136"/>
      <c r="CK252" s="136"/>
      <c r="CL252" s="136"/>
      <c r="CM252" s="136"/>
      <c r="CN252" s="136"/>
      <c r="CO252" s="379"/>
    </row>
    <row r="253" spans="2:93" s="137" customFormat="1" ht="18" customHeight="1" x14ac:dyDescent="0.25">
      <c r="B253" s="386" t="s">
        <v>391</v>
      </c>
      <c r="D253" s="379"/>
      <c r="E253" s="379"/>
      <c r="F253" s="379"/>
      <c r="G253" s="379"/>
      <c r="H253" s="379"/>
      <c r="J253" s="246"/>
      <c r="K253" s="246"/>
      <c r="L253" s="246"/>
      <c r="M253" s="246"/>
      <c r="N253" s="246"/>
      <c r="O253" s="246"/>
      <c r="P253" s="246"/>
      <c r="Q253" s="246"/>
      <c r="R253" s="246"/>
      <c r="S253" s="246"/>
      <c r="T253" s="246"/>
      <c r="U253" s="246"/>
      <c r="V253" s="246"/>
      <c r="W253" s="246"/>
      <c r="X253" s="246"/>
      <c r="Y253" s="246"/>
      <c r="Z253" s="246"/>
      <c r="AA253" s="246"/>
      <c r="AB253" s="246"/>
      <c r="AC253" s="246"/>
      <c r="AD253" s="246"/>
      <c r="AE253" s="246"/>
      <c r="AF253" s="246"/>
      <c r="AG253" s="246"/>
      <c r="AH253" s="246"/>
      <c r="AI253" s="246"/>
      <c r="AJ253" s="246"/>
      <c r="AK253" s="246"/>
      <c r="AL253" s="246"/>
      <c r="AM253" s="246"/>
      <c r="AN253" s="246"/>
      <c r="AO253" s="246"/>
      <c r="AP253" s="246"/>
      <c r="AQ253" s="246"/>
      <c r="AR253" s="246"/>
      <c r="AS253" s="246"/>
      <c r="AT253" s="246"/>
      <c r="AU253" s="246"/>
      <c r="AV253" s="265"/>
      <c r="AW253" s="246"/>
      <c r="AX253" s="246"/>
      <c r="AY253" s="379"/>
      <c r="AZ253" s="246"/>
      <c r="BA253" s="246"/>
      <c r="BB253" s="246"/>
      <c r="BC253" s="246"/>
      <c r="BD253" s="246"/>
      <c r="BE253" s="379"/>
      <c r="BF253" s="246"/>
      <c r="BG253" s="246"/>
      <c r="BH253" s="246"/>
      <c r="BI253" s="246"/>
      <c r="BJ253" s="246"/>
      <c r="BK253" s="379"/>
      <c r="BL253" s="246"/>
      <c r="BM253" s="246"/>
      <c r="BN253" s="246"/>
      <c r="BO253" s="246"/>
      <c r="BP253" s="246"/>
      <c r="BQ253" s="379"/>
      <c r="BR253" s="246"/>
      <c r="BS253" s="246"/>
      <c r="BT253" s="246"/>
      <c r="BU253" s="246"/>
      <c r="BV253" s="246"/>
      <c r="BW253" s="379"/>
      <c r="BX253" s="246"/>
      <c r="BY253" s="246"/>
      <c r="BZ253" s="246"/>
      <c r="CA253" s="246"/>
      <c r="CB253" s="246"/>
      <c r="CC253" s="379"/>
      <c r="CD253" s="246"/>
      <c r="CE253" s="246"/>
      <c r="CF253" s="246"/>
      <c r="CG253" s="246"/>
      <c r="CH253" s="246"/>
      <c r="CI253" s="379"/>
      <c r="CJ253" s="246"/>
      <c r="CK253" s="246"/>
      <c r="CL253" s="246"/>
      <c r="CM253" s="246"/>
      <c r="CN253" s="246"/>
      <c r="CO253" s="379"/>
    </row>
    <row r="254" spans="2:93" s="137" customFormat="1" ht="18" customHeight="1" x14ac:dyDescent="0.25">
      <c r="B254" s="31" t="s">
        <v>386</v>
      </c>
      <c r="D254" s="67">
        <f>D237/D$242</f>
        <v>0.19559961315280464</v>
      </c>
      <c r="E254" s="67">
        <f t="shared" ref="E254:H254" si="2186">E237/E$242</f>
        <v>0.22084731543624161</v>
      </c>
      <c r="F254" s="67">
        <f t="shared" si="2186"/>
        <v>0.2201322860686234</v>
      </c>
      <c r="G254" s="67">
        <f t="shared" si="2186"/>
        <v>0.2654255319148936</v>
      </c>
      <c r="H254" s="67">
        <f t="shared" si="2186"/>
        <v>0.228253018264369</v>
      </c>
      <c r="J254" s="67">
        <f>J237/J$242</f>
        <v>0.23280321900747269</v>
      </c>
      <c r="K254" s="67">
        <f t="shared" ref="K254:N254" si="2187">K237/K$242</f>
        <v>0.25628930817610063</v>
      </c>
      <c r="L254" s="67">
        <f t="shared" si="2187"/>
        <v>0.24518451845184519</v>
      </c>
      <c r="M254" s="67">
        <f t="shared" si="2187"/>
        <v>0.27342134563384762</v>
      </c>
      <c r="N254" s="67">
        <f t="shared" si="2187"/>
        <v>0.25292955892034236</v>
      </c>
      <c r="O254" s="67"/>
      <c r="P254" s="67">
        <f>P237/P$242</f>
        <v>0.21708253358925145</v>
      </c>
      <c r="Q254" s="67">
        <f t="shared" ref="Q254:T254" si="2188">Q237/Q$242</f>
        <v>0.23787823550856727</v>
      </c>
      <c r="R254" s="67">
        <f t="shared" si="2188"/>
        <v>0.2285399853264857</v>
      </c>
      <c r="S254" s="67">
        <f t="shared" si="2188"/>
        <v>0.25600941334678096</v>
      </c>
      <c r="T254" s="67">
        <f t="shared" si="2188"/>
        <v>0.23555233742136941</v>
      </c>
      <c r="U254" s="67"/>
      <c r="V254" s="67">
        <f>V237/V$242</f>
        <v>0.19797654633249023</v>
      </c>
      <c r="W254" s="67">
        <f t="shared" ref="W254:Z254" si="2189">W237/W$242</f>
        <v>0.247529525186792</v>
      </c>
      <c r="X254" s="67">
        <f t="shared" si="2189"/>
        <v>0.17639990386926219</v>
      </c>
      <c r="Y254" s="67">
        <f t="shared" si="2189"/>
        <v>0.22427769694450217</v>
      </c>
      <c r="Z254" s="67">
        <f t="shared" si="2189"/>
        <v>0.21184888380080139</v>
      </c>
      <c r="AA254" s="67"/>
      <c r="AB254" s="67">
        <f>AB237/AB$242</f>
        <v>0.2030175282893277</v>
      </c>
      <c r="AC254" s="67">
        <f t="shared" ref="AC254:AF254" si="2190">AC237/AC$242</f>
        <v>0.2285427135678392</v>
      </c>
      <c r="AD254" s="67">
        <f t="shared" si="2190"/>
        <v>0.21429978333661612</v>
      </c>
      <c r="AE254" s="67">
        <f t="shared" si="2190"/>
        <v>0.23044692737430167</v>
      </c>
      <c r="AF254" s="67">
        <f t="shared" si="2190"/>
        <v>0.21984522107753734</v>
      </c>
      <c r="AG254" s="67"/>
      <c r="AH254" s="67">
        <f>AH237/AH$242</f>
        <v>0.18816990869392616</v>
      </c>
      <c r="AI254" s="67">
        <f t="shared" ref="AI254:AL254" si="2191">AI237/AI$242</f>
        <v>0.21595092024539878</v>
      </c>
      <c r="AJ254" s="67">
        <f t="shared" si="2191"/>
        <v>0.21387002909796315</v>
      </c>
      <c r="AK254" s="67">
        <f t="shared" si="2191"/>
        <v>0.26777077531877475</v>
      </c>
      <c r="AL254" s="67">
        <f t="shared" si="2191"/>
        <v>0.22440215560794879</v>
      </c>
      <c r="AM254" s="67"/>
      <c r="AN254" s="67">
        <f>AN237/AN$242</f>
        <v>0.21010553245922609</v>
      </c>
      <c r="AO254" s="67">
        <f t="shared" ref="AO254:AR254" si="2192">AO237/AO$242</f>
        <v>0.24380108048206123</v>
      </c>
      <c r="AP254" s="67">
        <f t="shared" si="2192"/>
        <v>0.2430383437818924</v>
      </c>
      <c r="AQ254" s="67">
        <f t="shared" si="2192"/>
        <v>0.29299778328334852</v>
      </c>
      <c r="AR254" s="67">
        <f t="shared" si="2192"/>
        <v>0.24956251562444198</v>
      </c>
      <c r="AS254" s="67"/>
      <c r="AT254" s="67">
        <f>AT237/AT$242</f>
        <v>0.23469540487950905</v>
      </c>
      <c r="AU254" s="67">
        <f t="shared" ref="AU254:AV254" si="2193">AU237/AU$242</f>
        <v>0.24928444868474853</v>
      </c>
      <c r="AV254" s="264">
        <f t="shared" si="2193"/>
        <v>0.23041602894114374</v>
      </c>
      <c r="AW254" s="67"/>
      <c r="AX254" s="67"/>
      <c r="AY254" s="67"/>
      <c r="AZ254" s="67"/>
      <c r="BA254" s="67"/>
      <c r="BB254" s="67"/>
      <c r="BC254" s="67"/>
      <c r="BD254" s="67"/>
      <c r="BE254" s="67"/>
      <c r="BF254" s="67"/>
      <c r="BG254" s="67"/>
      <c r="BH254" s="67"/>
      <c r="BI254" s="67"/>
      <c r="BJ254" s="67"/>
      <c r="BK254" s="67"/>
      <c r="BL254" s="67"/>
      <c r="BM254" s="67"/>
      <c r="BN254" s="67"/>
      <c r="BO254" s="67"/>
      <c r="BP254" s="67"/>
      <c r="BQ254" s="67"/>
      <c r="BR254" s="67"/>
      <c r="BS254" s="67"/>
      <c r="BT254" s="67"/>
      <c r="BU254" s="67"/>
      <c r="BV254" s="67"/>
      <c r="BW254" s="67"/>
      <c r="BX254" s="67"/>
      <c r="BY254" s="67"/>
      <c r="BZ254" s="67"/>
      <c r="CA254" s="67"/>
      <c r="CB254" s="67"/>
      <c r="CC254" s="67"/>
      <c r="CD254" s="67"/>
      <c r="CE254" s="67"/>
      <c r="CF254" s="67"/>
      <c r="CG254" s="67"/>
      <c r="CH254" s="67"/>
      <c r="CI254" s="67"/>
      <c r="CJ254" s="67"/>
      <c r="CK254" s="67"/>
      <c r="CL254" s="67"/>
      <c r="CM254" s="67"/>
      <c r="CN254" s="67"/>
      <c r="CO254" s="239"/>
    </row>
    <row r="255" spans="2:93" s="137" customFormat="1" ht="18" customHeight="1" x14ac:dyDescent="0.25">
      <c r="B255" s="31" t="s">
        <v>387</v>
      </c>
      <c r="D255" s="67">
        <f t="shared" ref="D255:H255" si="2194">D238/D$242</f>
        <v>0.17311411992263057</v>
      </c>
      <c r="E255" s="67">
        <f t="shared" si="2194"/>
        <v>0.18393456375838926</v>
      </c>
      <c r="F255" s="67">
        <f t="shared" si="2194"/>
        <v>0.18561389003720546</v>
      </c>
      <c r="G255" s="67">
        <f t="shared" si="2194"/>
        <v>0.18794326241134751</v>
      </c>
      <c r="H255" s="67">
        <f t="shared" si="2194"/>
        <v>0.18321122691156744</v>
      </c>
      <c r="J255" s="67">
        <f t="shared" ref="J255:N255" si="2195">J238/J$242</f>
        <v>0.18566775244299674</v>
      </c>
      <c r="K255" s="67">
        <f t="shared" si="2195"/>
        <v>0.17330538085255065</v>
      </c>
      <c r="L255" s="67">
        <f t="shared" si="2195"/>
        <v>0.19837983798379838</v>
      </c>
      <c r="M255" s="67">
        <f t="shared" si="2195"/>
        <v>0.20216319389215842</v>
      </c>
      <c r="N255" s="67">
        <f t="shared" si="2195"/>
        <v>0.1902128593372833</v>
      </c>
      <c r="O255" s="67"/>
      <c r="P255" s="67">
        <f t="shared" ref="P255:T255" si="2196">P238/P$242</f>
        <v>0.19884836852207294</v>
      </c>
      <c r="Q255" s="67">
        <f t="shared" si="2196"/>
        <v>0.18611009843237331</v>
      </c>
      <c r="R255" s="67">
        <f t="shared" si="2196"/>
        <v>0.20597945707997065</v>
      </c>
      <c r="S255" s="67">
        <f t="shared" si="2196"/>
        <v>0.21751554883173643</v>
      </c>
      <c r="T255" s="67">
        <f t="shared" si="2196"/>
        <v>0.20247092365479477</v>
      </c>
      <c r="U255" s="67"/>
      <c r="V255" s="67">
        <f t="shared" ref="V255:Z255" si="2197">V238/V$242</f>
        <v>0.19636698091515292</v>
      </c>
      <c r="W255" s="67">
        <f t="shared" si="2197"/>
        <v>0.21571463003133284</v>
      </c>
      <c r="X255" s="67">
        <f t="shared" si="2197"/>
        <v>0.24849795722182166</v>
      </c>
      <c r="Y255" s="67">
        <f t="shared" si="2197"/>
        <v>0.24527125337767616</v>
      </c>
      <c r="Z255" s="67">
        <f t="shared" si="2197"/>
        <v>0.22684602175157412</v>
      </c>
      <c r="AA255" s="67"/>
      <c r="AB255" s="67">
        <f t="shared" ref="AB255:AF255" si="2198">AB238/AB$242</f>
        <v>0.21366762813401374</v>
      </c>
      <c r="AC255" s="67">
        <f t="shared" si="2198"/>
        <v>0.2114572864321608</v>
      </c>
      <c r="AD255" s="67">
        <f t="shared" si="2198"/>
        <v>0.19893637975182193</v>
      </c>
      <c r="AE255" s="67">
        <f t="shared" si="2198"/>
        <v>0.22119413407821228</v>
      </c>
      <c r="AF255" s="67">
        <f t="shared" si="2198"/>
        <v>0.21156405579928034</v>
      </c>
      <c r="AG255" s="67"/>
      <c r="AH255" s="67">
        <f t="shared" ref="AH255:AL255" si="2199">AH238/AH$242</f>
        <v>0.20087336244541484</v>
      </c>
      <c r="AI255" s="67">
        <f t="shared" si="2199"/>
        <v>0.20788781770376863</v>
      </c>
      <c r="AJ255" s="67">
        <f t="shared" si="2199"/>
        <v>0.2133850630455868</v>
      </c>
      <c r="AK255" s="67">
        <f t="shared" si="2199"/>
        <v>0.20841272167668182</v>
      </c>
      <c r="AL255" s="67">
        <f t="shared" si="2199"/>
        <v>0.20798248568541597</v>
      </c>
      <c r="AM255" s="67"/>
      <c r="AN255" s="67">
        <f t="shared" ref="AN255:AR255" si="2200">AN238/AN$242</f>
        <v>0.20530860249440358</v>
      </c>
      <c r="AO255" s="67">
        <f t="shared" si="2200"/>
        <v>0.22787089624601745</v>
      </c>
      <c r="AP255" s="67">
        <f t="shared" si="2200"/>
        <v>0.23297856830441754</v>
      </c>
      <c r="AQ255" s="67">
        <f t="shared" si="2200"/>
        <v>0.23927500325987744</v>
      </c>
      <c r="AR255" s="67">
        <f t="shared" si="2200"/>
        <v>0.22720617120817113</v>
      </c>
      <c r="AS255" s="67"/>
      <c r="AT255" s="67">
        <f t="shared" ref="AT255:AV255" si="2201">AT238/AT$242</f>
        <v>0.24217931447388116</v>
      </c>
      <c r="AU255" s="67">
        <f t="shared" si="2201"/>
        <v>0.25691699604743085</v>
      </c>
      <c r="AV255" s="264">
        <f t="shared" si="2201"/>
        <v>0.27981076944483096</v>
      </c>
      <c r="AW255" s="67"/>
      <c r="AX255" s="67"/>
      <c r="AY255" s="67"/>
      <c r="AZ255" s="67"/>
      <c r="BA255" s="67"/>
      <c r="BB255" s="67"/>
      <c r="BC255" s="67"/>
      <c r="BD255" s="67"/>
      <c r="BE255" s="67"/>
      <c r="BF255" s="67"/>
      <c r="BG255" s="67"/>
      <c r="BH255" s="67"/>
      <c r="BI255" s="67"/>
      <c r="BJ255" s="67"/>
      <c r="BK255" s="67"/>
      <c r="BL255" s="67"/>
      <c r="BM255" s="67"/>
      <c r="BN255" s="67"/>
      <c r="BO255" s="67"/>
      <c r="BP255" s="67"/>
      <c r="BQ255" s="67"/>
      <c r="BR255" s="67"/>
      <c r="BS255" s="67"/>
      <c r="BT255" s="67"/>
      <c r="BU255" s="67"/>
      <c r="BV255" s="67"/>
      <c r="BW255" s="67"/>
      <c r="BX255" s="67"/>
      <c r="BY255" s="67"/>
      <c r="BZ255" s="67"/>
      <c r="CA255" s="67"/>
      <c r="CB255" s="67"/>
      <c r="CC255" s="67"/>
      <c r="CD255" s="67"/>
      <c r="CE255" s="67"/>
      <c r="CF255" s="67"/>
      <c r="CG255" s="67"/>
      <c r="CH255" s="67"/>
      <c r="CI255" s="67"/>
      <c r="CJ255" s="67"/>
      <c r="CK255" s="67"/>
      <c r="CL255" s="67"/>
      <c r="CM255" s="67"/>
      <c r="CN255" s="67"/>
      <c r="CO255" s="239"/>
    </row>
    <row r="256" spans="2:93" s="137" customFormat="1" ht="18" customHeight="1" x14ac:dyDescent="0.25">
      <c r="B256" s="31" t="s">
        <v>388</v>
      </c>
      <c r="D256" s="67">
        <f t="shared" ref="D256:H256" si="2202">D239/D$242</f>
        <v>0.18786266924564796</v>
      </c>
      <c r="E256" s="67">
        <f t="shared" si="2202"/>
        <v>0.18540268456375839</v>
      </c>
      <c r="F256" s="67">
        <f t="shared" si="2202"/>
        <v>0.18292682926829268</v>
      </c>
      <c r="G256" s="67">
        <f t="shared" si="2202"/>
        <v>0.15939716312056737</v>
      </c>
      <c r="H256" s="67">
        <f t="shared" si="2202"/>
        <v>0.17774223506346093</v>
      </c>
      <c r="J256" s="67">
        <f t="shared" ref="J256:N256" si="2203">J239/J$242</f>
        <v>0.17359647442038706</v>
      </c>
      <c r="K256" s="67">
        <f t="shared" si="2203"/>
        <v>0.16928721174004194</v>
      </c>
      <c r="L256" s="67">
        <f t="shared" si="2203"/>
        <v>0.15535553555355536</v>
      </c>
      <c r="M256" s="67">
        <f t="shared" si="2203"/>
        <v>0.14347065372991888</v>
      </c>
      <c r="N256" s="67">
        <f t="shared" si="2203"/>
        <v>0.1597542242703533</v>
      </c>
      <c r="O256" s="67"/>
      <c r="P256" s="67">
        <f t="shared" ref="P256:T256" si="2204">P239/P$242</f>
        <v>0.17351247600767755</v>
      </c>
      <c r="Q256" s="67">
        <f t="shared" si="2204"/>
        <v>0.17444403937294933</v>
      </c>
      <c r="R256" s="67">
        <f t="shared" si="2204"/>
        <v>0.17975055025678649</v>
      </c>
      <c r="S256" s="67">
        <f t="shared" si="2204"/>
        <v>0.1526306942343251</v>
      </c>
      <c r="T256" s="67">
        <f t="shared" si="2204"/>
        <v>0.16966103996017559</v>
      </c>
      <c r="U256" s="67"/>
      <c r="V256" s="67">
        <f t="shared" ref="V256:Z256" si="2205">V239/V$242</f>
        <v>0.18418027132674178</v>
      </c>
      <c r="W256" s="67">
        <f t="shared" si="2205"/>
        <v>0.16341287057122197</v>
      </c>
      <c r="X256" s="67">
        <f t="shared" si="2205"/>
        <v>0.17543859649122806</v>
      </c>
      <c r="Y256" s="67">
        <f t="shared" si="2205"/>
        <v>0.15298274786946581</v>
      </c>
      <c r="Z256" s="67">
        <f t="shared" si="2205"/>
        <v>0.16857469948483114</v>
      </c>
      <c r="AA256" s="67"/>
      <c r="AB256" s="67">
        <f t="shared" ref="AB256:AF256" si="2206">AB239/AB$242</f>
        <v>0.18038606611936986</v>
      </c>
      <c r="AC256" s="67">
        <f t="shared" si="2206"/>
        <v>0.1807035175879397</v>
      </c>
      <c r="AD256" s="67">
        <f t="shared" si="2206"/>
        <v>0.18672444356903684</v>
      </c>
      <c r="AE256" s="67">
        <f t="shared" si="2206"/>
        <v>0.16620111731843576</v>
      </c>
      <c r="AF256" s="67">
        <f t="shared" si="2206"/>
        <v>0.17804505348252575</v>
      </c>
      <c r="AG256" s="67"/>
      <c r="AH256" s="67">
        <f t="shared" ref="AH256:AL256" si="2207">AH239/AH$242</f>
        <v>0.20246129416435094</v>
      </c>
      <c r="AI256" s="67">
        <f t="shared" si="2207"/>
        <v>0.1957931638913234</v>
      </c>
      <c r="AJ256" s="67">
        <f t="shared" si="2207"/>
        <v>0.18719689621726479</v>
      </c>
      <c r="AK256" s="67">
        <f t="shared" si="2207"/>
        <v>0.16576286091162246</v>
      </c>
      <c r="AL256" s="67">
        <f t="shared" si="2207"/>
        <v>0.18634220276187269</v>
      </c>
      <c r="AM256" s="67"/>
      <c r="AN256" s="67">
        <f t="shared" ref="AN256:AR256" si="2208">AN239/AN$242</f>
        <v>0.20067157019507514</v>
      </c>
      <c r="AO256" s="67">
        <f t="shared" si="2208"/>
        <v>0.18257376367917993</v>
      </c>
      <c r="AP256" s="67">
        <f t="shared" si="2208"/>
        <v>0.17786849394955534</v>
      </c>
      <c r="AQ256" s="67">
        <f t="shared" si="2208"/>
        <v>0.14056591472160646</v>
      </c>
      <c r="AR256" s="67">
        <f t="shared" si="2208"/>
        <v>0.17395807292596693</v>
      </c>
      <c r="AS256" s="67"/>
      <c r="AT256" s="67">
        <f t="shared" ref="AT256:AV256" si="2209">AT239/AT$242</f>
        <v>0.14803173177668014</v>
      </c>
      <c r="AU256" s="67">
        <f t="shared" si="2209"/>
        <v>0.14242878560719641</v>
      </c>
      <c r="AV256" s="264">
        <f t="shared" si="2209"/>
        <v>0.14303603728955058</v>
      </c>
      <c r="AW256" s="67"/>
      <c r="AX256" s="67"/>
      <c r="AY256" s="67"/>
      <c r="AZ256" s="67"/>
      <c r="BA256" s="67"/>
      <c r="BB256" s="67"/>
      <c r="BC256" s="67"/>
      <c r="BD256" s="67"/>
      <c r="BE256" s="67"/>
      <c r="BF256" s="67"/>
      <c r="BG256" s="67"/>
      <c r="BH256" s="67"/>
      <c r="BI256" s="67"/>
      <c r="BJ256" s="67"/>
      <c r="BK256" s="67"/>
      <c r="BL256" s="67"/>
      <c r="BM256" s="67"/>
      <c r="BN256" s="67"/>
      <c r="BO256" s="67"/>
      <c r="BP256" s="67"/>
      <c r="BQ256" s="67"/>
      <c r="BR256" s="67"/>
      <c r="BS256" s="67"/>
      <c r="BT256" s="67"/>
      <c r="BU256" s="67"/>
      <c r="BV256" s="67"/>
      <c r="BW256" s="67"/>
      <c r="BX256" s="67"/>
      <c r="BY256" s="67"/>
      <c r="BZ256" s="67"/>
      <c r="CA256" s="67"/>
      <c r="CB256" s="67"/>
      <c r="CC256" s="67"/>
      <c r="CD256" s="67"/>
      <c r="CE256" s="67"/>
      <c r="CF256" s="67"/>
      <c r="CG256" s="67"/>
      <c r="CH256" s="67"/>
      <c r="CI256" s="67"/>
      <c r="CJ256" s="67"/>
      <c r="CK256" s="67"/>
      <c r="CL256" s="67"/>
      <c r="CM256" s="67"/>
      <c r="CN256" s="67"/>
      <c r="CO256" s="239"/>
    </row>
    <row r="257" spans="1:93" s="137" customFormat="1" ht="18" customHeight="1" x14ac:dyDescent="0.25">
      <c r="B257" s="31" t="s">
        <v>389</v>
      </c>
      <c r="D257" s="67">
        <f t="shared" ref="D257:H257" si="2210">D240/D$242</f>
        <v>0.25483558994197292</v>
      </c>
      <c r="E257" s="67">
        <f t="shared" si="2210"/>
        <v>0.23636744966442952</v>
      </c>
      <c r="F257" s="67">
        <f t="shared" si="2210"/>
        <v>0.23005374121537825</v>
      </c>
      <c r="G257" s="67">
        <f t="shared" si="2210"/>
        <v>0.22163120567375885</v>
      </c>
      <c r="H257" s="67">
        <f t="shared" si="2210"/>
        <v>0.23444432979052729</v>
      </c>
      <c r="J257" s="67">
        <f t="shared" ref="J257:N257" si="2211">J240/J$242</f>
        <v>0.22724659896531901</v>
      </c>
      <c r="K257" s="67">
        <f t="shared" si="2211"/>
        <v>0.22466806429070579</v>
      </c>
      <c r="L257" s="67">
        <f t="shared" si="2211"/>
        <v>0.22502250225022502</v>
      </c>
      <c r="M257" s="67">
        <f t="shared" si="2211"/>
        <v>0.21838714808334658</v>
      </c>
      <c r="N257" s="67">
        <f t="shared" si="2211"/>
        <v>0.22361202545534342</v>
      </c>
      <c r="O257" s="67"/>
      <c r="P257" s="67">
        <f t="shared" ref="P257:T257" si="2212">P240/P$242</f>
        <v>0.22303262955854128</v>
      </c>
      <c r="Q257" s="67">
        <f t="shared" si="2212"/>
        <v>0.22621217644914327</v>
      </c>
      <c r="R257" s="67">
        <f t="shared" si="2212"/>
        <v>0.22248716067498167</v>
      </c>
      <c r="S257" s="67">
        <f t="shared" si="2212"/>
        <v>0.24222558413178685</v>
      </c>
      <c r="T257" s="67">
        <f t="shared" si="2212"/>
        <v>0.22885459564646785</v>
      </c>
      <c r="U257" s="67"/>
      <c r="V257" s="67">
        <f t="shared" ref="V257:Z257" si="2213">V240/V$242</f>
        <v>0.25339158427224651</v>
      </c>
      <c r="W257" s="67">
        <f t="shared" si="2213"/>
        <v>0.22680163894914437</v>
      </c>
      <c r="X257" s="67">
        <f t="shared" si="2213"/>
        <v>0.23479932708483536</v>
      </c>
      <c r="Y257" s="67">
        <f t="shared" si="2213"/>
        <v>0.21513198919143628</v>
      </c>
      <c r="Z257" s="67">
        <f t="shared" si="2213"/>
        <v>0.23211219232970806</v>
      </c>
      <c r="AA257" s="67"/>
      <c r="AB257" s="67">
        <f t="shared" ref="AB257:AF257" si="2214">AB240/AB$242</f>
        <v>0.21455513645440427</v>
      </c>
      <c r="AC257" s="67">
        <f t="shared" si="2214"/>
        <v>0.20743718592964824</v>
      </c>
      <c r="AD257" s="67">
        <f t="shared" si="2214"/>
        <v>0.21567855032499508</v>
      </c>
      <c r="AE257" s="67">
        <f t="shared" si="2214"/>
        <v>0.21159217877094971</v>
      </c>
      <c r="AF257" s="67">
        <f t="shared" si="2214"/>
        <v>0.21225415290580174</v>
      </c>
      <c r="AG257" s="67"/>
      <c r="AH257" s="67">
        <f t="shared" ref="AH257:AL257" si="2215">AH240/AH$242</f>
        <v>0.20881302104009528</v>
      </c>
      <c r="AI257" s="67">
        <f t="shared" si="2215"/>
        <v>0.19368974583698509</v>
      </c>
      <c r="AJ257" s="67">
        <f t="shared" si="2215"/>
        <v>0.19333979954736502</v>
      </c>
      <c r="AK257" s="67">
        <f t="shared" si="2215"/>
        <v>0.18877326689139676</v>
      </c>
      <c r="AL257" s="67">
        <f t="shared" si="2215"/>
        <v>0.1953940720781408</v>
      </c>
      <c r="AM257" s="67"/>
      <c r="AN257" s="67">
        <f t="shared" ref="AN257:AR257" si="2216">AN240/AN$242</f>
        <v>0.1921969939238887</v>
      </c>
      <c r="AO257" s="67">
        <f t="shared" si="2216"/>
        <v>0.17093780301980885</v>
      </c>
      <c r="AP257" s="67">
        <f t="shared" si="2216"/>
        <v>0.18515818632453709</v>
      </c>
      <c r="AQ257" s="67">
        <f t="shared" si="2216"/>
        <v>0.18620419872212804</v>
      </c>
      <c r="AR257" s="67">
        <f t="shared" si="2216"/>
        <v>0.18335059462162065</v>
      </c>
      <c r="AS257" s="67"/>
      <c r="AT257" s="67">
        <f t="shared" ref="AT257:AV257" si="2217">AT240/AT$242</f>
        <v>0.19637778775632389</v>
      </c>
      <c r="AU257" s="67">
        <f t="shared" si="2217"/>
        <v>0.18004634046613058</v>
      </c>
      <c r="AV257" s="264">
        <f t="shared" si="2217"/>
        <v>0.18227354946431057</v>
      </c>
      <c r="AW257" s="67"/>
      <c r="AX257" s="67"/>
      <c r="AY257" s="67"/>
      <c r="AZ257" s="67"/>
      <c r="BA257" s="67"/>
      <c r="BB257" s="67"/>
      <c r="BC257" s="67"/>
      <c r="BD257" s="67"/>
      <c r="BE257" s="67"/>
      <c r="BF257" s="67"/>
      <c r="BG257" s="67"/>
      <c r="BH257" s="67"/>
      <c r="BI257" s="67"/>
      <c r="BJ257" s="67"/>
      <c r="BK257" s="67"/>
      <c r="BL257" s="67"/>
      <c r="BM257" s="67"/>
      <c r="BN257" s="67"/>
      <c r="BO257" s="67"/>
      <c r="BP257" s="67"/>
      <c r="BQ257" s="67"/>
      <c r="BR257" s="67"/>
      <c r="BS257" s="67"/>
      <c r="BT257" s="67"/>
      <c r="BU257" s="67"/>
      <c r="BV257" s="67"/>
      <c r="BW257" s="67"/>
      <c r="BX257" s="67"/>
      <c r="BY257" s="67"/>
      <c r="BZ257" s="67"/>
      <c r="CA257" s="67"/>
      <c r="CB257" s="67"/>
      <c r="CC257" s="67"/>
      <c r="CD257" s="67"/>
      <c r="CE257" s="67"/>
      <c r="CF257" s="67"/>
      <c r="CG257" s="67"/>
      <c r="CH257" s="67"/>
      <c r="CI257" s="67"/>
      <c r="CJ257" s="67"/>
      <c r="CK257" s="67"/>
      <c r="CL257" s="67"/>
      <c r="CM257" s="67"/>
      <c r="CN257" s="67"/>
      <c r="CO257" s="239"/>
    </row>
    <row r="258" spans="1:93" s="137" customFormat="1" ht="18" customHeight="1" x14ac:dyDescent="0.25">
      <c r="B258" s="31" t="s">
        <v>378</v>
      </c>
      <c r="C258" s="31"/>
      <c r="D258" s="67">
        <f t="shared" ref="D258:H258" si="2218">D241/D$242</f>
        <v>0.1885880077369439</v>
      </c>
      <c r="E258" s="67">
        <f t="shared" si="2218"/>
        <v>0.17344798657718122</v>
      </c>
      <c r="F258" s="67">
        <f t="shared" si="2218"/>
        <v>0.18127325341050021</v>
      </c>
      <c r="G258" s="67">
        <f t="shared" si="2218"/>
        <v>0.16560283687943261</v>
      </c>
      <c r="H258" s="67">
        <f t="shared" si="2218"/>
        <v>0.17634918997007532</v>
      </c>
      <c r="I258" s="31"/>
      <c r="J258" s="67">
        <f t="shared" ref="J258:N258" si="2219">J241/J$242</f>
        <v>0.18068595516382449</v>
      </c>
      <c r="K258" s="67">
        <f t="shared" si="2219"/>
        <v>0.17645003494060099</v>
      </c>
      <c r="L258" s="67">
        <f t="shared" si="2219"/>
        <v>0.17605760576057605</v>
      </c>
      <c r="M258" s="67">
        <f t="shared" si="2219"/>
        <v>0.16255765866072849</v>
      </c>
      <c r="N258" s="67">
        <f t="shared" si="2219"/>
        <v>0.17349133201667763</v>
      </c>
      <c r="O258" s="390"/>
      <c r="P258" s="67">
        <f t="shared" ref="P258:T258" si="2220">P241/P$242</f>
        <v>0.18752399232245681</v>
      </c>
      <c r="Q258" s="67">
        <f t="shared" si="2220"/>
        <v>0.17535545023696683</v>
      </c>
      <c r="R258" s="67">
        <f t="shared" si="2220"/>
        <v>0.16324284666177549</v>
      </c>
      <c r="S258" s="67">
        <f t="shared" si="2220"/>
        <v>0.13161875945537066</v>
      </c>
      <c r="T258" s="67">
        <f t="shared" si="2220"/>
        <v>0.16346110331719238</v>
      </c>
      <c r="U258" s="390"/>
      <c r="V258" s="67">
        <f t="shared" ref="V258:Z258" si="2221">V241/V$242</f>
        <v>0.16808461715336859</v>
      </c>
      <c r="W258" s="67">
        <f t="shared" si="2221"/>
        <v>0.14654133526150881</v>
      </c>
      <c r="X258" s="67">
        <f t="shared" si="2221"/>
        <v>0.16486421533285267</v>
      </c>
      <c r="Y258" s="67">
        <f t="shared" si="2221"/>
        <v>0.16233631261691955</v>
      </c>
      <c r="Z258" s="67">
        <f t="shared" si="2221"/>
        <v>0.16061820263308529</v>
      </c>
      <c r="AA258" s="390"/>
      <c r="AB258" s="67">
        <f t="shared" ref="AB258:AF258" si="2222">AB241/AB$242</f>
        <v>0.1883736410028844</v>
      </c>
      <c r="AC258" s="67">
        <f t="shared" si="2222"/>
        <v>0.17185929648241205</v>
      </c>
      <c r="AD258" s="67">
        <f t="shared" si="2222"/>
        <v>0.18436084301753003</v>
      </c>
      <c r="AE258" s="67">
        <f t="shared" si="2222"/>
        <v>0.17056564245810055</v>
      </c>
      <c r="AF258" s="67">
        <f t="shared" si="2222"/>
        <v>0.17829151673485483</v>
      </c>
      <c r="AG258" s="390"/>
      <c r="AH258" s="67">
        <f t="shared" ref="AH258:AL258" si="2223">AH241/AH$242</f>
        <v>0.19968241365621278</v>
      </c>
      <c r="AI258" s="67">
        <f t="shared" si="2223"/>
        <v>0.18667835232252411</v>
      </c>
      <c r="AJ258" s="67">
        <f t="shared" si="2223"/>
        <v>0.19220821209182024</v>
      </c>
      <c r="AK258" s="67">
        <f t="shared" si="2223"/>
        <v>0.16928037520152425</v>
      </c>
      <c r="AL258" s="67">
        <f t="shared" si="2223"/>
        <v>0.18587908386662175</v>
      </c>
      <c r="AM258" s="390"/>
      <c r="AN258" s="67">
        <f t="shared" ref="AN258:AR258" si="2224">AN241/AN$242</f>
        <v>0.19171730092740646</v>
      </c>
      <c r="AO258" s="67">
        <f t="shared" si="2224"/>
        <v>0.17481645657293254</v>
      </c>
      <c r="AP258" s="67">
        <f t="shared" si="2224"/>
        <v>0.16095640763959762</v>
      </c>
      <c r="AQ258" s="67">
        <f t="shared" si="2224"/>
        <v>0.14095710001303952</v>
      </c>
      <c r="AR258" s="67">
        <f t="shared" si="2224"/>
        <v>0.1659226456197993</v>
      </c>
      <c r="AS258" s="390"/>
      <c r="AT258" s="67">
        <f t="shared" ref="AT258:AV258" si="2225">AT241/AT$242</f>
        <v>0.17871576111360574</v>
      </c>
      <c r="AU258" s="67">
        <f t="shared" si="2225"/>
        <v>0.17132342919449367</v>
      </c>
      <c r="AV258" s="264">
        <f t="shared" si="2225"/>
        <v>0.1644636148601642</v>
      </c>
      <c r="AW258" s="67"/>
      <c r="AX258" s="67"/>
      <c r="AY258" s="390"/>
      <c r="AZ258" s="67"/>
      <c r="BA258" s="67"/>
      <c r="BB258" s="67"/>
      <c r="BC258" s="67"/>
      <c r="BD258" s="67"/>
      <c r="BE258" s="390"/>
      <c r="BF258" s="67"/>
      <c r="BG258" s="67"/>
      <c r="BH258" s="67"/>
      <c r="BI258" s="67"/>
      <c r="BJ258" s="67"/>
      <c r="BK258" s="390"/>
      <c r="BL258" s="67"/>
      <c r="BM258" s="67"/>
      <c r="BN258" s="67"/>
      <c r="BO258" s="67"/>
      <c r="BP258" s="67"/>
      <c r="BQ258" s="390"/>
      <c r="BR258" s="67"/>
      <c r="BS258" s="67"/>
      <c r="BT258" s="67"/>
      <c r="BU258" s="67"/>
      <c r="BV258" s="67"/>
      <c r="BW258" s="390"/>
      <c r="BX258" s="67"/>
      <c r="BY258" s="67"/>
      <c r="BZ258" s="67"/>
      <c r="CA258" s="67"/>
      <c r="CB258" s="67"/>
      <c r="CC258" s="390"/>
      <c r="CD258" s="67"/>
      <c r="CE258" s="67"/>
      <c r="CF258" s="67"/>
      <c r="CG258" s="67"/>
      <c r="CH258" s="67"/>
      <c r="CI258" s="390"/>
      <c r="CJ258" s="67"/>
      <c r="CK258" s="67"/>
      <c r="CL258" s="67"/>
      <c r="CM258" s="67"/>
      <c r="CN258" s="67"/>
      <c r="CO258" s="239"/>
    </row>
    <row r="259" spans="1:93" s="137" customFormat="1" ht="18" customHeight="1" x14ac:dyDescent="0.25">
      <c r="B259" s="155" t="s">
        <v>384</v>
      </c>
      <c r="C259" s="155"/>
      <c r="D259" s="396">
        <f>SUM(D254:D258)</f>
        <v>1</v>
      </c>
      <c r="E259" s="396">
        <f t="shared" ref="E259" si="2226">SUM(E254:E258)</f>
        <v>1</v>
      </c>
      <c r="F259" s="396">
        <f t="shared" ref="F259" si="2227">SUM(F254:F258)</f>
        <v>1</v>
      </c>
      <c r="G259" s="396">
        <f t="shared" ref="G259" si="2228">SUM(G254:G258)</f>
        <v>1</v>
      </c>
      <c r="H259" s="396">
        <f t="shared" ref="H259" si="2229">SUM(H254:H258)</f>
        <v>1</v>
      </c>
      <c r="I259" s="155"/>
      <c r="J259" s="396">
        <f>SUM(J254:J258)</f>
        <v>1</v>
      </c>
      <c r="K259" s="396">
        <f t="shared" ref="K259" si="2230">SUM(K254:K258)</f>
        <v>0.99999999999999989</v>
      </c>
      <c r="L259" s="396">
        <f t="shared" ref="L259" si="2231">SUM(L254:L258)</f>
        <v>1</v>
      </c>
      <c r="M259" s="396">
        <f t="shared" ref="M259" si="2232">SUM(M254:M258)</f>
        <v>1</v>
      </c>
      <c r="N259" s="396">
        <f t="shared" ref="N259" si="2233">SUM(N254:N258)</f>
        <v>1</v>
      </c>
      <c r="O259" s="396"/>
      <c r="P259" s="396">
        <f>SUM(P254:P258)</f>
        <v>1</v>
      </c>
      <c r="Q259" s="396">
        <f t="shared" ref="Q259" si="2234">SUM(Q254:Q258)</f>
        <v>1</v>
      </c>
      <c r="R259" s="396">
        <f t="shared" ref="R259" si="2235">SUM(R254:R258)</f>
        <v>1</v>
      </c>
      <c r="S259" s="396">
        <f t="shared" ref="S259" si="2236">SUM(S254:S258)</f>
        <v>1</v>
      </c>
      <c r="T259" s="396">
        <f t="shared" ref="T259" si="2237">SUM(T254:T258)</f>
        <v>1</v>
      </c>
      <c r="U259" s="396"/>
      <c r="V259" s="396">
        <f>SUM(V254:V258)</f>
        <v>1</v>
      </c>
      <c r="W259" s="396">
        <f t="shared" ref="W259" si="2238">SUM(W254:W258)</f>
        <v>1</v>
      </c>
      <c r="X259" s="396">
        <f t="shared" ref="X259" si="2239">SUM(X254:X258)</f>
        <v>0.99999999999999989</v>
      </c>
      <c r="Y259" s="396">
        <f t="shared" ref="Y259" si="2240">SUM(Y254:Y258)</f>
        <v>1</v>
      </c>
      <c r="Z259" s="396">
        <f t="shared" ref="Z259" si="2241">SUM(Z254:Z258)</f>
        <v>1</v>
      </c>
      <c r="AA259" s="396"/>
      <c r="AB259" s="396">
        <f>SUM(AB254:AB258)</f>
        <v>1</v>
      </c>
      <c r="AC259" s="396">
        <f t="shared" ref="AC259" si="2242">SUM(AC254:AC258)</f>
        <v>1</v>
      </c>
      <c r="AD259" s="396">
        <f t="shared" ref="AD259" si="2243">SUM(AD254:AD258)</f>
        <v>1</v>
      </c>
      <c r="AE259" s="396">
        <f t="shared" ref="AE259" si="2244">SUM(AE254:AE258)</f>
        <v>1</v>
      </c>
      <c r="AF259" s="396">
        <f t="shared" ref="AF259" si="2245">SUM(AF254:AF258)</f>
        <v>1</v>
      </c>
      <c r="AG259" s="396"/>
      <c r="AH259" s="396">
        <f>SUM(AH254:AH258)</f>
        <v>0.99999999999999989</v>
      </c>
      <c r="AI259" s="396">
        <f t="shared" ref="AI259" si="2246">SUM(AI254:AI258)</f>
        <v>1</v>
      </c>
      <c r="AJ259" s="396">
        <f t="shared" ref="AJ259" si="2247">SUM(AJ254:AJ258)</f>
        <v>1</v>
      </c>
      <c r="AK259" s="396">
        <f t="shared" ref="AK259" si="2248">SUM(AK254:AK258)</f>
        <v>1</v>
      </c>
      <c r="AL259" s="396">
        <f t="shared" ref="AL259" si="2249">SUM(AL254:AL258)</f>
        <v>1</v>
      </c>
      <c r="AM259" s="396"/>
      <c r="AN259" s="396">
        <f>SUM(AN254:AN258)</f>
        <v>0.99999999999999989</v>
      </c>
      <c r="AO259" s="396">
        <f t="shared" ref="AO259" si="2250">SUM(AO254:AO258)</f>
        <v>1</v>
      </c>
      <c r="AP259" s="396">
        <f t="shared" ref="AP259" si="2251">SUM(AP254:AP258)</f>
        <v>0.99999999999999989</v>
      </c>
      <c r="AQ259" s="396">
        <f t="shared" ref="AQ259" si="2252">SUM(AQ254:AQ258)</f>
        <v>1</v>
      </c>
      <c r="AR259" s="396">
        <f t="shared" ref="AR259" si="2253">SUM(AR254:AR258)</f>
        <v>0.99999999999999989</v>
      </c>
      <c r="AS259" s="396"/>
      <c r="AT259" s="396">
        <f>SUM(AT254:AT258)</f>
        <v>1</v>
      </c>
      <c r="AU259" s="396">
        <f t="shared" ref="AU259" si="2254">SUM(AU254:AU258)</f>
        <v>1</v>
      </c>
      <c r="AV259" s="398">
        <f t="shared" ref="AV259" si="2255">SUM(AV254:AV258)</f>
        <v>1</v>
      </c>
      <c r="AW259" s="396"/>
      <c r="AX259" s="396"/>
      <c r="AY259" s="396"/>
      <c r="AZ259" s="396"/>
      <c r="BA259" s="396"/>
      <c r="BB259" s="396"/>
      <c r="BC259" s="396"/>
      <c r="BD259" s="396"/>
      <c r="BE259" s="396"/>
      <c r="BF259" s="396"/>
      <c r="BG259" s="396"/>
      <c r="BH259" s="396"/>
      <c r="BI259" s="396"/>
      <c r="BJ259" s="396"/>
      <c r="BK259" s="396"/>
      <c r="BL259" s="396"/>
      <c r="BM259" s="396"/>
      <c r="BN259" s="396"/>
      <c r="BO259" s="396"/>
      <c r="BP259" s="396"/>
      <c r="BQ259" s="396"/>
      <c r="BR259" s="396"/>
      <c r="BS259" s="396"/>
      <c r="BT259" s="396"/>
      <c r="BU259" s="396"/>
      <c r="BV259" s="396"/>
      <c r="BW259" s="396"/>
      <c r="BX259" s="396"/>
      <c r="BY259" s="396"/>
      <c r="BZ259" s="396"/>
      <c r="CA259" s="396"/>
      <c r="CB259" s="396"/>
      <c r="CC259" s="396"/>
      <c r="CD259" s="396"/>
      <c r="CE259" s="396"/>
      <c r="CF259" s="396"/>
      <c r="CG259" s="396"/>
      <c r="CH259" s="396"/>
      <c r="CI259" s="396"/>
      <c r="CJ259" s="396"/>
      <c r="CK259" s="396"/>
      <c r="CL259" s="396"/>
      <c r="CM259" s="396"/>
      <c r="CN259" s="396"/>
      <c r="CO259" s="239"/>
    </row>
    <row r="260" spans="1:93" s="137" customFormat="1" ht="18" customHeight="1" thickBot="1" x14ac:dyDescent="0.3">
      <c r="B260" s="136"/>
      <c r="D260" s="387"/>
      <c r="E260" s="387"/>
      <c r="F260" s="387"/>
      <c r="G260" s="387"/>
      <c r="H260" s="387"/>
      <c r="I260" s="387"/>
      <c r="J260" s="388"/>
      <c r="K260" s="388"/>
      <c r="L260" s="388"/>
      <c r="M260" s="388"/>
      <c r="N260" s="388"/>
      <c r="O260" s="389"/>
      <c r="P260" s="388"/>
      <c r="Q260" s="388"/>
      <c r="R260" s="388"/>
      <c r="S260" s="388"/>
      <c r="T260" s="388"/>
      <c r="U260" s="389"/>
      <c r="V260" s="388"/>
      <c r="W260" s="388"/>
      <c r="X260" s="388"/>
      <c r="Y260" s="388"/>
      <c r="Z260" s="388"/>
      <c r="AA260" s="389"/>
      <c r="AB260" s="388"/>
      <c r="AC260" s="388"/>
      <c r="AD260" s="388"/>
      <c r="AE260" s="388"/>
      <c r="AF260" s="388"/>
      <c r="AG260" s="387"/>
      <c r="AH260" s="388"/>
      <c r="AI260" s="388"/>
      <c r="AJ260" s="388"/>
      <c r="AK260" s="388"/>
      <c r="AL260" s="388"/>
      <c r="AM260" s="387"/>
      <c r="AN260" s="388"/>
      <c r="AO260" s="388"/>
      <c r="AP260" s="388"/>
      <c r="AQ260" s="388"/>
      <c r="AR260" s="388"/>
      <c r="AS260" s="389"/>
      <c r="AT260" s="388"/>
      <c r="AU260" s="388"/>
      <c r="AV260" s="394"/>
      <c r="AW260" s="388"/>
      <c r="AX260" s="388"/>
      <c r="AY260" s="387"/>
      <c r="AZ260" s="388"/>
      <c r="BA260" s="388"/>
      <c r="BB260" s="388"/>
      <c r="BC260" s="388"/>
      <c r="BD260" s="388"/>
      <c r="BE260" s="387"/>
      <c r="BF260" s="388"/>
      <c r="BG260" s="388"/>
      <c r="BH260" s="388"/>
      <c r="BI260" s="388"/>
      <c r="BJ260" s="388"/>
      <c r="BK260" s="387"/>
      <c r="BL260" s="388"/>
      <c r="BM260" s="388"/>
      <c r="BN260" s="388"/>
      <c r="BO260" s="388"/>
      <c r="BP260" s="388"/>
      <c r="BQ260" s="388"/>
      <c r="BR260" s="388"/>
      <c r="BS260" s="388"/>
      <c r="BT260" s="388"/>
      <c r="BU260" s="388"/>
      <c r="BV260" s="388"/>
      <c r="BW260" s="387"/>
      <c r="BX260" s="388"/>
      <c r="BY260" s="388"/>
      <c r="BZ260" s="388"/>
      <c r="CA260" s="388"/>
      <c r="CB260" s="388"/>
      <c r="CC260" s="387"/>
      <c r="CD260" s="388"/>
      <c r="CE260" s="388"/>
      <c r="CF260" s="388"/>
      <c r="CG260" s="388"/>
      <c r="CH260" s="388"/>
      <c r="CI260" s="387"/>
      <c r="CJ260" s="388"/>
      <c r="CK260" s="388"/>
      <c r="CL260" s="388"/>
      <c r="CM260" s="388"/>
      <c r="CN260" s="388"/>
      <c r="CO260" s="379"/>
    </row>
    <row r="261" spans="1:93" s="137" customFormat="1" ht="18" customHeight="1" x14ac:dyDescent="0.25">
      <c r="B261" s="212" t="s">
        <v>127</v>
      </c>
      <c r="C261" s="207"/>
      <c r="D261" s="250">
        <v>545</v>
      </c>
      <c r="E261" s="250">
        <v>694</v>
      </c>
      <c r="F261" s="250">
        <v>743</v>
      </c>
      <c r="G261" s="250">
        <v>874</v>
      </c>
      <c r="H261" s="286">
        <f>SUM(D261:G261)</f>
        <v>2856</v>
      </c>
      <c r="I261" s="379"/>
      <c r="J261" s="250">
        <v>874</v>
      </c>
      <c r="K261" s="250">
        <v>1012</v>
      </c>
      <c r="L261" s="250">
        <v>973</v>
      </c>
      <c r="M261" s="250">
        <v>1079</v>
      </c>
      <c r="N261" s="286">
        <f>SUM(J261:M261)</f>
        <v>3938</v>
      </c>
      <c r="O261" s="380"/>
      <c r="P261" s="250">
        <v>838</v>
      </c>
      <c r="Q261" s="250">
        <v>886</v>
      </c>
      <c r="R261" s="250">
        <v>1021</v>
      </c>
      <c r="S261" s="250">
        <v>1165</v>
      </c>
      <c r="T261" s="286">
        <f>SUM(P261:S261)</f>
        <v>3910</v>
      </c>
      <c r="U261" s="380"/>
      <c r="V261" s="250">
        <v>602</v>
      </c>
      <c r="W261" s="250">
        <v>624</v>
      </c>
      <c r="X261" s="250">
        <v>492</v>
      </c>
      <c r="Y261" s="250">
        <v>687</v>
      </c>
      <c r="Z261" s="286">
        <f>SUM(V261:Y261)</f>
        <v>2405</v>
      </c>
      <c r="AA261" s="380"/>
      <c r="AB261" s="250">
        <v>675</v>
      </c>
      <c r="AC261" s="250">
        <v>738</v>
      </c>
      <c r="AD261" s="250">
        <v>706</v>
      </c>
      <c r="AE261" s="250">
        <v>685</v>
      </c>
      <c r="AF261" s="286">
        <f>SUM(AB261:AE261)</f>
        <v>2804</v>
      </c>
      <c r="AG261" s="379"/>
      <c r="AH261" s="250">
        <v>538</v>
      </c>
      <c r="AI261" s="250">
        <v>659</v>
      </c>
      <c r="AJ261" s="250">
        <v>935</v>
      </c>
      <c r="AK261" s="250">
        <v>1177</v>
      </c>
      <c r="AL261" s="286">
        <f>SUM(AH261:AK261)</f>
        <v>3309</v>
      </c>
      <c r="AM261" s="379"/>
      <c r="AN261" s="250">
        <v>1057</v>
      </c>
      <c r="AO261" s="250">
        <v>1269</v>
      </c>
      <c r="AP261" s="250">
        <v>1181</v>
      </c>
      <c r="AQ261" s="250">
        <v>1429</v>
      </c>
      <c r="AR261" s="286">
        <f>SUM(AN261:AQ261)</f>
        <v>4936</v>
      </c>
      <c r="AS261" s="380"/>
      <c r="AT261" s="250">
        <v>1301</v>
      </c>
      <c r="AU261" s="250">
        <v>1525</v>
      </c>
      <c r="AV261" s="395">
        <v>1433</v>
      </c>
      <c r="AW261" s="286">
        <f>AQ261+(AW214-AQ214)*AW264</f>
        <v>1571.956387693227</v>
      </c>
      <c r="AX261" s="286">
        <f>SUM(AT261:AW261)</f>
        <v>5830.956387693227</v>
      </c>
      <c r="AY261" s="379"/>
      <c r="AZ261" s="381">
        <f t="shared" ref="AZ261:BC261" si="2256">AT261+(AZ214-AT214)*AZ264</f>
        <v>1444.9155669378536</v>
      </c>
      <c r="BA261" s="381">
        <f t="shared" si="2256"/>
        <v>1703.5471351930055</v>
      </c>
      <c r="BB261" s="381">
        <f t="shared" si="2256"/>
        <v>1570.3895749037356</v>
      </c>
      <c r="BC261" s="381">
        <f t="shared" si="2256"/>
        <v>1730.7768515095524</v>
      </c>
      <c r="BD261" s="286">
        <f>SUM(AZ261:BC261)</f>
        <v>6449.6291285441466</v>
      </c>
      <c r="BE261" s="379"/>
      <c r="BF261" s="381">
        <f t="shared" ref="BF261" si="2257">AZ261+(BF214-AZ214)*BF264</f>
        <v>1577.7160385395862</v>
      </c>
      <c r="BG261" s="381">
        <f t="shared" ref="BG261" si="2258">BA261+(BG214-BA214)*BG264</f>
        <v>1850.4576519838231</v>
      </c>
      <c r="BH261" s="381">
        <f t="shared" ref="BH261" si="2259">BB261+(BH214-BB214)*BH264</f>
        <v>1712.1283047418842</v>
      </c>
      <c r="BI261" s="381">
        <f t="shared" ref="BI261" si="2260">BC261+(BI214-BC214)*BI264</f>
        <v>1886.1767162238571</v>
      </c>
      <c r="BJ261" s="286">
        <f>SUM(BF261:BI261)</f>
        <v>7026.4787114891515</v>
      </c>
      <c r="BK261" s="379"/>
      <c r="BL261" s="381">
        <f t="shared" ref="BL261" si="2261">BF261+(BL214-BF214)*BL264</f>
        <v>1679.3384985915652</v>
      </c>
      <c r="BM261" s="381">
        <f t="shared" ref="BM261" si="2262">BG261+(BM214-BG214)*BM264</f>
        <v>1962.9424328405034</v>
      </c>
      <c r="BN261" s="381">
        <f t="shared" ref="BN261" si="2263">BH261+(BN214-BH214)*BN264</f>
        <v>1820.6071596275442</v>
      </c>
      <c r="BO261" s="381">
        <f t="shared" ref="BO261" si="2264">BI261+(BO214-BI214)*BO264</f>
        <v>2005.7128209489279</v>
      </c>
      <c r="BP261" s="286">
        <f>SUM(BL261:BO261)</f>
        <v>7468.60091200854</v>
      </c>
      <c r="BQ261" s="381"/>
      <c r="BR261" s="381">
        <f t="shared" ref="BR261" si="2265">BL261+(BR214-BL214)*BR264</f>
        <v>1785.8080389560671</v>
      </c>
      <c r="BS261" s="381">
        <f t="shared" ref="BS261" si="2266">BM261+(BS214-BM214)*BS264</f>
        <v>2080.7980357275851</v>
      </c>
      <c r="BT261" s="381">
        <f t="shared" ref="BT261" si="2267">BN261+(BT214-BN214)*BT264</f>
        <v>1934.2540035426346</v>
      </c>
      <c r="BU261" s="381">
        <f t="shared" ref="BU261" si="2268">BO261+(BU214-BO214)*BU264</f>
        <v>2130.9513913634123</v>
      </c>
      <c r="BV261" s="286">
        <f>SUM(BR261:BU261)</f>
        <v>7931.8114695896984</v>
      </c>
      <c r="BW261" s="379"/>
      <c r="BX261" s="381">
        <f t="shared" ref="BX261" si="2269">BR261+(BX214-BR214)*BX264</f>
        <v>1897.3596437286049</v>
      </c>
      <c r="BY261" s="381">
        <f t="shared" ref="BY261" si="2270">BS261+(BY214-BS214)*BY264</f>
        <v>2204.2850150201002</v>
      </c>
      <c r="BZ261" s="381">
        <f t="shared" ref="BZ261" si="2271">BT261+(BZ214-BT214)*BZ264</f>
        <v>2053.3192433908675</v>
      </c>
      <c r="CA261" s="381">
        <f t="shared" ref="CA261" si="2272">BU261+(CA214-BU214)*CA264</f>
        <v>2262.1694894271118</v>
      </c>
      <c r="CB261" s="286">
        <f>SUM(BX261:CA261)</f>
        <v>8417.1333915666837</v>
      </c>
      <c r="CC261" s="379"/>
      <c r="CD261" s="381">
        <f t="shared" ref="CD261" si="2273">BX261+(CD214-BX214)*CD264</f>
        <v>2014.2397995446429</v>
      </c>
      <c r="CE261" s="381">
        <f t="shared" ref="CE261" si="2274">BY261+(CE214-BY214)*CE264</f>
        <v>2333.6766853467611</v>
      </c>
      <c r="CF261" s="381">
        <f t="shared" ref="CF261" si="2275">BZ261+(CF214-BZ214)*CF264</f>
        <v>2178.0655402704515</v>
      </c>
      <c r="CG261" s="381">
        <f t="shared" ref="CG261" si="2276">CA261+(CG214-CA214)*CG264</f>
        <v>2399.6577735726105</v>
      </c>
      <c r="CH261" s="286">
        <f>SUM(CD261:CG261)</f>
        <v>8925.6397987344662</v>
      </c>
      <c r="CI261" s="379"/>
      <c r="CJ261" s="381">
        <f t="shared" ref="CJ261" si="2277">CD261+(CJ214-CD214)*CJ264</f>
        <v>2136.7070620707846</v>
      </c>
      <c r="CK261" s="381">
        <f t="shared" ref="CK261" si="2278">CE261+(CK214-CE214)*CK264</f>
        <v>2469.2597502328481</v>
      </c>
      <c r="CL261" s="381">
        <f t="shared" ref="CL261" si="2279">CF261+(CL214-CF214)*CL264</f>
        <v>2308.7684128854207</v>
      </c>
      <c r="CM261" s="381">
        <f t="shared" ref="CM261" si="2280">CG261+(CM214-CG214)*CM264</f>
        <v>2543.7211698231022</v>
      </c>
      <c r="CN261" s="286">
        <f>SUM(CJ261:CM261)</f>
        <v>9458.4563950121556</v>
      </c>
      <c r="CO261" s="379"/>
    </row>
    <row r="262" spans="1:93" s="137" customFormat="1" ht="18" customHeight="1" thickBot="1" x14ac:dyDescent="0.3">
      <c r="B262" s="209" t="s">
        <v>117</v>
      </c>
      <c r="C262" s="210"/>
      <c r="D262" s="180">
        <f>D261/D214</f>
        <v>0.1317698259187621</v>
      </c>
      <c r="E262" s="180">
        <f>E261/E214</f>
        <v>0.14555369127516779</v>
      </c>
      <c r="F262" s="180">
        <f>F261/F214</f>
        <v>0.15357585779247623</v>
      </c>
      <c r="G262" s="180">
        <f>G261/G214</f>
        <v>0.1549645390070922</v>
      </c>
      <c r="H262" s="180">
        <f>H261/H214</f>
        <v>0.14735321432256734</v>
      </c>
      <c r="I262" s="210"/>
      <c r="J262" s="180">
        <f>J261/J214</f>
        <v>0.16746503161525197</v>
      </c>
      <c r="K262" s="180">
        <f>K261/K214</f>
        <v>0.17679944095038436</v>
      </c>
      <c r="L262" s="180">
        <f>L261/L214</f>
        <v>0.17515751575157515</v>
      </c>
      <c r="M262" s="180">
        <f>M261/M214</f>
        <v>0.17162398600286305</v>
      </c>
      <c r="N262" s="180">
        <f>N261/N214</f>
        <v>0.17283300416940969</v>
      </c>
      <c r="O262" s="211"/>
      <c r="P262" s="180">
        <f>P261/P214</f>
        <v>0.16084452975047986</v>
      </c>
      <c r="Q262" s="180">
        <f>Q261/Q214</f>
        <v>0.16150200510390084</v>
      </c>
      <c r="R262" s="180">
        <f>R261/R214</f>
        <v>0.18727072633895819</v>
      </c>
      <c r="S262" s="180">
        <f>S261/S214</f>
        <v>0.19583123213985543</v>
      </c>
      <c r="T262" s="180">
        <f>T261/T214</f>
        <v>0.17694709689098068</v>
      </c>
      <c r="U262" s="211"/>
      <c r="V262" s="180">
        <f>V261/V214</f>
        <v>0.13842262589100943</v>
      </c>
      <c r="W262" s="180">
        <f>W261/W214</f>
        <v>0.15039768618944324</v>
      </c>
      <c r="X262" s="180">
        <f>X261/X214</f>
        <v>0.11824080749819754</v>
      </c>
      <c r="Y262" s="180">
        <f>Y261/Y214</f>
        <v>0.14279775514446061</v>
      </c>
      <c r="Z262" s="180">
        <f>Z261/Z214</f>
        <v>0.13766456783056669</v>
      </c>
      <c r="AA262" s="211"/>
      <c r="AB262" s="180">
        <f>AB261/AB214</f>
        <v>0.14976702906589751</v>
      </c>
      <c r="AC262" s="180">
        <f>AC261/AC214</f>
        <v>0.14834170854271356</v>
      </c>
      <c r="AD262" s="180">
        <f>AD261/AD214</f>
        <v>0.13905849911364979</v>
      </c>
      <c r="AE262" s="180">
        <f>AE261/AE214</f>
        <v>0.11958798882681564</v>
      </c>
      <c r="AF262" s="180">
        <f>AF261/AF214</f>
        <v>0.1382165919061468</v>
      </c>
      <c r="AG262" s="210"/>
      <c r="AH262" s="180">
        <f>AH261/AH214</f>
        <v>0.10678840809845176</v>
      </c>
      <c r="AI262" s="180">
        <f>AI261/AI214</f>
        <v>0.11551270815074496</v>
      </c>
      <c r="AJ262" s="180">
        <f>AJ261/AJ214</f>
        <v>0.151147752990624</v>
      </c>
      <c r="AK262" s="180">
        <f>AK261/AK214</f>
        <v>0.17250476330060091</v>
      </c>
      <c r="AL262" s="180">
        <f>AL261/AL214</f>
        <v>0.13931458403502864</v>
      </c>
      <c r="AM262" s="210"/>
      <c r="AN262" s="180">
        <f>AN261/AN214</f>
        <v>0.16901183242724657</v>
      </c>
      <c r="AO262" s="180">
        <f>AO261/AO214</f>
        <v>0.17578611996121346</v>
      </c>
      <c r="AP262" s="180">
        <f>AP261/AP214</f>
        <v>0.17218253389706956</v>
      </c>
      <c r="AQ262" s="180">
        <f>AQ261/AQ214</f>
        <v>0.18633459381927239</v>
      </c>
      <c r="AR262" s="180">
        <f>AR261/AR214</f>
        <v>0.17627941859219315</v>
      </c>
      <c r="AS262" s="211"/>
      <c r="AT262" s="180">
        <f>AT261/AT214</f>
        <v>0.19473132764556203</v>
      </c>
      <c r="AU262" s="180">
        <f>AU261/AU214</f>
        <v>0.20785062014447322</v>
      </c>
      <c r="AV262" s="310">
        <f>AV261/AV214</f>
        <v>0.19938778349798247</v>
      </c>
      <c r="AW262" s="180">
        <f>AW261/AW214</f>
        <v>0.19825603587161764</v>
      </c>
      <c r="AX262" s="180">
        <f>AX261/AX214</f>
        <v>0.20014320924245432</v>
      </c>
      <c r="AY262" s="210"/>
      <c r="AZ262" s="180">
        <f>AZ261/AZ214</f>
        <v>0.20639255708791862</v>
      </c>
      <c r="BA262" s="180">
        <f>BA261/BA214</f>
        <v>0.22027378940254727</v>
      </c>
      <c r="BB262" s="180">
        <f>BB261/BB214</f>
        <v>0.20960018205536207</v>
      </c>
      <c r="BC262" s="180">
        <f>BC261/BC214</f>
        <v>0.20898419944609428</v>
      </c>
      <c r="BD262" s="180">
        <f>BD261/BD214</f>
        <v>0.21140260863401147</v>
      </c>
      <c r="BE262" s="210"/>
      <c r="BF262" s="180">
        <f>BF261/BF214</f>
        <v>0.21515834649095389</v>
      </c>
      <c r="BG262" s="180">
        <f>BG261/BG214</f>
        <v>0.22842201647330754</v>
      </c>
      <c r="BH262" s="180">
        <f>BH261/BH214</f>
        <v>0.21819843873577893</v>
      </c>
      <c r="BI262" s="180">
        <f>BI261/BI214</f>
        <v>0.21754320034233288</v>
      </c>
      <c r="BJ262" s="180">
        <f>BJ261/BJ214</f>
        <v>0.21991507765467183</v>
      </c>
      <c r="BK262" s="210"/>
      <c r="BL262" s="180">
        <f>BL261/BL214</f>
        <v>0.21890457414651263</v>
      </c>
      <c r="BM262" s="180">
        <f>BM261/BM214</f>
        <v>0.23158838294589801</v>
      </c>
      <c r="BN262" s="180">
        <f>BN261/BN214</f>
        <v>0.22180202304119059</v>
      </c>
      <c r="BO262" s="180">
        <f>BO261/BO214</f>
        <v>0.22116608153765299</v>
      </c>
      <c r="BP262" s="180">
        <f>BP261/BP214</f>
        <v>0.22344614036923494</v>
      </c>
      <c r="BQ262" s="210"/>
      <c r="BR262" s="180">
        <f>BR261/BR214</f>
        <v>0.22249029755516769</v>
      </c>
      <c r="BS262" s="180">
        <f>BS261/BS214</f>
        <v>0.23461872445851611</v>
      </c>
      <c r="BT262" s="180">
        <f>BT261/BT214</f>
        <v>0.22525176281885773</v>
      </c>
      <c r="BU262" s="180">
        <f>BU261/BU214</f>
        <v>0.22463532249363655</v>
      </c>
      <c r="BV262" s="180">
        <f>BV261/BV214</f>
        <v>0.22682636400624878</v>
      </c>
      <c r="BW262" s="210"/>
      <c r="BX262" s="180">
        <f>BX261/BX214</f>
        <v>0.22592207926042907</v>
      </c>
      <c r="BY262" s="180">
        <f>BY261/BY214</f>
        <v>0.23751862581556338</v>
      </c>
      <c r="BZ262" s="180">
        <f>BZ261/BZ214</f>
        <v>0.22855391341816608</v>
      </c>
      <c r="CA262" s="180">
        <f>CA261/CA214</f>
        <v>0.22795708270530554</v>
      </c>
      <c r="CB262" s="180">
        <f>CB261/CB214</f>
        <v>0.23006188146152939</v>
      </c>
      <c r="CC262" s="210"/>
      <c r="CD262" s="180">
        <f>CD261/CD214</f>
        <v>0.22920623363114581</v>
      </c>
      <c r="CE262" s="180">
        <f>CE261/CE214</f>
        <v>0.24029345912423936</v>
      </c>
      <c r="CF262" s="180">
        <f>CF261/CF214</f>
        <v>0.23171449578486125</v>
      </c>
      <c r="CG262" s="180">
        <f>CG261/CG214</f>
        <v>0.23113729747153505</v>
      </c>
      <c r="CH262" s="180">
        <f>CH261/CH214</f>
        <v>0.23315859615451415</v>
      </c>
      <c r="CI262" s="210"/>
      <c r="CJ262" s="180">
        <f>CJ261/CJ214</f>
        <v>0.23234883494398689</v>
      </c>
      <c r="CK262" s="180">
        <f>CK261/CK214</f>
        <v>0.24294839082215033</v>
      </c>
      <c r="CL262" s="180">
        <f>CL261/CL214</f>
        <v>0.23473930396608086</v>
      </c>
      <c r="CM262" s="180">
        <f>CM261/CM214</f>
        <v>0.23418168460855546</v>
      </c>
      <c r="CN262" s="180">
        <f>CN261/CN214</f>
        <v>0.23612218933761087</v>
      </c>
      <c r="CO262" s="379"/>
    </row>
    <row r="263" spans="1:93" s="137" customFormat="1" ht="18" customHeight="1" x14ac:dyDescent="0.25">
      <c r="B263" s="136"/>
      <c r="J263" s="104"/>
      <c r="K263" s="104"/>
      <c r="L263" s="104"/>
      <c r="M263" s="104"/>
      <c r="N263" s="104"/>
      <c r="O263" s="205"/>
      <c r="P263" s="104"/>
      <c r="Q263" s="104"/>
      <c r="R263" s="104"/>
      <c r="S263" s="104"/>
      <c r="T263" s="104"/>
      <c r="U263" s="205"/>
      <c r="V263" s="104"/>
      <c r="W263" s="104"/>
      <c r="X263" s="104"/>
      <c r="Y263" s="104"/>
      <c r="Z263" s="104"/>
      <c r="AA263" s="205"/>
      <c r="AB263" s="104"/>
      <c r="AC263" s="104"/>
      <c r="AD263" s="104"/>
      <c r="AE263" s="104"/>
      <c r="AF263" s="104"/>
      <c r="AH263" s="104"/>
      <c r="AI263" s="104"/>
      <c r="AJ263" s="104"/>
      <c r="AK263" s="104"/>
      <c r="AL263" s="104"/>
      <c r="AN263" s="104"/>
      <c r="AO263" s="246"/>
      <c r="AP263" s="104"/>
      <c r="AQ263" s="246"/>
      <c r="AR263" s="246"/>
      <c r="AS263" s="205"/>
      <c r="AT263" s="104"/>
      <c r="AU263" s="246"/>
      <c r="AV263" s="265"/>
      <c r="AW263" s="104"/>
      <c r="AX263" s="104"/>
      <c r="AZ263" s="104"/>
      <c r="BA263" s="104"/>
      <c r="BB263" s="104"/>
      <c r="BC263" s="104"/>
      <c r="BD263" s="104"/>
      <c r="BF263" s="104"/>
      <c r="BG263" s="104"/>
      <c r="BH263" s="104"/>
      <c r="BI263" s="104"/>
      <c r="BJ263" s="104"/>
      <c r="BL263" s="104"/>
      <c r="BM263" s="104"/>
      <c r="BN263" s="104"/>
      <c r="BO263" s="104"/>
      <c r="BP263" s="104"/>
      <c r="BR263" s="104"/>
      <c r="BS263" s="104"/>
      <c r="BT263" s="104"/>
      <c r="BU263" s="104"/>
      <c r="BV263" s="104"/>
      <c r="BX263" s="104"/>
      <c r="BY263" s="104"/>
      <c r="BZ263" s="104"/>
      <c r="CA263" s="104"/>
      <c r="CB263" s="104"/>
      <c r="CD263" s="104"/>
      <c r="CE263" s="104"/>
      <c r="CF263" s="104"/>
      <c r="CG263" s="104"/>
      <c r="CH263" s="104"/>
      <c r="CJ263" s="104"/>
      <c r="CK263" s="104"/>
      <c r="CL263" s="104"/>
      <c r="CM263" s="104"/>
      <c r="CN263" s="104"/>
      <c r="CO263" s="379"/>
    </row>
    <row r="264" spans="1:93" s="137" customFormat="1" ht="18" customHeight="1" x14ac:dyDescent="0.25">
      <c r="B264" s="136" t="s">
        <v>538</v>
      </c>
      <c r="D264" s="67"/>
      <c r="E264" s="67"/>
      <c r="F264" s="67"/>
      <c r="G264" s="67"/>
      <c r="H264" s="67"/>
      <c r="J264" s="67">
        <f t="shared" ref="J264" si="2281">(J261-D261)/(J214-D214)</f>
        <v>0.30378578024007385</v>
      </c>
      <c r="K264" s="67">
        <f t="shared" ref="K264" si="2282">(K261-E261)/(K214-E214)</f>
        <v>0.33263598326359833</v>
      </c>
      <c r="L264" s="67">
        <f t="shared" ref="L264" si="2283">(L261-F261)/(L214-F214)</f>
        <v>0.32078103207810321</v>
      </c>
      <c r="M264" s="67">
        <f t="shared" ref="M264" si="2284">(M261-G261)/(M214-G214)</f>
        <v>0.31684698608964451</v>
      </c>
      <c r="N264" s="67">
        <f t="shared" ref="N264" si="2285">(N261-H261)/(N214-H214)</f>
        <v>0.31795474581251837</v>
      </c>
      <c r="O264" s="205"/>
      <c r="P264" s="67">
        <f t="shared" ref="P264" si="2286">(P261-J261)/(P214-J214)</f>
        <v>4</v>
      </c>
      <c r="Q264" s="67">
        <f t="shared" ref="Q264" si="2287">(Q261-K261)/(Q214-K214)</f>
        <v>0.52941176470588236</v>
      </c>
      <c r="R264" s="67">
        <f t="shared" ref="R264" si="2288">(R261-L261)/(R214-L214)</f>
        <v>-0.46601941747572817</v>
      </c>
      <c r="S264" s="67">
        <f t="shared" ref="S264" si="2289">(S261-M261)/(S214-M214)</f>
        <v>-0.25443786982248523</v>
      </c>
      <c r="T264" s="67">
        <f t="shared" ref="T264" si="2290">(T261-N261)/(T214-N214)</f>
        <v>4.0697674418604654E-2</v>
      </c>
      <c r="U264" s="205"/>
      <c r="V264" s="67">
        <f t="shared" ref="V264" si="2291">(V261-P261)/(V214-P214)</f>
        <v>0.27409988385598144</v>
      </c>
      <c r="W264" s="67">
        <f t="shared" ref="W264" si="2292">(W261-Q261)/(W214-Q214)</f>
        <v>0.19596110695587135</v>
      </c>
      <c r="X264" s="67">
        <f t="shared" ref="X264" si="2293">(X261-R261)/(X214-R214)</f>
        <v>0.40975987606506586</v>
      </c>
      <c r="Y264" s="67">
        <f t="shared" ref="Y264" si="2294">(Y261-S261)/(Y214-S214)</f>
        <v>0.42003514938488579</v>
      </c>
      <c r="Z264" s="67">
        <f t="shared" ref="Z264" si="2295">(Z261-T261)/(Z214-T214)</f>
        <v>0.32526475037821484</v>
      </c>
      <c r="AA264" s="205"/>
      <c r="AB264" s="67">
        <f t="shared" ref="AB264" si="2296">(AB261-V261)/(AB214-V214)</f>
        <v>0.46202531645569622</v>
      </c>
      <c r="AC264" s="67">
        <f t="shared" ref="AC264" si="2297">(AC261-W261)/(AC214-W214)</f>
        <v>0.13801452784503632</v>
      </c>
      <c r="AD264" s="67">
        <f t="shared" ref="AD264" si="2298">(AD261-X261)/(AD214-X214)</f>
        <v>0.23362445414847161</v>
      </c>
      <c r="AE264" s="67">
        <f t="shared" ref="AE264" si="2299">(AE261-Y261)/(AE214-Y214)</f>
        <v>-2.1810250817884407E-3</v>
      </c>
      <c r="AF264" s="67">
        <f t="shared" ref="AF264" si="2300">(AF261-Z261)/(AF214-Z214)</f>
        <v>0.14164004259850904</v>
      </c>
      <c r="AH264" s="67">
        <f t="shared" ref="AH264" si="2301">(AH261-AB261)/(AH214-AB214)</f>
        <v>-0.25800376647834272</v>
      </c>
      <c r="AI264" s="67">
        <f t="shared" ref="AI264" si="2302">(AI261-AC261)/(AI214-AC214)</f>
        <v>-0.10821917808219178</v>
      </c>
      <c r="AJ264" s="67">
        <f t="shared" ref="AJ264" si="2303">(AJ261-AD261)/(AJ214-AD214)</f>
        <v>0.20649233543733092</v>
      </c>
      <c r="AK264" s="67">
        <f t="shared" ref="AK264" si="2304">(AK261-AE261)/(AK214-AE214)</f>
        <v>0.44931506849315067</v>
      </c>
      <c r="AL264" s="67">
        <f t="shared" ref="AL264" si="2305">(AL261-AF261)/(AL214-AF214)</f>
        <v>0.14574314574314573</v>
      </c>
      <c r="AN264" s="67">
        <f t="shared" ref="AN264" si="2306">(AN261-AH261)/(AN214-AH214)</f>
        <v>0.42680921052631576</v>
      </c>
      <c r="AO264" s="67">
        <f t="shared" ref="AO264" si="2307">(AO261-AI261)/(AO214-AI214)</f>
        <v>0.40290620871862615</v>
      </c>
      <c r="AP264" s="67">
        <f t="shared" ref="AP264" si="2308">(AP261-AJ261)/(AP214-AJ214)</f>
        <v>0.36552748885586922</v>
      </c>
      <c r="AQ264" s="67">
        <f t="shared" ref="AQ264" si="2309">(AQ261-AK261)/(AQ214-AK214)</f>
        <v>0.2978723404255319</v>
      </c>
      <c r="AR264" s="67">
        <f t="shared" ref="AR264" si="2310">(AR261-AL261)/(AR214-AL214)</f>
        <v>0.38291362673570251</v>
      </c>
      <c r="AS264" s="205"/>
      <c r="AT264" s="67">
        <f t="shared" ref="AT264:AU264" si="2311">(AT261-AN261)/(AT214-AN214)</f>
        <v>0.5714285714285714</v>
      </c>
      <c r="AU264" s="67">
        <f t="shared" si="2311"/>
        <v>2.1694915254237288</v>
      </c>
      <c r="AV264" s="264">
        <f>(AV261-AP261)/(AV214-AP214)</f>
        <v>0.76829268292682928</v>
      </c>
      <c r="AW264" s="539">
        <v>0.55000000000000004</v>
      </c>
      <c r="AX264" s="67">
        <f>(AX261-AR261)/(AX214-AR214)</f>
        <v>0.78995501081849495</v>
      </c>
      <c r="AZ264" s="454">
        <v>0.45</v>
      </c>
      <c r="BA264" s="454">
        <v>0.45</v>
      </c>
      <c r="BB264" s="454">
        <v>0.45</v>
      </c>
      <c r="BC264" s="454">
        <v>0.45</v>
      </c>
      <c r="BD264" s="67">
        <f>(BD261-AX261)/(BD214-AX214)</f>
        <v>0.4499999999999979</v>
      </c>
      <c r="BF264" s="454">
        <v>0.4</v>
      </c>
      <c r="BG264" s="454">
        <v>0.4</v>
      </c>
      <c r="BH264" s="454">
        <v>0.4</v>
      </c>
      <c r="BI264" s="454">
        <v>0.4</v>
      </c>
      <c r="BJ264" s="67">
        <f>(BJ261-BD261)/(BJ214-BD214)</f>
        <v>0.40000000000000063</v>
      </c>
      <c r="BL264" s="454">
        <v>0.3</v>
      </c>
      <c r="BM264" s="454">
        <v>0.3</v>
      </c>
      <c r="BN264" s="454">
        <v>0.3</v>
      </c>
      <c r="BO264" s="454">
        <v>0.3</v>
      </c>
      <c r="BP264" s="67">
        <f>(BP261-BJ261)/(BP214-BJ214)</f>
        <v>0.30000000000000027</v>
      </c>
      <c r="BR264" s="454">
        <v>0.3</v>
      </c>
      <c r="BS264" s="454">
        <v>0.3</v>
      </c>
      <c r="BT264" s="454">
        <v>0.3</v>
      </c>
      <c r="BU264" s="454">
        <v>0.3</v>
      </c>
      <c r="BV264" s="67">
        <f>(BV261-BP261)/(BV214-BP214)</f>
        <v>0.2999999999999981</v>
      </c>
      <c r="BX264" s="454">
        <v>0.3</v>
      </c>
      <c r="BY264" s="454">
        <v>0.3</v>
      </c>
      <c r="BZ264" s="454">
        <v>0.3</v>
      </c>
      <c r="CA264" s="454">
        <v>0.3</v>
      </c>
      <c r="CB264" s="67">
        <f>(CB261-BV261)/(CB214-BV214)</f>
        <v>0.30000000000000088</v>
      </c>
      <c r="CD264" s="454">
        <v>0.3</v>
      </c>
      <c r="CE264" s="454">
        <v>0.3</v>
      </c>
      <c r="CF264" s="454">
        <v>0.3</v>
      </c>
      <c r="CG264" s="454">
        <v>0.3</v>
      </c>
      <c r="CH264" s="67">
        <f>(CH261-CB261)/(CH214-CB214)</f>
        <v>0.29999999999999938</v>
      </c>
      <c r="CJ264" s="454">
        <v>0.3</v>
      </c>
      <c r="CK264" s="454">
        <v>0.3</v>
      </c>
      <c r="CL264" s="454">
        <v>0.3</v>
      </c>
      <c r="CM264" s="454">
        <v>0.3</v>
      </c>
      <c r="CN264" s="67">
        <f>(CN261-CH261)/(CN214-CH214)</f>
        <v>0.29999999999999982</v>
      </c>
      <c r="CO264" s="379"/>
    </row>
    <row r="265" spans="1:93" s="137" customFormat="1" ht="18" customHeight="1" x14ac:dyDescent="0.25">
      <c r="B265" s="136"/>
      <c r="J265" s="104"/>
      <c r="K265" s="104"/>
      <c r="L265" s="104"/>
      <c r="M265" s="104"/>
      <c r="N265" s="104"/>
      <c r="O265" s="205"/>
      <c r="P265" s="104"/>
      <c r="Q265" s="104"/>
      <c r="R265" s="104"/>
      <c r="S265" s="104"/>
      <c r="T265" s="104"/>
      <c r="U265" s="205"/>
      <c r="V265" s="104"/>
      <c r="W265" s="104"/>
      <c r="X265" s="104"/>
      <c r="Y265" s="104"/>
      <c r="Z265" s="104"/>
      <c r="AA265" s="205"/>
      <c r="AB265" s="104"/>
      <c r="AC265" s="104"/>
      <c r="AD265" s="104"/>
      <c r="AE265" s="104"/>
      <c r="AF265" s="104"/>
      <c r="AH265" s="104"/>
      <c r="AI265" s="104"/>
      <c r="AJ265" s="104"/>
      <c r="AK265" s="104"/>
      <c r="AL265" s="104"/>
      <c r="AN265" s="104"/>
      <c r="AO265" s="246"/>
      <c r="AP265" s="104"/>
      <c r="AQ265" s="246"/>
      <c r="AR265" s="246"/>
      <c r="AS265" s="205"/>
      <c r="AT265" s="104"/>
      <c r="AU265" s="246"/>
      <c r="AV265" s="265"/>
      <c r="AW265" s="104"/>
      <c r="AX265" s="104"/>
      <c r="AZ265" s="104"/>
      <c r="BA265" s="104"/>
      <c r="BB265" s="104"/>
      <c r="BC265" s="104"/>
      <c r="BD265" s="104"/>
      <c r="BF265" s="104"/>
      <c r="BG265" s="104"/>
      <c r="BH265" s="104"/>
      <c r="BI265" s="104"/>
      <c r="BJ265" s="104"/>
      <c r="BL265" s="104"/>
      <c r="BM265" s="104"/>
      <c r="BN265" s="104"/>
      <c r="BO265" s="104"/>
      <c r="BP265" s="104"/>
      <c r="BR265" s="104"/>
      <c r="BS265" s="104"/>
      <c r="BT265" s="104"/>
      <c r="BU265" s="104"/>
      <c r="BV265" s="104"/>
      <c r="BX265" s="104"/>
      <c r="BY265" s="104"/>
      <c r="BZ265" s="104"/>
      <c r="CA265" s="104"/>
      <c r="CB265" s="104"/>
      <c r="CD265" s="104"/>
      <c r="CE265" s="104"/>
      <c r="CF265" s="104"/>
      <c r="CG265" s="104"/>
      <c r="CH265" s="104"/>
      <c r="CJ265" s="104"/>
      <c r="CK265" s="104"/>
      <c r="CL265" s="104"/>
      <c r="CM265" s="104"/>
      <c r="CN265" s="104"/>
      <c r="CO265" s="379"/>
    </row>
    <row r="266" spans="1:93" s="137" customFormat="1" ht="18" customHeight="1" x14ac:dyDescent="0.25">
      <c r="B266" s="31" t="s">
        <v>74</v>
      </c>
      <c r="D266" s="440">
        <v>158</v>
      </c>
      <c r="E266" s="440">
        <v>162</v>
      </c>
      <c r="F266" s="440">
        <v>165</v>
      </c>
      <c r="G266" s="443">
        <f>H266-SUM(D266:F266)</f>
        <v>168</v>
      </c>
      <c r="H266" s="440">
        <v>653</v>
      </c>
      <c r="J266" s="440">
        <v>158</v>
      </c>
      <c r="K266" s="440">
        <v>157</v>
      </c>
      <c r="L266" s="440">
        <v>159</v>
      </c>
      <c r="M266" s="443">
        <f>N266-SUM(J266:L266)</f>
        <v>166</v>
      </c>
      <c r="N266" s="440">
        <v>640</v>
      </c>
      <c r="O266" s="205"/>
      <c r="P266" s="440">
        <v>152</v>
      </c>
      <c r="Q266" s="440">
        <v>155</v>
      </c>
      <c r="R266" s="440">
        <v>158</v>
      </c>
      <c r="S266" s="443">
        <f>T266-SUM(P266:R266)</f>
        <v>163</v>
      </c>
      <c r="T266" s="440">
        <v>628</v>
      </c>
      <c r="U266" s="205"/>
      <c r="V266" s="121">
        <v>146</v>
      </c>
      <c r="W266" s="121">
        <v>149</v>
      </c>
      <c r="X266" s="121">
        <v>147</v>
      </c>
      <c r="Y266" s="153">
        <f>Z266-SUM(V266:X266)</f>
        <v>151</v>
      </c>
      <c r="Z266" s="121">
        <v>593</v>
      </c>
      <c r="AA266" s="121"/>
      <c r="AB266" s="121">
        <v>142</v>
      </c>
      <c r="AC266" s="121">
        <v>142</v>
      </c>
      <c r="AD266" s="121">
        <v>144</v>
      </c>
      <c r="AE266" s="153">
        <f>AF266-SUM(AB266:AD266)</f>
        <v>143</v>
      </c>
      <c r="AF266" s="121">
        <v>571</v>
      </c>
      <c r="AG266" s="121"/>
      <c r="AH266" s="121">
        <v>134</v>
      </c>
      <c r="AI266" s="121">
        <v>135</v>
      </c>
      <c r="AJ266" s="121">
        <v>136</v>
      </c>
      <c r="AK266" s="153">
        <f>AL266-SUM(AH266:AJ266)</f>
        <v>142</v>
      </c>
      <c r="AL266" s="121">
        <v>547</v>
      </c>
      <c r="AM266" s="121"/>
      <c r="AN266" s="121">
        <v>129</v>
      </c>
      <c r="AO266" s="121">
        <v>133</v>
      </c>
      <c r="AP266" s="121">
        <v>139</v>
      </c>
      <c r="AQ266" s="153">
        <f>AR266-SUM(AN266:AP266)</f>
        <v>150</v>
      </c>
      <c r="AR266" s="121">
        <v>551</v>
      </c>
      <c r="AS266" s="121"/>
      <c r="AT266" s="121">
        <v>137</v>
      </c>
      <c r="AU266" s="121">
        <v>143</v>
      </c>
      <c r="AV266" s="263">
        <v>146</v>
      </c>
      <c r="AW266" s="541">
        <f t="shared" ref="AW266" si="2312">AQ266*(1+AW272)</f>
        <v>165</v>
      </c>
      <c r="AX266" s="438">
        <f>SUM(AT266:AW266)</f>
        <v>591</v>
      </c>
      <c r="AY266" s="435"/>
      <c r="AZ266" s="533">
        <f t="shared" ref="AZ266" si="2313">AT266*(1+AZ272)</f>
        <v>143.85</v>
      </c>
      <c r="BA266" s="533">
        <f t="shared" ref="BA266" si="2314">AU266*(1+BA272)</f>
        <v>150.15</v>
      </c>
      <c r="BB266" s="533">
        <f t="shared" ref="BB266" si="2315">AV266*(1+BB272)</f>
        <v>153.30000000000001</v>
      </c>
      <c r="BC266" s="533">
        <f t="shared" ref="BC266" si="2316">AW266*(1+BC272)</f>
        <v>173.25</v>
      </c>
      <c r="BD266" s="438">
        <f>SUM(AZ266:BC266)</f>
        <v>620.54999999999995</v>
      </c>
      <c r="BE266" s="435"/>
      <c r="BF266" s="533">
        <f t="shared" ref="BF266" si="2317">AZ266*(1+BF272)</f>
        <v>151.04249999999999</v>
      </c>
      <c r="BG266" s="533">
        <f t="shared" ref="BG266" si="2318">BA266*(1+BG272)</f>
        <v>157.6575</v>
      </c>
      <c r="BH266" s="533">
        <f t="shared" ref="BH266" si="2319">BB266*(1+BH272)</f>
        <v>160.96500000000003</v>
      </c>
      <c r="BI266" s="533">
        <f t="shared" ref="BI266" si="2320">BC266*(1+BI272)</f>
        <v>181.91249999999999</v>
      </c>
      <c r="BJ266" s="438">
        <f>SUM(BF266:BI266)</f>
        <v>651.57749999999999</v>
      </c>
      <c r="BK266" s="435"/>
      <c r="BL266" s="533">
        <f t="shared" ref="BL266" si="2321">BF266*(1+BL272)</f>
        <v>154.06334999999999</v>
      </c>
      <c r="BM266" s="533">
        <f t="shared" ref="BM266" si="2322">BG266*(1+BM272)</f>
        <v>160.81065000000001</v>
      </c>
      <c r="BN266" s="533">
        <f t="shared" ref="BN266" si="2323">BH266*(1+BN272)</f>
        <v>164.18430000000004</v>
      </c>
      <c r="BO266" s="533">
        <f t="shared" ref="BO266" si="2324">BI266*(1+BO272)</f>
        <v>185.55074999999999</v>
      </c>
      <c r="BP266" s="438">
        <f>SUM(BL266:BO266)</f>
        <v>664.60905000000002</v>
      </c>
      <c r="BQ266" s="435"/>
      <c r="BR266" s="533">
        <f t="shared" ref="BR266" si="2325">BL266*(1+BR272)</f>
        <v>157.14461699999998</v>
      </c>
      <c r="BS266" s="533">
        <f t="shared" ref="BS266" si="2326">BM266*(1+BS272)</f>
        <v>164.02686300000002</v>
      </c>
      <c r="BT266" s="533">
        <f t="shared" ref="BT266" si="2327">BN266*(1+BT272)</f>
        <v>167.46798600000005</v>
      </c>
      <c r="BU266" s="533">
        <f t="shared" ref="BU266" si="2328">BO266*(1+BU272)</f>
        <v>189.261765</v>
      </c>
      <c r="BV266" s="438">
        <f>SUM(BR266:BU266)</f>
        <v>677.90123100000005</v>
      </c>
      <c r="BW266" s="435"/>
      <c r="BX266" s="533">
        <f t="shared" ref="BX266" si="2329">BR266*(1+BX272)</f>
        <v>160.28750933999999</v>
      </c>
      <c r="BY266" s="533">
        <f t="shared" ref="BY266" si="2330">BS266*(1+BY272)</f>
        <v>167.30740026000004</v>
      </c>
      <c r="BZ266" s="533">
        <f t="shared" ref="BZ266" si="2331">BT266*(1+BZ272)</f>
        <v>170.81734572000005</v>
      </c>
      <c r="CA266" s="533">
        <f t="shared" ref="CA266" si="2332">BU266*(1+CA272)</f>
        <v>193.04700030000001</v>
      </c>
      <c r="CB266" s="438">
        <f>SUM(BX266:CA266)</f>
        <v>691.45925562000014</v>
      </c>
      <c r="CC266" s="435"/>
      <c r="CD266" s="533">
        <f t="shared" ref="CD266" si="2333">BX266*(1+CD272)</f>
        <v>163.49325952679999</v>
      </c>
      <c r="CE266" s="533">
        <f t="shared" ref="CE266" si="2334">BY266*(1+CE272)</f>
        <v>170.65354826520004</v>
      </c>
      <c r="CF266" s="533">
        <f t="shared" ref="CF266" si="2335">BZ266*(1+CF272)</f>
        <v>174.23369263440006</v>
      </c>
      <c r="CG266" s="533">
        <f t="shared" ref="CG266" si="2336">CA266*(1+CG272)</f>
        <v>196.907940306</v>
      </c>
      <c r="CH266" s="438">
        <f>SUM(CD266:CG266)</f>
        <v>705.28844073240009</v>
      </c>
      <c r="CI266" s="435"/>
      <c r="CJ266" s="533">
        <f t="shared" ref="CJ266:CM266" si="2337">CD266*(1+CJ272)</f>
        <v>166.76312471733598</v>
      </c>
      <c r="CK266" s="533">
        <f t="shared" si="2337"/>
        <v>174.06661923050405</v>
      </c>
      <c r="CL266" s="533">
        <f t="shared" si="2337"/>
        <v>177.71836648708805</v>
      </c>
      <c r="CM266" s="533">
        <f t="shared" si="2337"/>
        <v>200.84609911212002</v>
      </c>
      <c r="CN266" s="438">
        <f>SUM(CJ266:CM266)</f>
        <v>719.39420954704804</v>
      </c>
      <c r="CO266" s="379"/>
    </row>
    <row r="267" spans="1:93" s="137" customFormat="1" ht="18" customHeight="1" thickBot="1" x14ac:dyDescent="0.3">
      <c r="B267" s="136"/>
      <c r="J267" s="104"/>
      <c r="K267" s="104"/>
      <c r="L267" s="104"/>
      <c r="M267" s="104"/>
      <c r="N267" s="104"/>
      <c r="O267" s="205"/>
      <c r="P267" s="104"/>
      <c r="Q267" s="104"/>
      <c r="R267" s="104"/>
      <c r="S267" s="104"/>
      <c r="T267" s="104"/>
      <c r="U267" s="205"/>
      <c r="V267" s="104"/>
      <c r="W267" s="104"/>
      <c r="X267" s="104"/>
      <c r="Y267" s="104"/>
      <c r="Z267" s="104"/>
      <c r="AA267" s="205"/>
      <c r="AB267" s="104"/>
      <c r="AC267" s="104"/>
      <c r="AD267" s="104"/>
      <c r="AE267" s="104"/>
      <c r="AF267" s="104"/>
      <c r="AH267" s="104"/>
      <c r="AI267" s="104"/>
      <c r="AJ267" s="104"/>
      <c r="AK267" s="104"/>
      <c r="AL267" s="104"/>
      <c r="AN267" s="104"/>
      <c r="AO267" s="246"/>
      <c r="AP267" s="104"/>
      <c r="AQ267" s="246"/>
      <c r="AR267" s="246"/>
      <c r="AS267" s="205"/>
      <c r="AT267" s="104"/>
      <c r="AU267" s="246"/>
      <c r="AV267" s="265"/>
      <c r="AW267" s="104"/>
      <c r="AX267" s="104"/>
      <c r="AZ267" s="104"/>
      <c r="BA267" s="104"/>
      <c r="BB267" s="104"/>
      <c r="BC267" s="104"/>
      <c r="BD267" s="104"/>
      <c r="BF267" s="104"/>
      <c r="BG267" s="104"/>
      <c r="BH267" s="104"/>
      <c r="BI267" s="104"/>
      <c r="BJ267" s="104"/>
      <c r="BL267" s="104"/>
      <c r="BM267" s="104"/>
      <c r="BN267" s="104"/>
      <c r="BO267" s="104"/>
      <c r="BP267" s="104"/>
      <c r="BR267" s="104"/>
      <c r="BS267" s="104"/>
      <c r="BT267" s="104"/>
      <c r="BU267" s="104"/>
      <c r="BV267" s="104"/>
      <c r="BX267" s="104"/>
      <c r="BY267" s="104"/>
      <c r="BZ267" s="104"/>
      <c r="CA267" s="104"/>
      <c r="CB267" s="104"/>
      <c r="CD267" s="104"/>
      <c r="CE267" s="104"/>
      <c r="CF267" s="104"/>
      <c r="CG267" s="104"/>
      <c r="CH267" s="104"/>
      <c r="CJ267" s="104"/>
      <c r="CK267" s="104"/>
      <c r="CL267" s="104"/>
      <c r="CM267" s="104"/>
      <c r="CN267" s="104"/>
      <c r="CO267" s="379"/>
    </row>
    <row r="268" spans="1:93" s="137" customFormat="1" ht="18" customHeight="1" x14ac:dyDescent="0.25">
      <c r="B268" s="212" t="s">
        <v>7</v>
      </c>
      <c r="C268" s="207"/>
      <c r="D268" s="213"/>
      <c r="E268" s="213"/>
      <c r="F268" s="213"/>
      <c r="G268" s="213"/>
      <c r="H268" s="213"/>
      <c r="I268" s="207"/>
      <c r="J268" s="213"/>
      <c r="K268" s="213"/>
      <c r="L268" s="213"/>
      <c r="M268" s="213"/>
      <c r="N268" s="213"/>
      <c r="O268" s="208"/>
      <c r="P268" s="213"/>
      <c r="Q268" s="213"/>
      <c r="R268" s="213"/>
      <c r="S268" s="213"/>
      <c r="T268" s="213"/>
      <c r="U268" s="208"/>
      <c r="V268" s="213">
        <f>V261+V266</f>
        <v>748</v>
      </c>
      <c r="W268" s="213">
        <f t="shared" ref="W268:Z268" si="2338">W261+W266</f>
        <v>773</v>
      </c>
      <c r="X268" s="213">
        <f t="shared" si="2338"/>
        <v>639</v>
      </c>
      <c r="Y268" s="213">
        <f t="shared" si="2338"/>
        <v>838</v>
      </c>
      <c r="Z268" s="213">
        <f t="shared" si="2338"/>
        <v>2998</v>
      </c>
      <c r="AA268" s="208"/>
      <c r="AB268" s="213">
        <f t="shared" ref="AB268:AF268" si="2339">AB261+AB266</f>
        <v>817</v>
      </c>
      <c r="AC268" s="213">
        <f t="shared" si="2339"/>
        <v>880</v>
      </c>
      <c r="AD268" s="213">
        <f t="shared" si="2339"/>
        <v>850</v>
      </c>
      <c r="AE268" s="213">
        <f t="shared" si="2339"/>
        <v>828</v>
      </c>
      <c r="AF268" s="213">
        <f t="shared" si="2339"/>
        <v>3375</v>
      </c>
      <c r="AG268" s="207"/>
      <c r="AH268" s="213">
        <f t="shared" ref="AH268:AL268" si="2340">AH261+AH266</f>
        <v>672</v>
      </c>
      <c r="AI268" s="213">
        <f t="shared" si="2340"/>
        <v>794</v>
      </c>
      <c r="AJ268" s="213">
        <f t="shared" si="2340"/>
        <v>1071</v>
      </c>
      <c r="AK268" s="213">
        <f t="shared" si="2340"/>
        <v>1319</v>
      </c>
      <c r="AL268" s="213">
        <f t="shared" si="2340"/>
        <v>3856</v>
      </c>
      <c r="AM268" s="207"/>
      <c r="AN268" s="213">
        <f t="shared" ref="AN268:AR268" si="2341">AN261+AN266</f>
        <v>1186</v>
      </c>
      <c r="AO268" s="213">
        <f t="shared" si="2341"/>
        <v>1402</v>
      </c>
      <c r="AP268" s="213">
        <f t="shared" si="2341"/>
        <v>1320</v>
      </c>
      <c r="AQ268" s="213">
        <f t="shared" si="2341"/>
        <v>1579</v>
      </c>
      <c r="AR268" s="213">
        <f t="shared" si="2341"/>
        <v>5487</v>
      </c>
      <c r="AS268" s="208"/>
      <c r="AT268" s="213">
        <f t="shared" ref="AT268:AX268" si="2342">AT261+AT266</f>
        <v>1438</v>
      </c>
      <c r="AU268" s="213">
        <f t="shared" si="2342"/>
        <v>1668</v>
      </c>
      <c r="AV268" s="309">
        <f t="shared" si="2342"/>
        <v>1579</v>
      </c>
      <c r="AW268" s="213">
        <f t="shared" si="2342"/>
        <v>1736.956387693227</v>
      </c>
      <c r="AX268" s="213">
        <f t="shared" si="2342"/>
        <v>6421.956387693227</v>
      </c>
      <c r="AY268" s="207"/>
      <c r="AZ268" s="213">
        <f>AZ261+AZ266</f>
        <v>1588.7655669378535</v>
      </c>
      <c r="BA268" s="213">
        <f>BA261+BA266</f>
        <v>1853.6971351930056</v>
      </c>
      <c r="BB268" s="213">
        <f>BB261+BB266</f>
        <v>1723.6895749037355</v>
      </c>
      <c r="BC268" s="213">
        <f>BC261+BC266</f>
        <v>1904.0268515095524</v>
      </c>
      <c r="BD268" s="213">
        <f>BD261+BD266</f>
        <v>7070.1791285441468</v>
      </c>
      <c r="BE268" s="207"/>
      <c r="BF268" s="213">
        <f t="shared" ref="BF268:BJ268" si="2343">BF261+BF266</f>
        <v>1728.7585385395862</v>
      </c>
      <c r="BG268" s="213">
        <f t="shared" si="2343"/>
        <v>2008.1151519838231</v>
      </c>
      <c r="BH268" s="213">
        <f t="shared" si="2343"/>
        <v>1873.0933047418844</v>
      </c>
      <c r="BI268" s="213">
        <f t="shared" si="2343"/>
        <v>2068.089216223857</v>
      </c>
      <c r="BJ268" s="213">
        <f t="shared" si="2343"/>
        <v>7678.0562114891518</v>
      </c>
      <c r="BK268" s="207"/>
      <c r="BL268" s="213">
        <f t="shared" ref="BL268:BP268" si="2344">BL261+BL266</f>
        <v>1833.4018485915651</v>
      </c>
      <c r="BM268" s="213">
        <f t="shared" si="2344"/>
        <v>2123.7530828405033</v>
      </c>
      <c r="BN268" s="213">
        <f t="shared" si="2344"/>
        <v>1984.7914596275443</v>
      </c>
      <c r="BO268" s="213">
        <f t="shared" si="2344"/>
        <v>2191.2635709489277</v>
      </c>
      <c r="BP268" s="213">
        <f t="shared" si="2344"/>
        <v>8133.2099620085401</v>
      </c>
      <c r="BQ268" s="207"/>
      <c r="BR268" s="213">
        <f t="shared" ref="BR268:BV268" si="2345">BR261+BR266</f>
        <v>1942.952655956067</v>
      </c>
      <c r="BS268" s="213">
        <f t="shared" si="2345"/>
        <v>2244.8248987275852</v>
      </c>
      <c r="BT268" s="213">
        <f t="shared" si="2345"/>
        <v>2101.7219895426347</v>
      </c>
      <c r="BU268" s="213">
        <f t="shared" si="2345"/>
        <v>2320.2131563634125</v>
      </c>
      <c r="BV268" s="213">
        <f t="shared" si="2345"/>
        <v>8609.7127005896982</v>
      </c>
      <c r="BW268" s="207"/>
      <c r="BX268" s="213">
        <f t="shared" ref="BX268:CB268" si="2346">BX261+BX266</f>
        <v>2057.6471530686049</v>
      </c>
      <c r="BY268" s="213">
        <f t="shared" si="2346"/>
        <v>2371.5924152801003</v>
      </c>
      <c r="BZ268" s="213">
        <f t="shared" si="2346"/>
        <v>2224.1365891108676</v>
      </c>
      <c r="CA268" s="213">
        <f t="shared" si="2346"/>
        <v>2455.2164897271118</v>
      </c>
      <c r="CB268" s="213">
        <f t="shared" si="2346"/>
        <v>9108.5926471866842</v>
      </c>
      <c r="CC268" s="207"/>
      <c r="CD268" s="213">
        <f t="shared" ref="CD268:CH268" si="2347">CD261+CD266</f>
        <v>2177.7330590714428</v>
      </c>
      <c r="CE268" s="213">
        <f t="shared" si="2347"/>
        <v>2504.3302336119614</v>
      </c>
      <c r="CF268" s="213">
        <f t="shared" si="2347"/>
        <v>2352.2992329048516</v>
      </c>
      <c r="CG268" s="213">
        <f t="shared" si="2347"/>
        <v>2596.5657138786105</v>
      </c>
      <c r="CH268" s="213">
        <f t="shared" si="2347"/>
        <v>9630.9282394668662</v>
      </c>
      <c r="CI268" s="207"/>
      <c r="CJ268" s="213">
        <f t="shared" ref="CJ268:CN268" si="2348">CJ261+CJ266</f>
        <v>2303.4701867881204</v>
      </c>
      <c r="CK268" s="213">
        <f t="shared" si="2348"/>
        <v>2643.326369463352</v>
      </c>
      <c r="CL268" s="213">
        <f t="shared" si="2348"/>
        <v>2486.4867793725089</v>
      </c>
      <c r="CM268" s="213">
        <f t="shared" si="2348"/>
        <v>2744.5672689352223</v>
      </c>
      <c r="CN268" s="213">
        <f t="shared" si="2348"/>
        <v>10177.850604559204</v>
      </c>
      <c r="CO268" s="379"/>
    </row>
    <row r="269" spans="1:93" s="137" customFormat="1" ht="18" customHeight="1" thickBot="1" x14ac:dyDescent="0.3">
      <c r="B269" s="209" t="s">
        <v>8</v>
      </c>
      <c r="C269" s="210"/>
      <c r="D269" s="180">
        <f>D268/D214</f>
        <v>0</v>
      </c>
      <c r="E269" s="180">
        <f>E268/E214</f>
        <v>0</v>
      </c>
      <c r="F269" s="180">
        <f>F268/F214</f>
        <v>0</v>
      </c>
      <c r="G269" s="180">
        <f>G268/G214</f>
        <v>0</v>
      </c>
      <c r="H269" s="180">
        <f>H268/H214</f>
        <v>0</v>
      </c>
      <c r="I269" s="210"/>
      <c r="J269" s="180">
        <f>J268/J214</f>
        <v>0</v>
      </c>
      <c r="K269" s="180">
        <f>K268/K214</f>
        <v>0</v>
      </c>
      <c r="L269" s="180">
        <f>L268/L214</f>
        <v>0</v>
      </c>
      <c r="M269" s="180">
        <f>M268/M214</f>
        <v>0</v>
      </c>
      <c r="N269" s="180">
        <f>N268/N214</f>
        <v>0</v>
      </c>
      <c r="O269" s="211"/>
      <c r="P269" s="180">
        <f>P268/P214</f>
        <v>0</v>
      </c>
      <c r="Q269" s="180">
        <f>Q268/Q214</f>
        <v>0</v>
      </c>
      <c r="R269" s="180">
        <f>R268/R214</f>
        <v>0</v>
      </c>
      <c r="S269" s="180">
        <f>S268/S214</f>
        <v>0</v>
      </c>
      <c r="T269" s="180">
        <f>T268/T214</f>
        <v>0</v>
      </c>
      <c r="U269" s="211"/>
      <c r="V269" s="180">
        <f>V268/V214</f>
        <v>0.17199356173833066</v>
      </c>
      <c r="W269" s="180">
        <f>W268/W214</f>
        <v>0.18630995420583274</v>
      </c>
      <c r="X269" s="180">
        <f>X268/X214</f>
        <v>0.15356885364095169</v>
      </c>
      <c r="Y269" s="180">
        <f>Y268/Y214</f>
        <v>0.17418416129702766</v>
      </c>
      <c r="Z269" s="180">
        <f>Z268/Z214</f>
        <v>0.17160847166571266</v>
      </c>
      <c r="AA269" s="211"/>
      <c r="AB269" s="180">
        <f>AB268/AB214</f>
        <v>0.18127357443976036</v>
      </c>
      <c r="AC269" s="180">
        <f>AC268/AC214</f>
        <v>0.17688442211055277</v>
      </c>
      <c r="AD269" s="180">
        <f>AD268/AD214</f>
        <v>0.16742170573173135</v>
      </c>
      <c r="AE269" s="180">
        <f>AE268/AE214</f>
        <v>0.14455307262569833</v>
      </c>
      <c r="AF269" s="180">
        <f>AF268/AF214</f>
        <v>0.16636269532212747</v>
      </c>
      <c r="AG269" s="210"/>
      <c r="AH269" s="180">
        <f>AH268/AH214</f>
        <v>0.1333862643906312</v>
      </c>
      <c r="AI269" s="180">
        <f>AI268/AI214</f>
        <v>0.13917616126205085</v>
      </c>
      <c r="AJ269" s="180">
        <f>AJ268/AJ214</f>
        <v>0.17313288069835112</v>
      </c>
      <c r="AK269" s="180">
        <f>AK268/AK214</f>
        <v>0.19331672284918658</v>
      </c>
      <c r="AL269" s="180">
        <f>AL268/AL214</f>
        <v>0.16234422364432469</v>
      </c>
      <c r="AM269" s="210"/>
      <c r="AN269" s="180">
        <f>AN268/AN214</f>
        <v>0.18963863127598338</v>
      </c>
      <c r="AO269" s="180">
        <f>AO268/AO214</f>
        <v>0.19420972433855105</v>
      </c>
      <c r="AP269" s="180">
        <f>AP268/AP214</f>
        <v>0.19244787869951888</v>
      </c>
      <c r="AQ269" s="180">
        <f>AQ268/AQ214</f>
        <v>0.2058938583909245</v>
      </c>
      <c r="AR269" s="180">
        <f>AR268/AR214</f>
        <v>0.19595728723974143</v>
      </c>
      <c r="AS269" s="211"/>
      <c r="AT269" s="180">
        <f>AT268/AT214</f>
        <v>0.21523723993414159</v>
      </c>
      <c r="AU269" s="180">
        <f>AU268/AU214</f>
        <v>0.22734087501703693</v>
      </c>
      <c r="AV269" s="310">
        <f>AV268/AV214</f>
        <v>0.21970224015583692</v>
      </c>
      <c r="AW269" s="180">
        <f>AW268/AW214</f>
        <v>0.21906592994687288</v>
      </c>
      <c r="AX269" s="180">
        <f>AX268/AX214</f>
        <v>0.22042884144370714</v>
      </c>
      <c r="AY269" s="210"/>
      <c r="AZ269" s="180">
        <f>AZ268/AZ214</f>
        <v>0.22694017247558926</v>
      </c>
      <c r="BA269" s="180">
        <f>BA268/BA214</f>
        <v>0.23968863786522004</v>
      </c>
      <c r="BB269" s="180">
        <f>BB268/BB214</f>
        <v>0.23006116092492485</v>
      </c>
      <c r="BC269" s="180">
        <f>BC268/BC214</f>
        <v>0.22990342570132016</v>
      </c>
      <c r="BD269" s="180">
        <f>BD268/BD214</f>
        <v>0.23174267566317536</v>
      </c>
      <c r="BE269" s="210"/>
      <c r="BF269" s="180">
        <f>BF268/BF214</f>
        <v>0.23575651102501147</v>
      </c>
      <c r="BG269" s="180">
        <f>BG268/BG214</f>
        <v>0.24788338810941743</v>
      </c>
      <c r="BH269" s="180">
        <f>BH268/BH214</f>
        <v>0.23871227031827802</v>
      </c>
      <c r="BI269" s="180">
        <f>BI268/BI214</f>
        <v>0.23852417582139709</v>
      </c>
      <c r="BJ269" s="180">
        <f>BJ268/BJ214</f>
        <v>0.2403081824222473</v>
      </c>
      <c r="BK269" s="210"/>
      <c r="BL269" s="180">
        <f>BL268/BL214</f>
        <v>0.2389869887708542</v>
      </c>
      <c r="BM269" s="180">
        <f>BM268/BM214</f>
        <v>0.25056085904652792</v>
      </c>
      <c r="BN269" s="180">
        <f>BN268/BN214</f>
        <v>0.24180436659950755</v>
      </c>
      <c r="BO269" s="180">
        <f>BO268/BO214</f>
        <v>0.24162640460845894</v>
      </c>
      <c r="BP269" s="180">
        <f>BP268/BP214</f>
        <v>0.24332996182743982</v>
      </c>
      <c r="BQ269" s="210"/>
      <c r="BR269" s="180">
        <f>BR268/BR214</f>
        <v>0.24206863511039639</v>
      </c>
      <c r="BS269" s="180">
        <f>BS268/BS214</f>
        <v>0.25311344269316466</v>
      </c>
      <c r="BT269" s="180">
        <f>BT268/BT214</f>
        <v>0.24475409239560109</v>
      </c>
      <c r="BU269" s="180">
        <f>BU268/BU214</f>
        <v>0.24458644751169162</v>
      </c>
      <c r="BV269" s="180">
        <f>BV268/BV214</f>
        <v>0.24621233554284205</v>
      </c>
      <c r="BW269" s="210"/>
      <c r="BX269" s="180">
        <f>BX268/BX214</f>
        <v>0.2450078058432951</v>
      </c>
      <c r="BY269" s="180">
        <f>BY268/BY214</f>
        <v>0.25554652308281728</v>
      </c>
      <c r="BZ269" s="180">
        <f>BZ268/BZ214</f>
        <v>0.24756750468979768</v>
      </c>
      <c r="CA269" s="180">
        <f>CA268/CA214</f>
        <v>0.24741028071680501</v>
      </c>
      <c r="CB269" s="180">
        <f>CB268/CB214</f>
        <v>0.24896123946164259</v>
      </c>
      <c r="CC269" s="210"/>
      <c r="CD269" s="180">
        <f>CD268/CD214</f>
        <v>0.2478106094600262</v>
      </c>
      <c r="CE269" s="180">
        <f>CE268/CE214</f>
        <v>0.25786527259863978</v>
      </c>
      <c r="CF269" s="180">
        <f>CF268/CF214</f>
        <v>0.25025042663315955</v>
      </c>
      <c r="CG269" s="180">
        <f>CG268/CG214</f>
        <v>0.25010365578906124</v>
      </c>
      <c r="CH269" s="180">
        <f>CH268/CH214</f>
        <v>0.25158238049191128</v>
      </c>
      <c r="CI269" s="210"/>
      <c r="CJ269" s="180">
        <f>CJ268/CJ214</f>
        <v>0.25048291538369866</v>
      </c>
      <c r="CK269" s="180">
        <f>CK268/CK214</f>
        <v>0.26007465914362404</v>
      </c>
      <c r="CL269" s="180">
        <f>CL268/CL214</f>
        <v>0.25280845521500617</v>
      </c>
      <c r="CM269" s="180">
        <f>CM268/CM214</f>
        <v>0.25267210659156081</v>
      </c>
      <c r="CN269" s="180">
        <f>CN268/CN214</f>
        <v>0.25408124403543936</v>
      </c>
      <c r="CO269" s="379"/>
    </row>
    <row r="270" spans="1:93" s="137" customFormat="1" ht="18" customHeight="1" x14ac:dyDescent="0.25">
      <c r="B270" s="382"/>
      <c r="C270" s="379"/>
      <c r="D270" s="247"/>
      <c r="E270" s="247"/>
      <c r="F270" s="247"/>
      <c r="G270" s="247"/>
      <c r="H270" s="247"/>
      <c r="I270" s="379"/>
      <c r="J270" s="247"/>
      <c r="K270" s="247"/>
      <c r="L270" s="247"/>
      <c r="M270" s="247"/>
      <c r="N270" s="247"/>
      <c r="O270" s="380"/>
      <c r="P270" s="247"/>
      <c r="Q270" s="247"/>
      <c r="R270" s="247"/>
      <c r="S270" s="247"/>
      <c r="T270" s="247"/>
      <c r="U270" s="380"/>
      <c r="V270" s="247"/>
      <c r="W270" s="247"/>
      <c r="X270" s="247"/>
      <c r="Y270" s="247"/>
      <c r="Z270" s="247"/>
      <c r="AA270" s="380"/>
      <c r="AB270" s="247"/>
      <c r="AC270" s="247"/>
      <c r="AD270" s="247"/>
      <c r="AE270" s="247"/>
      <c r="AF270" s="247"/>
      <c r="AG270" s="379"/>
      <c r="AH270" s="247"/>
      <c r="AI270" s="247"/>
      <c r="AJ270" s="247"/>
      <c r="AK270" s="247"/>
      <c r="AL270" s="247"/>
      <c r="AM270" s="379"/>
      <c r="AN270" s="247"/>
      <c r="AO270" s="247"/>
      <c r="AP270" s="247"/>
      <c r="AQ270" s="247"/>
      <c r="AR270" s="247"/>
      <c r="AS270" s="380"/>
      <c r="AT270" s="247"/>
      <c r="AU270" s="247"/>
      <c r="AV270" s="130"/>
      <c r="AW270" s="247"/>
      <c r="AX270" s="247"/>
      <c r="AY270" s="379"/>
      <c r="AZ270" s="247"/>
      <c r="BA270" s="247"/>
      <c r="BB270" s="247"/>
      <c r="BC270" s="247"/>
      <c r="BD270" s="247"/>
      <c r="BE270" s="379"/>
      <c r="BF270" s="247"/>
      <c r="BG270" s="247"/>
      <c r="BH270" s="247"/>
      <c r="BI270" s="247"/>
      <c r="BJ270" s="247"/>
      <c r="BK270" s="379"/>
      <c r="BL270" s="247"/>
      <c r="BM270" s="247"/>
      <c r="BN270" s="247"/>
      <c r="BO270" s="247"/>
      <c r="BP270" s="247"/>
      <c r="BQ270" s="379"/>
      <c r="BR270" s="247"/>
      <c r="BS270" s="247"/>
      <c r="BT270" s="247"/>
      <c r="BU270" s="247"/>
      <c r="BV270" s="247"/>
      <c r="BW270" s="379"/>
      <c r="BX270" s="247"/>
      <c r="BY270" s="247"/>
      <c r="BZ270" s="247"/>
      <c r="CA270" s="247"/>
      <c r="CB270" s="247"/>
      <c r="CC270" s="379"/>
      <c r="CD270" s="247"/>
      <c r="CE270" s="247"/>
      <c r="CF270" s="247"/>
      <c r="CG270" s="247"/>
      <c r="CH270" s="247"/>
      <c r="CI270" s="379"/>
      <c r="CJ270" s="247"/>
      <c r="CK270" s="247"/>
      <c r="CL270" s="247"/>
      <c r="CM270" s="247"/>
      <c r="CN270" s="247"/>
      <c r="CO270" s="379"/>
    </row>
    <row r="271" spans="1:93" s="435" customFormat="1" ht="18" customHeight="1" x14ac:dyDescent="0.25">
      <c r="A271" s="437"/>
      <c r="B271" s="529" t="s">
        <v>335</v>
      </c>
      <c r="C271" s="437"/>
      <c r="J271" s="438"/>
      <c r="K271" s="438"/>
      <c r="L271" s="438"/>
      <c r="M271" s="438"/>
      <c r="N271" s="438"/>
      <c r="O271" s="439"/>
      <c r="P271" s="438"/>
      <c r="Q271" s="438"/>
      <c r="R271" s="438"/>
      <c r="S271" s="438"/>
      <c r="T271" s="440"/>
      <c r="U271" s="439"/>
      <c r="V271" s="440"/>
      <c r="W271" s="440"/>
      <c r="X271" s="440"/>
      <c r="Y271" s="443"/>
      <c r="Z271" s="440"/>
      <c r="AA271" s="440"/>
      <c r="AB271" s="440">
        <v>81</v>
      </c>
      <c r="AC271" s="440">
        <v>143</v>
      </c>
      <c r="AD271" s="440">
        <v>115</v>
      </c>
      <c r="AE271" s="443">
        <f>AF271-SUM(AB271:AD271)</f>
        <v>288</v>
      </c>
      <c r="AF271" s="440">
        <v>627</v>
      </c>
      <c r="AG271" s="440"/>
      <c r="AH271" s="440">
        <v>177</v>
      </c>
      <c r="AI271" s="440">
        <v>100</v>
      </c>
      <c r="AJ271" s="441">
        <v>167</v>
      </c>
      <c r="AK271" s="443">
        <f>AL271-SUM(AH271:AJ271)</f>
        <v>312</v>
      </c>
      <c r="AL271" s="440">
        <v>756</v>
      </c>
      <c r="AM271" s="440"/>
      <c r="AN271" s="440">
        <v>169</v>
      </c>
      <c r="AO271" s="440">
        <v>177</v>
      </c>
      <c r="AP271" s="440">
        <v>249</v>
      </c>
      <c r="AQ271" s="443">
        <f>AR271-SUM(AN271:AP271)</f>
        <v>349</v>
      </c>
      <c r="AR271" s="440">
        <v>944</v>
      </c>
      <c r="AS271" s="440"/>
      <c r="AT271" s="440">
        <v>122</v>
      </c>
      <c r="AU271" s="440">
        <v>257</v>
      </c>
      <c r="AV271" s="453">
        <v>292</v>
      </c>
      <c r="AW271" s="443">
        <f>AQ271*(1+AW272)+AW273</f>
        <v>403.90000000000003</v>
      </c>
      <c r="AX271" s="443">
        <f>SUM(AT271:AW271)</f>
        <v>1074.9000000000001</v>
      </c>
      <c r="AY271" s="437"/>
      <c r="AZ271" s="443">
        <f t="shared" ref="AZ271:BC271" si="2349">AT271*(1+AZ272)+AZ273</f>
        <v>148.1</v>
      </c>
      <c r="BA271" s="443">
        <f t="shared" si="2349"/>
        <v>289.85000000000002</v>
      </c>
      <c r="BB271" s="443">
        <f t="shared" si="2349"/>
        <v>326.60000000000002</v>
      </c>
      <c r="BC271" s="443">
        <f t="shared" si="2349"/>
        <v>444.09500000000003</v>
      </c>
      <c r="BD271" s="443">
        <f>SUM(AZ271:BC271)</f>
        <v>1208.645</v>
      </c>
      <c r="BE271" s="437"/>
      <c r="BF271" s="443">
        <f t="shared" ref="BF271" si="2350">AZ271*(1+BF272)+BF273</f>
        <v>175.505</v>
      </c>
      <c r="BG271" s="443">
        <f t="shared" ref="BG271" si="2351">BA271*(1+BG272)+BG273</f>
        <v>324.34250000000003</v>
      </c>
      <c r="BH271" s="443">
        <f t="shared" ref="BH271" si="2352">BB271*(1+BH272)+BH273</f>
        <v>362.93000000000006</v>
      </c>
      <c r="BI271" s="443">
        <f t="shared" ref="BI271" si="2353">BC271*(1+BI272)+BI273</f>
        <v>486.29975000000007</v>
      </c>
      <c r="BJ271" s="443">
        <f>SUM(BF271:BI271)</f>
        <v>1349.0772500000003</v>
      </c>
      <c r="BK271" s="437"/>
      <c r="BL271" s="443">
        <f t="shared" ref="BL271" si="2354">BF271*(1+BL272)+BL273</f>
        <v>199.01509999999999</v>
      </c>
      <c r="BM271" s="443">
        <f t="shared" ref="BM271" si="2355">BG271*(1+BM272)+BM273</f>
        <v>350.82935000000003</v>
      </c>
      <c r="BN271" s="443">
        <f t="shared" ref="BN271" si="2356">BH271*(1+BN272)+BN273</f>
        <v>390.18860000000006</v>
      </c>
      <c r="BO271" s="443">
        <f t="shared" ref="BO271" si="2357">BI271*(1+BO272)+BO273</f>
        <v>516.02574500000014</v>
      </c>
      <c r="BP271" s="443">
        <f>SUM(BL271:BO271)</f>
        <v>1456.0587950000004</v>
      </c>
      <c r="BQ271" s="437"/>
      <c r="BR271" s="443">
        <f t="shared" ref="BR271" si="2358">BL271*(1+BR272)+BR273</f>
        <v>222.99540199999998</v>
      </c>
      <c r="BS271" s="443">
        <f t="shared" ref="BS271" si="2359">BM271*(1+BS272)+BS273</f>
        <v>377.84593700000005</v>
      </c>
      <c r="BT271" s="443">
        <f t="shared" ref="BT271" si="2360">BN271*(1+BT272)+BT273</f>
        <v>417.99237200000005</v>
      </c>
      <c r="BU271" s="443">
        <f t="shared" ref="BU271" si="2361">BO271*(1+BU272)+BU273</f>
        <v>546.34625990000018</v>
      </c>
      <c r="BV271" s="443">
        <f>SUM(BR271:BU271)</f>
        <v>1565.1799709000002</v>
      </c>
      <c r="BW271" s="437"/>
      <c r="BX271" s="443">
        <f t="shared" ref="BX271" si="2362">BR271*(1+BX272)+BX273</f>
        <v>227.45531004</v>
      </c>
      <c r="BY271" s="443">
        <f t="shared" ref="BY271" si="2363">BS271*(1+BY272)+BY273</f>
        <v>385.40285574000006</v>
      </c>
      <c r="BZ271" s="443">
        <f t="shared" ref="BZ271" si="2364">BT271*(1+BZ272)+BZ273</f>
        <v>426.35221944000006</v>
      </c>
      <c r="CA271" s="443">
        <f t="shared" ref="CA271" si="2365">BU271*(1+CA272)+CA273</f>
        <v>557.27318509800023</v>
      </c>
      <c r="CB271" s="443">
        <f>SUM(BX271:CA271)</f>
        <v>1596.4835703180001</v>
      </c>
      <c r="CC271" s="437"/>
      <c r="CD271" s="443">
        <f t="shared" ref="CD271" si="2366">BX271*(1+CD272)+CD273</f>
        <v>232.0044162408</v>
      </c>
      <c r="CE271" s="443">
        <f t="shared" ref="CE271" si="2367">BY271*(1+CE272)+CE273</f>
        <v>393.11091285480006</v>
      </c>
      <c r="CF271" s="443">
        <f t="shared" ref="CF271" si="2368">BZ271*(1+CF272)+CF273</f>
        <v>434.87926382880005</v>
      </c>
      <c r="CG271" s="443">
        <f t="shared" ref="CG271" si="2369">CA271*(1+CG272)+CG273</f>
        <v>568.41864879996024</v>
      </c>
      <c r="CH271" s="443">
        <f>SUM(CD271:CG271)</f>
        <v>1628.4132417243602</v>
      </c>
      <c r="CI271" s="437"/>
      <c r="CJ271" s="443">
        <f t="shared" ref="CJ271" si="2370">CD271*(1+CJ272)+CJ273</f>
        <v>236.64450456561599</v>
      </c>
      <c r="CK271" s="443">
        <f t="shared" ref="CK271" si="2371">CE271*(1+CK272)+CK273</f>
        <v>400.97313111189607</v>
      </c>
      <c r="CL271" s="443">
        <f t="shared" ref="CL271" si="2372">CF271*(1+CL272)+CL273</f>
        <v>443.57684910537608</v>
      </c>
      <c r="CM271" s="443">
        <f t="shared" ref="CM271" si="2373">CG271*(1+CM272)+CM273</f>
        <v>579.78702177595949</v>
      </c>
      <c r="CN271" s="443">
        <f>SUM(CJ271:CM271)</f>
        <v>1660.9815065588477</v>
      </c>
      <c r="CO271" s="437"/>
    </row>
    <row r="272" spans="1:93" s="137" customFormat="1" ht="18" customHeight="1" x14ac:dyDescent="0.25">
      <c r="A272" s="379"/>
      <c r="B272" s="14" t="s">
        <v>139</v>
      </c>
      <c r="C272" s="379"/>
      <c r="J272" s="104"/>
      <c r="K272" s="104"/>
      <c r="L272" s="104"/>
      <c r="M272" s="104"/>
      <c r="N272" s="104"/>
      <c r="O272" s="205"/>
      <c r="P272" s="104"/>
      <c r="Q272" s="104"/>
      <c r="R272" s="104"/>
      <c r="S272" s="104"/>
      <c r="T272" s="121"/>
      <c r="U272" s="205"/>
      <c r="V272" s="121"/>
      <c r="W272" s="121"/>
      <c r="X272" s="121"/>
      <c r="Y272" s="153"/>
      <c r="Z272" s="121"/>
      <c r="AA272" s="121"/>
      <c r="AB272" s="121"/>
      <c r="AC272" s="121"/>
      <c r="AD272" s="121"/>
      <c r="AE272" s="153"/>
      <c r="AF272" s="121"/>
      <c r="AG272" s="121"/>
      <c r="AH272" s="121"/>
      <c r="AI272" s="121"/>
      <c r="AJ272" s="238"/>
      <c r="AK272" s="153"/>
      <c r="AL272" s="121"/>
      <c r="AM272" s="121"/>
      <c r="AN272" s="121"/>
      <c r="AO272" s="121"/>
      <c r="AP272" s="121"/>
      <c r="AQ272" s="153"/>
      <c r="AR272" s="121"/>
      <c r="AS272" s="121"/>
      <c r="AT272" s="121"/>
      <c r="AU272" s="121"/>
      <c r="AV272" s="263"/>
      <c r="AW272" s="539">
        <v>0.1</v>
      </c>
      <c r="AX272" s="445"/>
      <c r="AY272" s="437"/>
      <c r="AZ272" s="454">
        <v>0.05</v>
      </c>
      <c r="BA272" s="454">
        <v>0.05</v>
      </c>
      <c r="BB272" s="454">
        <v>0.05</v>
      </c>
      <c r="BC272" s="454">
        <v>0.05</v>
      </c>
      <c r="BD272" s="445"/>
      <c r="BE272" s="437"/>
      <c r="BF272" s="454">
        <v>0.05</v>
      </c>
      <c r="BG272" s="454">
        <v>0.05</v>
      </c>
      <c r="BH272" s="454">
        <v>0.05</v>
      </c>
      <c r="BI272" s="454">
        <v>0.05</v>
      </c>
      <c r="BJ272" s="445"/>
      <c r="BK272" s="437"/>
      <c r="BL272" s="454">
        <v>0.02</v>
      </c>
      <c r="BM272" s="454">
        <v>0.02</v>
      </c>
      <c r="BN272" s="454">
        <v>0.02</v>
      </c>
      <c r="BO272" s="454">
        <v>0.02</v>
      </c>
      <c r="BP272" s="445"/>
      <c r="BQ272" s="437"/>
      <c r="BR272" s="454">
        <v>0.02</v>
      </c>
      <c r="BS272" s="454">
        <v>0.02</v>
      </c>
      <c r="BT272" s="454">
        <v>0.02</v>
      </c>
      <c r="BU272" s="454">
        <v>0.02</v>
      </c>
      <c r="BV272" s="445"/>
      <c r="BW272" s="437"/>
      <c r="BX272" s="454">
        <v>0.02</v>
      </c>
      <c r="BY272" s="454">
        <v>0.02</v>
      </c>
      <c r="BZ272" s="454">
        <v>0.02</v>
      </c>
      <c r="CA272" s="454">
        <v>0.02</v>
      </c>
      <c r="CB272" s="445"/>
      <c r="CC272" s="437"/>
      <c r="CD272" s="454">
        <v>0.02</v>
      </c>
      <c r="CE272" s="454">
        <v>0.02</v>
      </c>
      <c r="CF272" s="454">
        <v>0.02</v>
      </c>
      <c r="CG272" s="454">
        <v>0.02</v>
      </c>
      <c r="CH272" s="445"/>
      <c r="CI272" s="437"/>
      <c r="CJ272" s="454">
        <v>0.02</v>
      </c>
      <c r="CK272" s="454">
        <v>0.02</v>
      </c>
      <c r="CL272" s="454">
        <v>0.02</v>
      </c>
      <c r="CM272" s="454">
        <v>0.02</v>
      </c>
      <c r="CN272" s="445"/>
      <c r="CO272" s="379"/>
    </row>
    <row r="273" spans="1:93" s="137" customFormat="1" ht="18" customHeight="1" x14ac:dyDescent="0.25">
      <c r="A273" s="379"/>
      <c r="B273" s="14" t="s">
        <v>539</v>
      </c>
      <c r="C273" s="379"/>
      <c r="J273" s="104"/>
      <c r="K273" s="104"/>
      <c r="L273" s="104"/>
      <c r="M273" s="104"/>
      <c r="N273" s="104"/>
      <c r="O273" s="205"/>
      <c r="P273" s="104"/>
      <c r="Q273" s="104"/>
      <c r="R273" s="104"/>
      <c r="S273" s="104"/>
      <c r="T273" s="121"/>
      <c r="U273" s="205"/>
      <c r="V273" s="121"/>
      <c r="W273" s="121"/>
      <c r="X273" s="121"/>
      <c r="Y273" s="153"/>
      <c r="Z273" s="121"/>
      <c r="AA273" s="121"/>
      <c r="AB273" s="121"/>
      <c r="AC273" s="121"/>
      <c r="AD273" s="121"/>
      <c r="AE273" s="153"/>
      <c r="AF273" s="121"/>
      <c r="AG273" s="121"/>
      <c r="AH273" s="121"/>
      <c r="AI273" s="121"/>
      <c r="AJ273" s="238"/>
      <c r="AK273" s="153"/>
      <c r="AL273" s="121"/>
      <c r="AM273" s="121"/>
      <c r="AN273" s="121"/>
      <c r="AO273" s="121"/>
      <c r="AP273" s="121"/>
      <c r="AQ273" s="153"/>
      <c r="AR273" s="121"/>
      <c r="AS273" s="121"/>
      <c r="AT273" s="121"/>
      <c r="AU273" s="121"/>
      <c r="AV273" s="263"/>
      <c r="AW273" s="540">
        <v>20</v>
      </c>
      <c r="AX273" s="445"/>
      <c r="AY273" s="437"/>
      <c r="AZ273" s="528">
        <v>20</v>
      </c>
      <c r="BA273" s="528">
        <v>20</v>
      </c>
      <c r="BB273" s="528">
        <v>20</v>
      </c>
      <c r="BC273" s="528">
        <v>20</v>
      </c>
      <c r="BD273" s="445"/>
      <c r="BE273" s="437"/>
      <c r="BF273" s="528">
        <v>20</v>
      </c>
      <c r="BG273" s="528">
        <v>20</v>
      </c>
      <c r="BH273" s="528">
        <v>20</v>
      </c>
      <c r="BI273" s="528">
        <v>20</v>
      </c>
      <c r="BJ273" s="445"/>
      <c r="BK273" s="437"/>
      <c r="BL273" s="528">
        <v>20</v>
      </c>
      <c r="BM273" s="528">
        <v>20</v>
      </c>
      <c r="BN273" s="528">
        <v>20</v>
      </c>
      <c r="BO273" s="528">
        <v>20</v>
      </c>
      <c r="BP273" s="445"/>
      <c r="BQ273" s="437"/>
      <c r="BR273" s="528">
        <v>20</v>
      </c>
      <c r="BS273" s="528">
        <v>20</v>
      </c>
      <c r="BT273" s="528">
        <v>20</v>
      </c>
      <c r="BU273" s="528">
        <v>20</v>
      </c>
      <c r="BV273" s="445"/>
      <c r="BW273" s="437"/>
      <c r="BX273" s="528">
        <v>0</v>
      </c>
      <c r="BY273" s="528">
        <v>0</v>
      </c>
      <c r="BZ273" s="528">
        <v>0</v>
      </c>
      <c r="CA273" s="528">
        <v>0</v>
      </c>
      <c r="CB273" s="445"/>
      <c r="CC273" s="437"/>
      <c r="CD273" s="528">
        <v>0</v>
      </c>
      <c r="CE273" s="528">
        <v>0</v>
      </c>
      <c r="CF273" s="528">
        <v>0</v>
      </c>
      <c r="CG273" s="528">
        <v>0</v>
      </c>
      <c r="CH273" s="445"/>
      <c r="CI273" s="437"/>
      <c r="CJ273" s="528">
        <v>0</v>
      </c>
      <c r="CK273" s="528">
        <v>0</v>
      </c>
      <c r="CL273" s="528">
        <v>0</v>
      </c>
      <c r="CM273" s="528">
        <v>0</v>
      </c>
      <c r="CN273" s="445"/>
      <c r="CO273" s="379"/>
    </row>
    <row r="274" spans="1:93" s="435" customFormat="1" ht="18" customHeight="1" thickBot="1" x14ac:dyDescent="0.3">
      <c r="A274" s="530"/>
      <c r="B274" s="531"/>
      <c r="C274" s="530"/>
      <c r="J274" s="438"/>
      <c r="K274" s="438"/>
      <c r="L274" s="438"/>
      <c r="M274" s="438"/>
      <c r="N274" s="438"/>
      <c r="O274" s="439"/>
      <c r="P274" s="438"/>
      <c r="Q274" s="438"/>
      <c r="R274" s="438"/>
      <c r="S274" s="438"/>
      <c r="T274" s="440"/>
      <c r="U274" s="439"/>
      <c r="V274" s="440"/>
      <c r="W274" s="440"/>
      <c r="X274" s="440"/>
      <c r="Y274" s="443"/>
      <c r="Z274" s="440"/>
      <c r="AA274" s="440"/>
      <c r="AB274" s="440"/>
      <c r="AC274" s="440"/>
      <c r="AD274" s="440"/>
      <c r="AE274" s="443"/>
      <c r="AF274" s="440"/>
      <c r="AG274" s="440"/>
      <c r="AH274" s="440"/>
      <c r="AI274" s="440"/>
      <c r="AJ274" s="441"/>
      <c r="AK274" s="443"/>
      <c r="AL274" s="440"/>
      <c r="AM274" s="440"/>
      <c r="AN274" s="440"/>
      <c r="AO274" s="440"/>
      <c r="AP274" s="440"/>
      <c r="AQ274" s="443"/>
      <c r="AR274" s="440"/>
      <c r="AS274" s="440"/>
      <c r="AT274" s="440"/>
      <c r="AU274" s="440"/>
      <c r="AV274" s="453"/>
      <c r="AW274" s="532"/>
      <c r="AX274" s="445"/>
      <c r="AY274" s="437"/>
      <c r="AZ274" s="532"/>
      <c r="BA274" s="532"/>
      <c r="BB274" s="532"/>
      <c r="BC274" s="532"/>
      <c r="BD274" s="445"/>
      <c r="BE274" s="437"/>
      <c r="BF274" s="532"/>
      <c r="BG274" s="532"/>
      <c r="BH274" s="532"/>
      <c r="BI274" s="532"/>
      <c r="BJ274" s="445"/>
      <c r="BK274" s="437"/>
      <c r="BL274" s="532"/>
      <c r="BM274" s="532"/>
      <c r="BN274" s="532"/>
      <c r="BO274" s="532"/>
      <c r="BP274" s="445"/>
      <c r="BQ274" s="437"/>
      <c r="BR274" s="532"/>
      <c r="BS274" s="532"/>
      <c r="BT274" s="532"/>
      <c r="BU274" s="532"/>
      <c r="BV274" s="445"/>
      <c r="BW274" s="437"/>
      <c r="BX274" s="532"/>
      <c r="BY274" s="532"/>
      <c r="BZ274" s="532"/>
      <c r="CA274" s="532"/>
      <c r="CB274" s="445"/>
      <c r="CC274" s="437"/>
      <c r="CD274" s="532"/>
      <c r="CE274" s="532"/>
      <c r="CF274" s="532"/>
      <c r="CG274" s="532"/>
      <c r="CH274" s="445"/>
      <c r="CI274" s="437"/>
      <c r="CJ274" s="532"/>
      <c r="CK274" s="532"/>
      <c r="CL274" s="532"/>
      <c r="CM274" s="532"/>
      <c r="CN274" s="445"/>
      <c r="CO274" s="437"/>
    </row>
    <row r="275" spans="1:93" ht="18" customHeight="1" thickBot="1" x14ac:dyDescent="0.3">
      <c r="A275" s="406">
        <v>2</v>
      </c>
      <c r="B275" s="412" t="s">
        <v>405</v>
      </c>
      <c r="C275" s="413"/>
      <c r="D275" s="217"/>
      <c r="E275" s="217"/>
      <c r="F275" s="217"/>
      <c r="G275" s="217"/>
      <c r="H275" s="217"/>
      <c r="I275" s="126"/>
      <c r="J275" s="217"/>
      <c r="K275" s="217"/>
      <c r="L275" s="217"/>
      <c r="M275" s="217"/>
      <c r="N275" s="217"/>
      <c r="O275" s="204"/>
      <c r="P275" s="217"/>
      <c r="Q275" s="217"/>
      <c r="R275" s="217"/>
      <c r="S275" s="217"/>
      <c r="T275" s="217"/>
      <c r="U275" s="204"/>
      <c r="V275" s="217"/>
      <c r="W275" s="217"/>
      <c r="X275" s="217"/>
      <c r="Y275" s="217"/>
      <c r="Z275" s="217"/>
      <c r="AA275" s="126"/>
      <c r="AB275" s="217"/>
      <c r="AC275" s="217"/>
      <c r="AD275" s="217"/>
      <c r="AE275" s="217"/>
      <c r="AF275" s="217"/>
      <c r="AG275" s="126"/>
      <c r="AH275" s="217"/>
      <c r="AI275" s="217"/>
      <c r="AJ275" s="217"/>
      <c r="AK275" s="217"/>
      <c r="AL275" s="217"/>
      <c r="AM275" s="126"/>
      <c r="AN275" s="217"/>
      <c r="AO275" s="217"/>
      <c r="AP275" s="217"/>
      <c r="AQ275" s="217"/>
      <c r="AR275" s="217"/>
      <c r="AS275" s="126"/>
      <c r="AT275" s="217"/>
      <c r="AU275" s="217"/>
      <c r="AV275" s="409"/>
      <c r="AW275" s="217"/>
      <c r="AX275" s="217"/>
      <c r="AY275" s="126"/>
      <c r="AZ275" s="217"/>
      <c r="BA275" s="217"/>
      <c r="BB275" s="217"/>
      <c r="BC275" s="217"/>
      <c r="BD275" s="217"/>
      <c r="BE275" s="126"/>
      <c r="BF275" s="217"/>
      <c r="BG275" s="217"/>
      <c r="BH275" s="217"/>
      <c r="BI275" s="217"/>
      <c r="BJ275" s="217"/>
      <c r="BK275" s="126"/>
      <c r="BL275" s="217"/>
      <c r="BM275" s="217"/>
      <c r="BN275" s="217"/>
      <c r="BO275" s="217"/>
      <c r="BP275" s="217"/>
      <c r="BQ275" s="126"/>
      <c r="BR275" s="217"/>
      <c r="BS275" s="217"/>
      <c r="BT275" s="217"/>
      <c r="BU275" s="217"/>
      <c r="BV275" s="217"/>
      <c r="BW275" s="126"/>
      <c r="BX275" s="217"/>
      <c r="BY275" s="217"/>
      <c r="BZ275" s="217"/>
      <c r="CA275" s="217"/>
      <c r="CB275" s="217"/>
      <c r="CC275" s="126"/>
      <c r="CD275" s="217"/>
      <c r="CE275" s="217"/>
      <c r="CF275" s="217"/>
      <c r="CG275" s="217"/>
      <c r="CH275" s="217"/>
      <c r="CI275" s="126"/>
      <c r="CJ275" s="217"/>
      <c r="CK275" s="217"/>
      <c r="CL275" s="217"/>
      <c r="CM275" s="217"/>
      <c r="CN275" s="217"/>
    </row>
    <row r="276" spans="1:93" ht="18" customHeight="1" thickBot="1" x14ac:dyDescent="0.3">
      <c r="A276" s="201"/>
      <c r="B276" s="428"/>
      <c r="C276" s="429"/>
      <c r="D276" s="430"/>
      <c r="E276" s="430"/>
      <c r="F276" s="430"/>
      <c r="G276" s="430"/>
      <c r="H276" s="431"/>
      <c r="I276" s="430"/>
      <c r="J276" s="430"/>
      <c r="K276" s="430"/>
      <c r="L276" s="430"/>
      <c r="M276" s="430"/>
      <c r="N276" s="431"/>
      <c r="O276" s="430"/>
      <c r="P276" s="430"/>
      <c r="Q276" s="430"/>
      <c r="R276" s="430"/>
      <c r="S276" s="430"/>
      <c r="T276" s="431"/>
      <c r="U276" s="430"/>
      <c r="V276" s="430"/>
      <c r="W276" s="430"/>
      <c r="X276" s="430"/>
      <c r="Y276" s="430"/>
      <c r="Z276" s="431"/>
      <c r="AA276" s="430"/>
      <c r="AB276" s="430"/>
      <c r="AC276" s="430"/>
      <c r="AD276" s="430"/>
      <c r="AE276" s="430"/>
      <c r="AF276" s="431"/>
      <c r="AG276" s="430"/>
      <c r="AH276" s="430"/>
      <c r="AI276" s="430"/>
      <c r="AJ276" s="430"/>
      <c r="AK276" s="430"/>
      <c r="AL276" s="431"/>
      <c r="AM276" s="430"/>
      <c r="AN276" s="430"/>
      <c r="AO276" s="430"/>
      <c r="AP276" s="430"/>
      <c r="AQ276" s="430"/>
      <c r="AR276" s="431"/>
      <c r="AS276" s="430"/>
      <c r="AT276" s="430"/>
      <c r="AU276" s="430"/>
      <c r="AV276" s="432"/>
      <c r="AW276" s="430"/>
      <c r="AX276" s="430"/>
      <c r="AY276" s="430"/>
      <c r="AZ276" s="430"/>
      <c r="BA276" s="430"/>
      <c r="BB276" s="430"/>
      <c r="BC276" s="430"/>
      <c r="BD276" s="430"/>
      <c r="BE276" s="430"/>
      <c r="BF276" s="430"/>
      <c r="BG276" s="430"/>
      <c r="BH276" s="430"/>
      <c r="BI276" s="430"/>
      <c r="BJ276" s="430"/>
      <c r="BK276" s="430"/>
      <c r="BL276" s="430"/>
      <c r="BM276" s="430"/>
      <c r="BN276" s="430"/>
      <c r="BO276" s="430"/>
      <c r="BP276" s="430"/>
      <c r="BQ276" s="430"/>
      <c r="BR276" s="430"/>
      <c r="BS276" s="430"/>
      <c r="BT276" s="430"/>
      <c r="BU276" s="430"/>
      <c r="BV276" s="430"/>
      <c r="BW276" s="430"/>
      <c r="BX276" s="430"/>
      <c r="BY276" s="430"/>
      <c r="BZ276" s="430"/>
      <c r="CA276" s="430"/>
      <c r="CB276" s="430"/>
      <c r="CC276" s="430"/>
      <c r="CD276" s="430"/>
      <c r="CE276" s="430"/>
      <c r="CF276" s="430"/>
      <c r="CG276" s="430"/>
      <c r="CH276" s="430"/>
      <c r="CI276" s="430"/>
      <c r="CJ276" s="430"/>
      <c r="CK276" s="430"/>
      <c r="CL276" s="430"/>
      <c r="CM276" s="430"/>
      <c r="CN276" s="430"/>
    </row>
    <row r="277" spans="1:93" s="137" customFormat="1" ht="18" customHeight="1" thickBot="1" x14ac:dyDescent="0.3">
      <c r="B277" s="427" t="s">
        <v>141</v>
      </c>
      <c r="C277" s="210"/>
      <c r="D277" s="433">
        <f>D8</f>
        <v>692</v>
      </c>
      <c r="E277" s="433">
        <f>E8</f>
        <v>692</v>
      </c>
      <c r="F277" s="433">
        <f>F8</f>
        <v>700</v>
      </c>
      <c r="G277" s="433">
        <f>G8</f>
        <v>702</v>
      </c>
      <c r="H277" s="433">
        <f>H8</f>
        <v>2786</v>
      </c>
      <c r="I277" s="210"/>
      <c r="J277" s="433">
        <f>J8</f>
        <v>709</v>
      </c>
      <c r="K277" s="433">
        <f>K8</f>
        <v>732</v>
      </c>
      <c r="L277" s="433">
        <f>L8</f>
        <v>747</v>
      </c>
      <c r="M277" s="433">
        <f>M8</f>
        <v>712</v>
      </c>
      <c r="N277" s="433">
        <f>N8</f>
        <v>2900</v>
      </c>
      <c r="O277" s="211"/>
      <c r="P277" s="433">
        <f>P8</f>
        <v>742</v>
      </c>
      <c r="Q277" s="433">
        <f>Q8</f>
        <v>761</v>
      </c>
      <c r="R277" s="433">
        <f>R8</f>
        <v>784</v>
      </c>
      <c r="S277" s="433">
        <f>S8</f>
        <v>758</v>
      </c>
      <c r="T277" s="433">
        <f>T8</f>
        <v>3045</v>
      </c>
      <c r="U277" s="211"/>
      <c r="V277" s="433">
        <f>V8</f>
        <v>721</v>
      </c>
      <c r="W277" s="433">
        <f>W8</f>
        <v>687</v>
      </c>
      <c r="X277" s="433">
        <f>X8</f>
        <v>653</v>
      </c>
      <c r="Y277" s="433">
        <f>Y8</f>
        <v>665</v>
      </c>
      <c r="Z277" s="433">
        <f>Z8</f>
        <v>2726</v>
      </c>
      <c r="AA277" s="211"/>
      <c r="AB277" s="433">
        <f>AB8</f>
        <v>696</v>
      </c>
      <c r="AC277" s="433">
        <f>AC8</f>
        <v>696</v>
      </c>
      <c r="AD277" s="433">
        <f>AD8</f>
        <v>690</v>
      </c>
      <c r="AE277" s="433">
        <f>AE8</f>
        <v>701</v>
      </c>
      <c r="AF277" s="433">
        <f>AF8</f>
        <v>2783</v>
      </c>
      <c r="AG277" s="210"/>
      <c r="AH277" s="433">
        <f>AH8</f>
        <v>703</v>
      </c>
      <c r="AI277" s="433">
        <f>AI8</f>
        <v>708</v>
      </c>
      <c r="AJ277" s="433">
        <f>AJ8</f>
        <v>716</v>
      </c>
      <c r="AK277" s="433">
        <f>AK8</f>
        <v>726</v>
      </c>
      <c r="AL277" s="433">
        <f>AL8</f>
        <v>2853</v>
      </c>
      <c r="AM277" s="210"/>
      <c r="AN277" s="433">
        <f>AN8</f>
        <v>763</v>
      </c>
      <c r="AO277" s="433">
        <f>AO8</f>
        <v>773</v>
      </c>
      <c r="AP277" s="433">
        <f>AP8</f>
        <v>822</v>
      </c>
      <c r="AQ277" s="433">
        <f>AQ8</f>
        <v>833</v>
      </c>
      <c r="AR277" s="433">
        <f>AR8</f>
        <v>3191</v>
      </c>
      <c r="AS277" s="211"/>
      <c r="AT277" s="433">
        <f>AT8</f>
        <v>839</v>
      </c>
      <c r="AU277" s="433">
        <f>AU8</f>
        <v>849</v>
      </c>
      <c r="AV277" s="434">
        <f>AV8</f>
        <v>875</v>
      </c>
      <c r="AW277" s="433">
        <f>AQ277*(1+AW278)</f>
        <v>874.65000000000009</v>
      </c>
      <c r="AX277" s="433">
        <f>SUM(AT277:AW277)</f>
        <v>3437.65</v>
      </c>
      <c r="AY277" s="433"/>
      <c r="AZ277" s="433">
        <f t="shared" ref="AZ277:BC277" si="2374">AT277*(1+AZ278)</f>
        <v>880.95</v>
      </c>
      <c r="BA277" s="433">
        <f t="shared" si="2374"/>
        <v>891.45</v>
      </c>
      <c r="BB277" s="433">
        <f t="shared" si="2374"/>
        <v>918.75</v>
      </c>
      <c r="BC277" s="433">
        <f t="shared" si="2374"/>
        <v>918.38250000000016</v>
      </c>
      <c r="BD277" s="433">
        <f>SUM(AZ277:BC277)</f>
        <v>3609.5325000000003</v>
      </c>
      <c r="BE277" s="433"/>
      <c r="BF277" s="433">
        <f>AZ277*(1+BF278)</f>
        <v>922.58587577774551</v>
      </c>
      <c r="BG277" s="433">
        <f t="shared" ref="BG277:BI277" si="2375">BA277*(1+BG278)</f>
        <v>933.57098742989365</v>
      </c>
      <c r="BH277" s="433">
        <f t="shared" si="2375"/>
        <v>962.06072857550953</v>
      </c>
      <c r="BI277" s="433">
        <f t="shared" si="2375"/>
        <v>961.47162101956076</v>
      </c>
      <c r="BJ277" s="433">
        <f>SUM(BF277:BI277)</f>
        <v>3779.6892128027093</v>
      </c>
      <c r="BK277" s="433"/>
      <c r="BL277" s="433">
        <f>BF277*(1+BL278)</f>
        <v>960.30368832585725</v>
      </c>
      <c r="BM277" s="433">
        <f t="shared" ref="BM277" si="2376">BG277*(1+BM278)</f>
        <v>971.94684452200795</v>
      </c>
      <c r="BN277" s="433">
        <f t="shared" ref="BN277" si="2377">BH277*(1+BN278)</f>
        <v>1001.5000036210605</v>
      </c>
      <c r="BO277" s="433">
        <f t="shared" ref="BO277" si="2378">BI277*(1+BO278)</f>
        <v>1001.1125606896809</v>
      </c>
      <c r="BP277" s="433">
        <f>SUM(BL277:BO277)</f>
        <v>3934.8630971586063</v>
      </c>
      <c r="BQ277" s="433"/>
      <c r="BR277" s="433">
        <f>BL277*(1+BR278)</f>
        <v>999.62930461752273</v>
      </c>
      <c r="BS277" s="433">
        <f t="shared" ref="BS277" si="2379">BM277*(1+BS278)</f>
        <v>1011.9668679526068</v>
      </c>
      <c r="BT277" s="433">
        <f t="shared" ref="BT277" si="2380">BN277*(1+BT278)</f>
        <v>1042.6248121716646</v>
      </c>
      <c r="BU277" s="433">
        <f t="shared" ref="BU277" si="2381">BO277*(1+BU278)</f>
        <v>1042.4609497046931</v>
      </c>
      <c r="BV277" s="433">
        <f>SUM(BR277:BU277)</f>
        <v>4096.6819344464875</v>
      </c>
      <c r="BW277" s="433"/>
      <c r="BX277" s="433">
        <f>BR277*(1+BX278)</f>
        <v>1040.6335985475512</v>
      </c>
      <c r="BY277" s="433">
        <f t="shared" ref="BY277" si="2382">BS277*(1+BY278)</f>
        <v>1053.7038591558833</v>
      </c>
      <c r="BZ277" s="433">
        <f t="shared" ref="BZ277" si="2383">BT277*(1+BZ278)</f>
        <v>1085.5096118929398</v>
      </c>
      <c r="CA277" s="433">
        <f t="shared" ref="CA277" si="2384">BU277*(1+CA278)</f>
        <v>1085.5928301053057</v>
      </c>
      <c r="CB277" s="433">
        <f>SUM(BX277:CA277)</f>
        <v>4265.4398997016797</v>
      </c>
      <c r="CC277" s="433"/>
      <c r="CD277" s="433">
        <f>BX277*(1+CD278)</f>
        <v>1083.3906523895271</v>
      </c>
      <c r="CE277" s="433">
        <f t="shared" ref="CE277" si="2385">BY277*(1+CE278)</f>
        <v>1097.2339277826211</v>
      </c>
      <c r="CF277" s="433">
        <f t="shared" ref="CF277" si="2386">BZ277*(1+CF278)</f>
        <v>1130.2322364112895</v>
      </c>
      <c r="CG277" s="433">
        <f t="shared" ref="CG277" si="2387">CA277*(1+CG278)</f>
        <v>1130.5877178663432</v>
      </c>
      <c r="CH277" s="433">
        <f>SUM(CD277:CG277)</f>
        <v>4441.4445344497808</v>
      </c>
      <c r="CI277" s="433"/>
      <c r="CJ277" s="433">
        <f>CD277*(1+CJ278)</f>
        <v>1127.9779051045875</v>
      </c>
      <c r="CK277" s="433">
        <f t="shared" ref="CK277" si="2388">CE277*(1+CK278)</f>
        <v>1142.6366451109232</v>
      </c>
      <c r="CL277" s="433">
        <f t="shared" ref="CL277" si="2389">CF277*(1+CL278)</f>
        <v>1176.8740515440127</v>
      </c>
      <c r="CM277" s="433">
        <f t="shared" ref="CM277" si="2390">CG277*(1+CM278)</f>
        <v>1177.5287647271032</v>
      </c>
      <c r="CN277" s="433">
        <f>SUM(CJ277:CM277)</f>
        <v>4625.0173664866261</v>
      </c>
      <c r="CO277" s="379"/>
    </row>
    <row r="278" spans="1:93" ht="18" customHeight="1" x14ac:dyDescent="0.25">
      <c r="B278" s="14" t="s">
        <v>139</v>
      </c>
      <c r="J278" s="67">
        <f>J277/D277-1</f>
        <v>2.4566473988439252E-2</v>
      </c>
      <c r="K278" s="67">
        <f>K277/E277-1</f>
        <v>5.7803468208092568E-2</v>
      </c>
      <c r="L278" s="67">
        <f>L277/F277-1</f>
        <v>6.7142857142857171E-2</v>
      </c>
      <c r="M278" s="67">
        <f>M277/G277-1</f>
        <v>1.4245014245014342E-2</v>
      </c>
      <c r="N278" s="67">
        <f>N277/H277-1</f>
        <v>4.0918880114860112E-2</v>
      </c>
      <c r="O278" s="120"/>
      <c r="P278" s="67">
        <f>P277/J277-1</f>
        <v>4.6544428772919533E-2</v>
      </c>
      <c r="Q278" s="67">
        <f>Q277/K277-1</f>
        <v>3.9617486338797914E-2</v>
      </c>
      <c r="R278" s="67">
        <f>R277/L277-1</f>
        <v>4.9531459170013337E-2</v>
      </c>
      <c r="S278" s="67">
        <f>S277/M277-1</f>
        <v>6.460674157303381E-2</v>
      </c>
      <c r="T278" s="67">
        <f>T277/N277-1</f>
        <v>5.0000000000000044E-2</v>
      </c>
      <c r="U278" s="120"/>
      <c r="V278" s="67">
        <f>V277/P277-1</f>
        <v>-2.8301886792452824E-2</v>
      </c>
      <c r="W278" s="67">
        <f>W277/Q277-1</f>
        <v>-9.7240473061760868E-2</v>
      </c>
      <c r="X278" s="67">
        <f>X277/R277-1</f>
        <v>-0.16709183673469385</v>
      </c>
      <c r="Y278" s="67">
        <f>Y277/S277-1</f>
        <v>-0.12269129287598945</v>
      </c>
      <c r="Z278" s="67">
        <f>Z277/T277-1</f>
        <v>-0.10476190476190472</v>
      </c>
      <c r="AA278" s="120"/>
      <c r="AB278" s="67">
        <f>AB277/V277-1</f>
        <v>-3.4674063800277377E-2</v>
      </c>
      <c r="AC278" s="67">
        <f>AC277/W277-1</f>
        <v>1.3100436681222627E-2</v>
      </c>
      <c r="AD278" s="67">
        <f>AD277/X277-1</f>
        <v>5.666156202143946E-2</v>
      </c>
      <c r="AE278" s="67">
        <f>AE277/Y277-1</f>
        <v>5.4135338345864703E-2</v>
      </c>
      <c r="AF278" s="67">
        <f>AF277/Z277-1</f>
        <v>2.090975788701388E-2</v>
      </c>
      <c r="AH278" s="67">
        <f>AH277/AB277-1</f>
        <v>1.0057471264367734E-2</v>
      </c>
      <c r="AI278" s="67">
        <f>AI277/AC277-1</f>
        <v>1.7241379310344751E-2</v>
      </c>
      <c r="AJ278" s="67">
        <f>AJ277/AD277-1</f>
        <v>3.7681159420289934E-2</v>
      </c>
      <c r="AK278" s="67">
        <f>AK277/AE277-1</f>
        <v>3.5663338088445018E-2</v>
      </c>
      <c r="AL278" s="67">
        <f>AL277/AF277-1</f>
        <v>2.5152712899748408E-2</v>
      </c>
      <c r="AN278" s="67">
        <f>AN277/AH277-1</f>
        <v>8.5348506401137891E-2</v>
      </c>
      <c r="AO278" s="239">
        <f>AO277/AI277-1</f>
        <v>9.1807909604519677E-2</v>
      </c>
      <c r="AP278" s="67">
        <f>AP277/AJ277-1</f>
        <v>0.14804469273743015</v>
      </c>
      <c r="AQ278" s="239">
        <f>AQ277/AK277-1</f>
        <v>0.14738292011019283</v>
      </c>
      <c r="AR278" s="239">
        <f>AR277/AL277-1</f>
        <v>0.11847178408692605</v>
      </c>
      <c r="AS278" s="120"/>
      <c r="AT278" s="67">
        <f>AT277/AN277-1</f>
        <v>9.9606815203145516E-2</v>
      </c>
      <c r="AU278" s="239">
        <f>AU277/AO277-1</f>
        <v>9.8318240620957287E-2</v>
      </c>
      <c r="AV278" s="264">
        <f>AV277/AP277-1</f>
        <v>6.4476885644768833E-2</v>
      </c>
      <c r="AW278" s="539">
        <v>0.05</v>
      </c>
      <c r="AX278" s="67">
        <f>AX277/AR277-1</f>
        <v>7.7295518646192551E-2</v>
      </c>
      <c r="AY278" s="67"/>
      <c r="AZ278" s="454">
        <v>0.05</v>
      </c>
      <c r="BA278" s="454">
        <v>0.05</v>
      </c>
      <c r="BB278" s="454">
        <v>0.05</v>
      </c>
      <c r="BC278" s="454">
        <v>0.05</v>
      </c>
      <c r="BD278" s="67">
        <f>BD277/AX277-1</f>
        <v>5.0000000000000044E-2</v>
      </c>
      <c r="BE278" s="67"/>
      <c r="BF278" s="527">
        <f>BF58</f>
        <v>4.7262473213854905E-2</v>
      </c>
      <c r="BG278" s="527">
        <f>BG58</f>
        <v>4.7249971877159291E-2</v>
      </c>
      <c r="BH278" s="527">
        <f>BH58</f>
        <v>4.7140929061779024E-2</v>
      </c>
      <c r="BI278" s="527">
        <f>BI58</f>
        <v>4.6918490955087488E-2</v>
      </c>
      <c r="BJ278" s="67">
        <f>BJ277/BD277-1</f>
        <v>4.7140928306562913E-2</v>
      </c>
      <c r="BK278" s="67"/>
      <c r="BL278" s="527">
        <f>BL58</f>
        <v>4.088271188447945E-2</v>
      </c>
      <c r="BM278" s="527">
        <f>BM58</f>
        <v>4.1106522812756285E-2</v>
      </c>
      <c r="BN278" s="527">
        <f>BN58</f>
        <v>4.0994579525086117E-2</v>
      </c>
      <c r="BO278" s="527">
        <f>BO58</f>
        <v>4.1229443286203482E-2</v>
      </c>
      <c r="BP278" s="67">
        <f>BP277/BJ277-1</f>
        <v>4.1054667624598862E-2</v>
      </c>
      <c r="BQ278" s="67"/>
      <c r="BR278" s="527">
        <f>BR58</f>
        <v>4.0951229043203696E-2</v>
      </c>
      <c r="BS278" s="527">
        <f>BS58</f>
        <v>4.1175115343144331E-2</v>
      </c>
      <c r="BT278" s="527">
        <f>BT58</f>
        <v>4.1063213581539415E-2</v>
      </c>
      <c r="BU278" s="527">
        <f>BU58</f>
        <v>4.1302437546609783E-2</v>
      </c>
      <c r="BV278" s="67">
        <f>BV277/BP277-1</f>
        <v>4.1124388140652668E-2</v>
      </c>
      <c r="BW278" s="67"/>
      <c r="BX278" s="527">
        <f>BX58</f>
        <v>4.1019499669147308E-2</v>
      </c>
      <c r="BY278" s="527">
        <f>BY58</f>
        <v>4.1243436445422388E-2</v>
      </c>
      <c r="BZ278" s="527">
        <f>BZ58</f>
        <v>4.1131574100899515E-2</v>
      </c>
      <c r="CA278" s="527">
        <f>CA58</f>
        <v>4.1375056219449702E-2</v>
      </c>
      <c r="CB278" s="67">
        <f>CB277/BV277-1</f>
        <v>4.1193816838991149E-2</v>
      </c>
      <c r="CC278" s="67"/>
      <c r="CD278" s="527">
        <f>CD58</f>
        <v>4.1087520047068837E-2</v>
      </c>
      <c r="CE278" s="527">
        <f>CE58</f>
        <v>4.1311482584499126E-2</v>
      </c>
      <c r="CF278" s="527">
        <f>CF58</f>
        <v>4.1199657772132747E-2</v>
      </c>
      <c r="CG278" s="527">
        <f>CG58</f>
        <v>4.144729636494815E-2</v>
      </c>
      <c r="CH278" s="67">
        <f>CH277/CB277-1</f>
        <v>4.1262950337293658E-2</v>
      </c>
      <c r="CI278" s="67"/>
      <c r="CJ278" s="527">
        <f>CJ58</f>
        <v>4.1155286522658097E-2</v>
      </c>
      <c r="CK278" s="527">
        <f>CK58</f>
        <v>4.1379250293559044E-2</v>
      </c>
      <c r="CL278" s="527">
        <f>CL58</f>
        <v>4.1267461350085188E-2</v>
      </c>
      <c r="CM278" s="527">
        <f>CM58</f>
        <v>4.1519155142908826E-2</v>
      </c>
      <c r="CN278" s="67">
        <f>CN277/CH277-1</f>
        <v>4.1331785326367276E-2</v>
      </c>
    </row>
    <row r="279" spans="1:93" ht="18" customHeight="1" x14ac:dyDescent="0.25">
      <c r="B279" s="14" t="s">
        <v>140</v>
      </c>
      <c r="J279" s="123">
        <f>J277-D277</f>
        <v>17</v>
      </c>
      <c r="K279" s="123">
        <f>K277-E277</f>
        <v>40</v>
      </c>
      <c r="L279" s="123">
        <f>L277-F277</f>
        <v>47</v>
      </c>
      <c r="M279" s="123">
        <f>M277-G277</f>
        <v>10</v>
      </c>
      <c r="N279" s="123">
        <f>N277-H277</f>
        <v>114</v>
      </c>
      <c r="O279" s="120"/>
      <c r="P279" s="123">
        <f>P277-J277</f>
        <v>33</v>
      </c>
      <c r="Q279" s="123">
        <f>Q277-K277</f>
        <v>29</v>
      </c>
      <c r="R279" s="123">
        <f>R277-L277</f>
        <v>37</v>
      </c>
      <c r="S279" s="123">
        <f>S277-M277</f>
        <v>46</v>
      </c>
      <c r="T279" s="123">
        <f>T277-N277</f>
        <v>145</v>
      </c>
      <c r="U279" s="120"/>
      <c r="V279" s="123">
        <f>V277-P277</f>
        <v>-21</v>
      </c>
      <c r="W279" s="123">
        <f>W277-Q277</f>
        <v>-74</v>
      </c>
      <c r="X279" s="123">
        <f>X277-R277</f>
        <v>-131</v>
      </c>
      <c r="Y279" s="123">
        <f>Y277-S277</f>
        <v>-93</v>
      </c>
      <c r="Z279" s="123">
        <f>Z277-T277</f>
        <v>-319</v>
      </c>
      <c r="AA279" s="120"/>
      <c r="AB279" s="123">
        <f>AB277-V277</f>
        <v>-25</v>
      </c>
      <c r="AC279" s="123">
        <f>AC277-W277</f>
        <v>9</v>
      </c>
      <c r="AD279" s="123">
        <f>AD277-X277</f>
        <v>37</v>
      </c>
      <c r="AE279" s="123">
        <f>AE277-Y277</f>
        <v>36</v>
      </c>
      <c r="AF279" s="123">
        <f>AF277-Z277</f>
        <v>57</v>
      </c>
      <c r="AH279" s="123">
        <f>AH277-AB277</f>
        <v>7</v>
      </c>
      <c r="AI279" s="123">
        <f>AI277-AC277</f>
        <v>12</v>
      </c>
      <c r="AJ279" s="123">
        <f>AJ277-AD277</f>
        <v>26</v>
      </c>
      <c r="AK279" s="123">
        <f>AK277-AE277</f>
        <v>25</v>
      </c>
      <c r="AL279" s="123">
        <f>AL277-AF277</f>
        <v>70</v>
      </c>
      <c r="AN279" s="123">
        <f>AN277-AH277</f>
        <v>60</v>
      </c>
      <c r="AO279" s="240">
        <f>AO277-AI277</f>
        <v>65</v>
      </c>
      <c r="AP279" s="123">
        <f>AP277-AJ277</f>
        <v>106</v>
      </c>
      <c r="AQ279" s="240">
        <f>AQ277-AK277</f>
        <v>107</v>
      </c>
      <c r="AR279" s="240">
        <f>AR277-AL277</f>
        <v>338</v>
      </c>
      <c r="AS279" s="120"/>
      <c r="AT279" s="123">
        <f>AT277-AN277</f>
        <v>76</v>
      </c>
      <c r="AU279" s="240">
        <f>AU277-AO277</f>
        <v>76</v>
      </c>
      <c r="AV279" s="303">
        <f>AV277-AP277</f>
        <v>53</v>
      </c>
      <c r="AW279" s="123">
        <f>AW277-AQ277</f>
        <v>41.650000000000091</v>
      </c>
      <c r="AX279" s="123">
        <f>AX277-AR277</f>
        <v>246.65000000000009</v>
      </c>
      <c r="AY279" s="123"/>
      <c r="AZ279" s="123">
        <f>AZ277-AT277</f>
        <v>41.950000000000045</v>
      </c>
      <c r="BA279" s="123">
        <f>BA277-AU277</f>
        <v>42.450000000000045</v>
      </c>
      <c r="BB279" s="123">
        <f>BB277-AV277</f>
        <v>43.75</v>
      </c>
      <c r="BC279" s="123">
        <f>BC277-AW277</f>
        <v>43.732500000000073</v>
      </c>
      <c r="BD279" s="123">
        <f>BD277-AX277</f>
        <v>171.88250000000016</v>
      </c>
      <c r="BE279" s="123"/>
      <c r="BF279" s="123">
        <f>BF277-AZ277</f>
        <v>41.635875777745468</v>
      </c>
      <c r="BG279" s="123">
        <f>BG277-BA277</f>
        <v>42.120987429893603</v>
      </c>
      <c r="BH279" s="123">
        <f>BH277-BB277</f>
        <v>43.310728575509529</v>
      </c>
      <c r="BI279" s="123">
        <f>BI277-BC277</f>
        <v>43.089121019560594</v>
      </c>
      <c r="BJ279" s="123">
        <f>BJ277-BD277</f>
        <v>170.15671280270908</v>
      </c>
      <c r="BK279" s="123"/>
      <c r="BL279" s="123">
        <f>BL277-BF277</f>
        <v>37.717812548111738</v>
      </c>
      <c r="BM279" s="123">
        <f>BM277-BG277</f>
        <v>38.375857092114302</v>
      </c>
      <c r="BN279" s="123">
        <f>BN277-BH277</f>
        <v>39.439275045550971</v>
      </c>
      <c r="BO279" s="123">
        <f>BO277-BI277</f>
        <v>39.640939670120133</v>
      </c>
      <c r="BP279" s="123">
        <f>BP277-BJ277</f>
        <v>155.17388435589692</v>
      </c>
      <c r="BQ279" s="123"/>
      <c r="BR279" s="123">
        <f>BR277-BL277</f>
        <v>39.325616291665483</v>
      </c>
      <c r="BS279" s="123">
        <f>BS277-BM277</f>
        <v>40.020023430598826</v>
      </c>
      <c r="BT279" s="123">
        <f>BT277-BN277</f>
        <v>41.124808550604143</v>
      </c>
      <c r="BU279" s="123">
        <f>BU277-BO277</f>
        <v>41.348389015012231</v>
      </c>
      <c r="BV279" s="123">
        <f>BV277-BP277</f>
        <v>161.81883728788125</v>
      </c>
      <c r="BW279" s="123"/>
      <c r="BX279" s="123">
        <f>BX277-BR277</f>
        <v>41.004293930028439</v>
      </c>
      <c r="BY279" s="123">
        <f>BY277-BS277</f>
        <v>41.736991203276489</v>
      </c>
      <c r="BZ279" s="123">
        <f>BZ277-BT277</f>
        <v>42.884799721275158</v>
      </c>
      <c r="CA279" s="123">
        <f>CA277-BU277</f>
        <v>43.131880400612545</v>
      </c>
      <c r="CB279" s="123">
        <f>CB277-BV277</f>
        <v>168.75796525519218</v>
      </c>
      <c r="CC279" s="123"/>
      <c r="CD279" s="123">
        <f>CD277-BX277</f>
        <v>42.757053841975903</v>
      </c>
      <c r="CE279" s="123">
        <f>CE277-BY277</f>
        <v>43.53006862673783</v>
      </c>
      <c r="CF279" s="123">
        <f>CF277-BZ277</f>
        <v>44.722624518349676</v>
      </c>
      <c r="CG279" s="123">
        <f>CG277-CA277</f>
        <v>44.994887761037489</v>
      </c>
      <c r="CH279" s="123">
        <f>CH277-CB277</f>
        <v>176.00463474810113</v>
      </c>
      <c r="CI279" s="123"/>
      <c r="CJ279" s="123">
        <f>CJ277-CD277</f>
        <v>44.587252715060458</v>
      </c>
      <c r="CK279" s="123">
        <f>CK277-CE277</f>
        <v>45.40271732830206</v>
      </c>
      <c r="CL279" s="123">
        <f>CL277-CF277</f>
        <v>46.641815132723195</v>
      </c>
      <c r="CM279" s="123">
        <f>CM277-CG277</f>
        <v>46.941046860760025</v>
      </c>
      <c r="CN279" s="123">
        <f>CN277-CH277</f>
        <v>183.57283203684528</v>
      </c>
    </row>
    <row r="280" spans="1:93" ht="18" customHeight="1" x14ac:dyDescent="0.25">
      <c r="B280" s="14" t="s">
        <v>149</v>
      </c>
      <c r="J280" s="9">
        <f>J277/G277-1</f>
        <v>9.9715099715098621E-3</v>
      </c>
      <c r="K280" s="9">
        <f>K277/J277-1</f>
        <v>3.2440056417489371E-2</v>
      </c>
      <c r="L280" s="9">
        <f>L277/K277-1</f>
        <v>2.0491803278688492E-2</v>
      </c>
      <c r="M280" s="9">
        <f>M277/L277-1</f>
        <v>-4.6854082998661339E-2</v>
      </c>
      <c r="N280" s="9">
        <f>AVERAGE(J280:M280)</f>
        <v>4.0123216672565964E-3</v>
      </c>
      <c r="O280" s="120"/>
      <c r="P280" s="9">
        <f>P277/M277-1</f>
        <v>4.2134831460674205E-2</v>
      </c>
      <c r="Q280" s="9">
        <f>Q277/P277-1</f>
        <v>2.5606469002695365E-2</v>
      </c>
      <c r="R280" s="9">
        <f>R277/Q277-1</f>
        <v>3.0223390275952777E-2</v>
      </c>
      <c r="S280" s="9">
        <f>S277/R277-1</f>
        <v>-3.3163265306122458E-2</v>
      </c>
      <c r="T280" s="9">
        <f>AVERAGE(P280:S280)</f>
        <v>1.6200356358299972E-2</v>
      </c>
      <c r="U280" s="120"/>
      <c r="V280" s="9">
        <f>V277/S277-1</f>
        <v>-4.8812664907651682E-2</v>
      </c>
      <c r="W280" s="9">
        <f>W277/V277-1</f>
        <v>-4.7156726768377233E-2</v>
      </c>
      <c r="X280" s="9">
        <f>X277/W277-1</f>
        <v>-4.9490538573508047E-2</v>
      </c>
      <c r="Y280" s="9">
        <f>Y277/X277-1</f>
        <v>1.8376722817764257E-2</v>
      </c>
      <c r="Z280" s="9">
        <f>AVERAGE(V280:Y280)</f>
        <v>-3.1770801857943176E-2</v>
      </c>
      <c r="AA280" s="120"/>
      <c r="AB280" s="9">
        <f>AB277/Y277-1</f>
        <v>4.6616541353383445E-2</v>
      </c>
      <c r="AC280" s="9">
        <f>AC277/AB277-1</f>
        <v>0</v>
      </c>
      <c r="AD280" s="9">
        <f>AD277/AC277-1</f>
        <v>-8.6206896551723755E-3</v>
      </c>
      <c r="AE280" s="9">
        <f>AE277/AD277-1</f>
        <v>1.5942028985507228E-2</v>
      </c>
      <c r="AF280" s="9">
        <f>AVERAGE(AB280:AE280)</f>
        <v>1.3484470170929574E-2</v>
      </c>
      <c r="AH280" s="9">
        <f>AH277/AE277-1</f>
        <v>2.8530670470756636E-3</v>
      </c>
      <c r="AI280" s="9">
        <f>AI277/AH277-1</f>
        <v>7.1123755334281391E-3</v>
      </c>
      <c r="AJ280" s="9">
        <f>AJ277/AI277-1</f>
        <v>1.1299435028248483E-2</v>
      </c>
      <c r="AK280" s="9">
        <f>AK277/AJ277-1</f>
        <v>1.3966480446927276E-2</v>
      </c>
      <c r="AL280" s="9">
        <f>AVERAGE(AH280:AK280)</f>
        <v>8.8078395139198906E-3</v>
      </c>
      <c r="AN280" s="9">
        <f>AN277/AK277-1</f>
        <v>5.0964187327823707E-2</v>
      </c>
      <c r="AO280" s="241">
        <f>AO277/AN277-1</f>
        <v>1.3106159895150737E-2</v>
      </c>
      <c r="AP280" s="9">
        <f>AP277/AO277-1</f>
        <v>6.3389391979301379E-2</v>
      </c>
      <c r="AQ280" s="241">
        <f>AQ277/AP277-1</f>
        <v>1.3381995133819879E-2</v>
      </c>
      <c r="AR280" s="241">
        <f>AVERAGE(AN280:AQ280)</f>
        <v>3.5210433584023926E-2</v>
      </c>
      <c r="AS280" s="120"/>
      <c r="AT280" s="9">
        <f>AT277/AQ277-1</f>
        <v>7.2028811524609271E-3</v>
      </c>
      <c r="AU280" s="241">
        <f>AU277/AT277-1</f>
        <v>1.1918951132300348E-2</v>
      </c>
      <c r="AV280" s="109">
        <f>AV277/AU277-1</f>
        <v>3.0624263839811539E-2</v>
      </c>
      <c r="AW280" s="9">
        <f>AW277/AV277-1</f>
        <v>-3.9999999999984492E-4</v>
      </c>
      <c r="AX280" s="9">
        <f>AVERAGE(AT280:AW280)</f>
        <v>1.2336524031143242E-2</v>
      </c>
      <c r="AY280" s="9"/>
      <c r="AZ280" s="9">
        <f>AZ277/AW277-1</f>
        <v>7.2028811524609271E-3</v>
      </c>
      <c r="BA280" s="9">
        <f>BA277/AZ277-1</f>
        <v>1.1918951132300348E-2</v>
      </c>
      <c r="BB280" s="9">
        <f>BB277/BA277-1</f>
        <v>3.0624263839811539E-2</v>
      </c>
      <c r="BC280" s="9">
        <f>BC277/BB277-1</f>
        <v>-3.9999999999984492E-4</v>
      </c>
      <c r="BD280" s="9">
        <f>AVERAGE(AZ280:BC280)</f>
        <v>1.2336524031143242E-2</v>
      </c>
      <c r="BE280" s="9"/>
      <c r="BF280" s="9">
        <f>BF277/BC277-1</f>
        <v>4.5769336608061373E-3</v>
      </c>
      <c r="BG280" s="9">
        <f>BG277/BF277-1</f>
        <v>1.1906871696781174E-2</v>
      </c>
      <c r="BH280" s="9">
        <f>BH277/BG277-1</f>
        <v>3.0516952143133436E-2</v>
      </c>
      <c r="BI280" s="9">
        <f>BI277/BH277-1</f>
        <v>-6.1233926139059314E-4</v>
      </c>
      <c r="BJ280" s="9">
        <f>AVERAGE(BF280:BI280)</f>
        <v>1.1597104559832538E-2</v>
      </c>
      <c r="BK280" s="9"/>
      <c r="BL280" s="9">
        <f>BL277/BI277-1</f>
        <v>-1.2147344426713946E-3</v>
      </c>
      <c r="BM280" s="9">
        <f>BM277/BL277-1</f>
        <v>1.2124452230782179E-2</v>
      </c>
      <c r="BN280" s="9">
        <f>BN277/BM277-1</f>
        <v>3.0406147481847556E-2</v>
      </c>
      <c r="BO280" s="9">
        <f>BO277/BN277-1</f>
        <v>-3.8686263602472071E-4</v>
      </c>
      <c r="BP280" s="9">
        <f>AVERAGE(BL280:BO280)</f>
        <v>1.0232250658483405E-2</v>
      </c>
      <c r="BQ280" s="9"/>
      <c r="BR280" s="9">
        <f>BR277/BO277-1</f>
        <v>-1.4816076936806644E-3</v>
      </c>
      <c r="BS280" s="9">
        <f>BS277/BR277-1</f>
        <v>1.234213850883914E-2</v>
      </c>
      <c r="BT280" s="9">
        <f>BT277/BS277-1</f>
        <v>3.0295403130227383E-2</v>
      </c>
      <c r="BU280" s="9">
        <f>BU277/BT277-1</f>
        <v>-1.5716340629778891E-4</v>
      </c>
      <c r="BV280" s="9">
        <f>AVERAGE(BR280:BU280)</f>
        <v>1.0249692634772017E-2</v>
      </c>
      <c r="BW280" s="9"/>
      <c r="BX280" s="9">
        <f>BX277/BU277-1</f>
        <v>-1.752920488445775E-3</v>
      </c>
      <c r="BY280" s="9">
        <f>BY277/BX277-1</f>
        <v>1.2559906413337707E-2</v>
      </c>
      <c r="BZ280" s="9">
        <f>BZ277/BY277-1</f>
        <v>3.0184716949348545E-2</v>
      </c>
      <c r="CA280" s="9">
        <f>CA277/BZ277-1</f>
        <v>7.6662805611471541E-5</v>
      </c>
      <c r="CB280" s="9">
        <f>AVERAGE(BX280:CA280)</f>
        <v>1.0267091419962987E-2</v>
      </c>
      <c r="CC280" s="9"/>
      <c r="CD280" s="9">
        <f>CD277/CA277-1</f>
        <v>-2.0285485079750698E-3</v>
      </c>
      <c r="CE280" s="9">
        <f>CE277/CD277-1</f>
        <v>1.2777731986667318E-2</v>
      </c>
      <c r="CF280" s="9">
        <f>CF277/CE277-1</f>
        <v>3.0074087022950557E-2</v>
      </c>
      <c r="CG280" s="9">
        <f>CG277/CF277-1</f>
        <v>3.1452071848736551E-4</v>
      </c>
      <c r="CH280" s="9">
        <f>AVERAGE(CD280:CG280)</f>
        <v>1.0284447805032543E-2</v>
      </c>
      <c r="CI280" s="9"/>
      <c r="CJ280" s="9">
        <f>CJ277/CG277-1</f>
        <v>-2.3083682234589231E-3</v>
      </c>
      <c r="CK280" s="9">
        <f>CK277/CJ277-1</f>
        <v>1.2995591438447862E-2</v>
      </c>
      <c r="CL280" s="9">
        <f>CL277/CK277-1</f>
        <v>2.9963511654893527E-2</v>
      </c>
      <c r="CM280" s="9">
        <f>CM277/CL277-1</f>
        <v>5.5631542069556339E-4</v>
      </c>
      <c r="CN280" s="9">
        <f>AVERAGE(CJ280:CM280)</f>
        <v>1.0301762572644507E-2</v>
      </c>
    </row>
    <row r="281" spans="1:93" ht="18" customHeight="1" x14ac:dyDescent="0.25">
      <c r="B281" s="426" t="s">
        <v>146</v>
      </c>
      <c r="C281" s="251"/>
      <c r="D281" s="251"/>
      <c r="E281" s="251"/>
      <c r="F281" s="251"/>
      <c r="G281" s="251"/>
      <c r="H281" s="251"/>
      <c r="I281" s="251"/>
      <c r="J281" s="242">
        <f>J277-G277</f>
        <v>7</v>
      </c>
      <c r="K281" s="242">
        <f>K277-J277</f>
        <v>23</v>
      </c>
      <c r="L281" s="242">
        <f>L277-K277</f>
        <v>15</v>
      </c>
      <c r="M281" s="242">
        <f>M277-L277</f>
        <v>-35</v>
      </c>
      <c r="N281" s="242">
        <f>AVERAGE(J281:M281)</f>
        <v>2.5</v>
      </c>
      <c r="O281" s="237"/>
      <c r="P281" s="242">
        <f>P277-M277</f>
        <v>30</v>
      </c>
      <c r="Q281" s="242">
        <f>Q277-P277</f>
        <v>19</v>
      </c>
      <c r="R281" s="242">
        <f>R277-Q277</f>
        <v>23</v>
      </c>
      <c r="S281" s="242">
        <f>S277-R277</f>
        <v>-26</v>
      </c>
      <c r="T281" s="242">
        <f>AVERAGE(P281:S281)</f>
        <v>11.5</v>
      </c>
      <c r="U281" s="237"/>
      <c r="V281" s="242">
        <f>V277-S277</f>
        <v>-37</v>
      </c>
      <c r="W281" s="242">
        <f>W277-V277</f>
        <v>-34</v>
      </c>
      <c r="X281" s="242">
        <f>X277-W277</f>
        <v>-34</v>
      </c>
      <c r="Y281" s="242">
        <f>Y277-X277</f>
        <v>12</v>
      </c>
      <c r="Z281" s="242">
        <f>AVERAGE(V281:Y281)</f>
        <v>-23.25</v>
      </c>
      <c r="AA281" s="237"/>
      <c r="AB281" s="242">
        <f>AB277-Y277</f>
        <v>31</v>
      </c>
      <c r="AC281" s="242">
        <f>AC277-AB277</f>
        <v>0</v>
      </c>
      <c r="AD281" s="242">
        <f>AD277-AC277</f>
        <v>-6</v>
      </c>
      <c r="AE281" s="242">
        <f>AE277-AD277</f>
        <v>11</v>
      </c>
      <c r="AF281" s="242">
        <f>AVERAGE(AB281:AE281)</f>
        <v>9</v>
      </c>
      <c r="AG281" s="251"/>
      <c r="AH281" s="242">
        <f>AH277-AE277</f>
        <v>2</v>
      </c>
      <c r="AI281" s="242">
        <f>AI277-AH277</f>
        <v>5</v>
      </c>
      <c r="AJ281" s="242">
        <f>AJ277-AI277</f>
        <v>8</v>
      </c>
      <c r="AK281" s="242">
        <f>AK277-AJ277</f>
        <v>10</v>
      </c>
      <c r="AL281" s="242">
        <f>AVERAGE(AH281:AK281)</f>
        <v>6.25</v>
      </c>
      <c r="AM281" s="251"/>
      <c r="AN281" s="242">
        <f>AN277-AK277</f>
        <v>37</v>
      </c>
      <c r="AO281" s="242">
        <f>AO277-AN277</f>
        <v>10</v>
      </c>
      <c r="AP281" s="242">
        <f>AP277-AO277</f>
        <v>49</v>
      </c>
      <c r="AQ281" s="242">
        <f>AQ277-AP277</f>
        <v>11</v>
      </c>
      <c r="AR281" s="242">
        <f>AVERAGE(AN281:AQ281)</f>
        <v>26.75</v>
      </c>
      <c r="AS281" s="237"/>
      <c r="AT281" s="242">
        <f>AT277-AQ277</f>
        <v>6</v>
      </c>
      <c r="AU281" s="242">
        <f>AU277-AT277</f>
        <v>10</v>
      </c>
      <c r="AV281" s="174">
        <f>AV277-AU277</f>
        <v>26</v>
      </c>
      <c r="AW281" s="242">
        <f>AW277-AV277</f>
        <v>-0.34999999999990905</v>
      </c>
      <c r="AX281" s="242">
        <f>AVERAGE(AT281:AW281)</f>
        <v>10.412500000000023</v>
      </c>
      <c r="AY281" s="242"/>
      <c r="AZ281" s="242">
        <f>AZ277-AW277</f>
        <v>6.2999999999999545</v>
      </c>
      <c r="BA281" s="242">
        <f>BA277-AZ277</f>
        <v>10.5</v>
      </c>
      <c r="BB281" s="242">
        <f>BB277-BA277</f>
        <v>27.299999999999955</v>
      </c>
      <c r="BC281" s="242">
        <f>BC277-BB277</f>
        <v>-0.36749999999983629</v>
      </c>
      <c r="BD281" s="242">
        <f>AVERAGE(AZ281:BC281)</f>
        <v>10.933125000000018</v>
      </c>
      <c r="BE281" s="242"/>
      <c r="BF281" s="242">
        <f>BF277-BC277</f>
        <v>4.2033757777453502</v>
      </c>
      <c r="BG281" s="242">
        <f>BG277-BF277</f>
        <v>10.985111652148134</v>
      </c>
      <c r="BH281" s="242">
        <f>BH277-BG277</f>
        <v>28.489741145615881</v>
      </c>
      <c r="BI281" s="242">
        <f>BI277-BH277</f>
        <v>-0.58910755594877173</v>
      </c>
      <c r="BJ281" s="242">
        <f>AVERAGE(BF281:BI281)</f>
        <v>10.772280254890148</v>
      </c>
      <c r="BK281" s="242"/>
      <c r="BL281" s="242">
        <f>BL277-BI277</f>
        <v>-1.1679326937035057</v>
      </c>
      <c r="BM281" s="242">
        <f>BM277-BL277</f>
        <v>11.643156196150699</v>
      </c>
      <c r="BN281" s="242">
        <f>BN277-BM277</f>
        <v>29.55315909905255</v>
      </c>
      <c r="BO281" s="242">
        <f>BO277-BN277</f>
        <v>-0.38744293137960994</v>
      </c>
      <c r="BP281" s="242">
        <f>AVERAGE(BL281:BO281)</f>
        <v>9.9102349175300333</v>
      </c>
      <c r="BQ281" s="242"/>
      <c r="BR281" s="242">
        <f>BR277-BO277</f>
        <v>-1.4832560721581558</v>
      </c>
      <c r="BS281" s="242">
        <f>BS277-BR277</f>
        <v>12.337563335084042</v>
      </c>
      <c r="BT281" s="242">
        <f>BT277-BS277</f>
        <v>30.657944219057867</v>
      </c>
      <c r="BU281" s="242">
        <f>BU277-BT277</f>
        <v>-0.16386246697152274</v>
      </c>
      <c r="BV281" s="242">
        <f>AVERAGE(BR281:BU281)</f>
        <v>10.337097253753058</v>
      </c>
      <c r="BW281" s="242"/>
      <c r="BX281" s="242">
        <f>BX277-BU277</f>
        <v>-1.8273511571419476</v>
      </c>
      <c r="BY281" s="242">
        <f>BY277-BX277</f>
        <v>13.070260608332092</v>
      </c>
      <c r="BZ281" s="242">
        <f>BZ277-BY277</f>
        <v>31.805752737056537</v>
      </c>
      <c r="CA281" s="242">
        <f>CA277-BZ277</f>
        <v>8.3218212365864019E-2</v>
      </c>
      <c r="CB281" s="242">
        <f>AVERAGE(BX281:CA281)</f>
        <v>10.782970100153136</v>
      </c>
      <c r="CC281" s="242"/>
      <c r="CD281" s="242">
        <f>CD277-CA277</f>
        <v>-2.2021777157785891</v>
      </c>
      <c r="CE281" s="242">
        <f>CE277-CD277</f>
        <v>13.843275393094018</v>
      </c>
      <c r="CF281" s="242">
        <f>CF277-CE277</f>
        <v>32.998308628668383</v>
      </c>
      <c r="CG281" s="242">
        <f>CG277-CF277</f>
        <v>0.35548145505367756</v>
      </c>
      <c r="CH281" s="242">
        <f>AVERAGE(CD281:CG281)</f>
        <v>11.248721940259372</v>
      </c>
      <c r="CI281" s="242"/>
      <c r="CJ281" s="242">
        <f>CJ277-CG277</f>
        <v>-2.6098127617556202</v>
      </c>
      <c r="CK281" s="242">
        <f>CK277-CJ277</f>
        <v>14.65874000633562</v>
      </c>
      <c r="CL281" s="242">
        <f>CL277-CK277</f>
        <v>34.237406433089518</v>
      </c>
      <c r="CM281" s="242">
        <f>CM277-CL277</f>
        <v>0.6547131830905073</v>
      </c>
      <c r="CN281" s="242">
        <f>AVERAGE(CJ281:CM281)</f>
        <v>11.735261715190006</v>
      </c>
    </row>
    <row r="282" spans="1:93" s="137" customFormat="1" ht="18" customHeight="1" thickBot="1" x14ac:dyDescent="0.3">
      <c r="B282" s="136"/>
      <c r="D282" s="210"/>
      <c r="E282" s="210"/>
      <c r="F282" s="210"/>
      <c r="G282" s="210"/>
      <c r="H282" s="210"/>
      <c r="I282" s="210"/>
      <c r="J282" s="420"/>
      <c r="K282" s="420"/>
      <c r="L282" s="420"/>
      <c r="M282" s="420"/>
      <c r="N282" s="420"/>
      <c r="O282" s="211"/>
      <c r="P282" s="420"/>
      <c r="Q282" s="420"/>
      <c r="R282" s="420"/>
      <c r="S282" s="420"/>
      <c r="T282" s="420"/>
      <c r="U282" s="211"/>
      <c r="V282" s="420"/>
      <c r="W282" s="420"/>
      <c r="X282" s="420"/>
      <c r="Y282" s="420"/>
      <c r="Z282" s="420"/>
      <c r="AA282" s="211"/>
      <c r="AB282" s="420"/>
      <c r="AC282" s="420"/>
      <c r="AD282" s="420"/>
      <c r="AE282" s="420"/>
      <c r="AF282" s="420"/>
      <c r="AG282" s="210"/>
      <c r="AH282" s="420"/>
      <c r="AI282" s="420"/>
      <c r="AJ282" s="420"/>
      <c r="AK282" s="420"/>
      <c r="AL282" s="420"/>
      <c r="AM282" s="210"/>
      <c r="AN282" s="420"/>
      <c r="AO282" s="420"/>
      <c r="AP282" s="420"/>
      <c r="AQ282" s="420"/>
      <c r="AR282" s="420"/>
      <c r="AS282" s="211"/>
      <c r="AT282" s="420"/>
      <c r="AU282" s="420"/>
      <c r="AV282" s="421"/>
      <c r="AW282" s="420"/>
      <c r="AX282" s="420"/>
      <c r="AY282" s="420"/>
      <c r="AZ282" s="420"/>
      <c r="BA282" s="420"/>
      <c r="BB282" s="420"/>
      <c r="BC282" s="420"/>
      <c r="BD282" s="420"/>
      <c r="BE282" s="420"/>
      <c r="BF282" s="420"/>
      <c r="BG282" s="420"/>
      <c r="BH282" s="420"/>
      <c r="BI282" s="420"/>
      <c r="BJ282" s="420"/>
      <c r="BK282" s="420"/>
      <c r="BL282" s="420"/>
      <c r="BM282" s="420"/>
      <c r="BN282" s="420"/>
      <c r="BO282" s="420"/>
      <c r="BP282" s="420"/>
      <c r="BQ282" s="420"/>
      <c r="BR282" s="420"/>
      <c r="BS282" s="420"/>
      <c r="BT282" s="420"/>
      <c r="BU282" s="420"/>
      <c r="BV282" s="420"/>
      <c r="BW282" s="420"/>
      <c r="BX282" s="420"/>
      <c r="BY282" s="420"/>
      <c r="BZ282" s="420"/>
      <c r="CA282" s="420"/>
      <c r="CB282" s="420"/>
      <c r="CC282" s="420"/>
      <c r="CD282" s="420"/>
      <c r="CE282" s="420"/>
      <c r="CF282" s="420"/>
      <c r="CG282" s="420"/>
      <c r="CH282" s="420"/>
      <c r="CI282" s="420"/>
      <c r="CJ282" s="420"/>
      <c r="CK282" s="420"/>
      <c r="CL282" s="420"/>
      <c r="CM282" s="420"/>
      <c r="CN282" s="420"/>
      <c r="CO282" s="379"/>
    </row>
    <row r="283" spans="1:93" s="137" customFormat="1" ht="18" customHeight="1" x14ac:dyDescent="0.25">
      <c r="B283" s="212" t="s">
        <v>127</v>
      </c>
      <c r="C283" s="207"/>
      <c r="D283" s="250">
        <v>186</v>
      </c>
      <c r="E283" s="250">
        <v>186</v>
      </c>
      <c r="F283" s="250">
        <v>148</v>
      </c>
      <c r="G283" s="250">
        <v>156</v>
      </c>
      <c r="H283" s="286">
        <f>SUM(D283:G283)</f>
        <v>676</v>
      </c>
      <c r="I283" s="379"/>
      <c r="J283" s="250">
        <v>139</v>
      </c>
      <c r="K283" s="250">
        <v>129</v>
      </c>
      <c r="L283" s="250">
        <v>171</v>
      </c>
      <c r="M283" s="250">
        <v>83</v>
      </c>
      <c r="N283" s="286">
        <f>SUM(J283:M283)</f>
        <v>522</v>
      </c>
      <c r="O283" s="380"/>
      <c r="P283" s="250">
        <v>165</v>
      </c>
      <c r="Q283" s="250">
        <v>143</v>
      </c>
      <c r="R283" s="250">
        <v>239</v>
      </c>
      <c r="S283" s="250">
        <v>204</v>
      </c>
      <c r="T283" s="286">
        <f>SUM(P283:S283)</f>
        <v>751</v>
      </c>
      <c r="U283" s="380"/>
      <c r="V283" s="250">
        <v>152</v>
      </c>
      <c r="W283" s="250">
        <v>110</v>
      </c>
      <c r="X283" s="250">
        <v>127</v>
      </c>
      <c r="Y283" s="250">
        <v>148</v>
      </c>
      <c r="Z283" s="286">
        <f>SUM(V283:Y283)</f>
        <v>537</v>
      </c>
      <c r="AA283" s="380"/>
      <c r="AB283" s="250">
        <v>225</v>
      </c>
      <c r="AC283" s="250">
        <v>214</v>
      </c>
      <c r="AD283" s="250">
        <v>166</v>
      </c>
      <c r="AE283" s="250">
        <v>211</v>
      </c>
      <c r="AF283" s="286">
        <f>SUM(AB283:AE283)</f>
        <v>816</v>
      </c>
      <c r="AG283" s="379"/>
      <c r="AH283" s="250">
        <v>221</v>
      </c>
      <c r="AI283" s="250">
        <v>234</v>
      </c>
      <c r="AJ283" s="250">
        <v>250</v>
      </c>
      <c r="AK283" s="250">
        <v>185</v>
      </c>
      <c r="AL283" s="286">
        <f>SUM(AH283:AK283)</f>
        <v>890</v>
      </c>
      <c r="AM283" s="379"/>
      <c r="AN283" s="250">
        <v>257</v>
      </c>
      <c r="AO283" s="250">
        <v>257</v>
      </c>
      <c r="AP283" s="250">
        <v>221</v>
      </c>
      <c r="AQ283" s="250">
        <v>188</v>
      </c>
      <c r="AR283" s="286">
        <f>SUM(AN283:AQ283)</f>
        <v>923</v>
      </c>
      <c r="AS283" s="380"/>
      <c r="AT283" s="250">
        <v>268</v>
      </c>
      <c r="AU283" s="250">
        <v>-16</v>
      </c>
      <c r="AV283" s="395">
        <v>216</v>
      </c>
      <c r="AW283" s="537">
        <f>AW277*AW284</f>
        <v>192.42300000000003</v>
      </c>
      <c r="AX283" s="535">
        <f>SUM(AT283:AW283)</f>
        <v>660.423</v>
      </c>
      <c r="AY283" s="536"/>
      <c r="AZ283" s="537">
        <f>AZ277*AZ284</f>
        <v>176.19000000000003</v>
      </c>
      <c r="BA283" s="537">
        <f t="shared" ref="BA283:BC283" si="2391">BA277*BA284</f>
        <v>178.29000000000002</v>
      </c>
      <c r="BB283" s="537">
        <f t="shared" si="2391"/>
        <v>183.75</v>
      </c>
      <c r="BC283" s="537">
        <f t="shared" si="2391"/>
        <v>183.67650000000003</v>
      </c>
      <c r="BD283" s="535">
        <f>SUM(AZ283:BC283)</f>
        <v>721.90650000000005</v>
      </c>
      <c r="BE283" s="536"/>
      <c r="BF283" s="537">
        <f>BF277*BF284</f>
        <v>189.13010453443781</v>
      </c>
      <c r="BG283" s="537">
        <f t="shared" ref="BG283" si="2392">BG277*BG284</f>
        <v>191.38205242312819</v>
      </c>
      <c r="BH283" s="537">
        <f t="shared" ref="BH283" si="2393">BH277*BH284</f>
        <v>197.22244935797943</v>
      </c>
      <c r="BI283" s="537">
        <f t="shared" ref="BI283" si="2394">BI277*BI284</f>
        <v>197.10168230900993</v>
      </c>
      <c r="BJ283" s="535">
        <f>SUM(BF283:BI283)</f>
        <v>774.83628862455532</v>
      </c>
      <c r="BK283" s="536"/>
      <c r="BL283" s="537">
        <f>BL277*BL284</f>
        <v>196.86225610680071</v>
      </c>
      <c r="BM283" s="537">
        <f t="shared" ref="BM283" si="2395">BM277*BM284</f>
        <v>199.24910312701161</v>
      </c>
      <c r="BN283" s="537">
        <f t="shared" ref="BN283" si="2396">BN277*BN284</f>
        <v>205.30750074231739</v>
      </c>
      <c r="BO283" s="537">
        <f t="shared" ref="BO283" si="2397">BO277*BO284</f>
        <v>205.22807494138456</v>
      </c>
      <c r="BP283" s="535">
        <f>SUM(BL283:BO283)</f>
        <v>806.64693491751427</v>
      </c>
      <c r="BQ283" s="536"/>
      <c r="BR283" s="537">
        <f>BR277*BR284</f>
        <v>204.92400744659216</v>
      </c>
      <c r="BS283" s="537">
        <f t="shared" ref="BS283" si="2398">BS277*BS284</f>
        <v>207.45320793028438</v>
      </c>
      <c r="BT283" s="537">
        <f t="shared" ref="BT283" si="2399">BT277*BT284</f>
        <v>213.73808649519123</v>
      </c>
      <c r="BU283" s="537">
        <f t="shared" ref="BU283" si="2400">BU277*BU284</f>
        <v>213.70449468946208</v>
      </c>
      <c r="BV283" s="535">
        <f>SUM(BR283:BU283)</f>
        <v>839.81979656152976</v>
      </c>
      <c r="BW283" s="536"/>
      <c r="BX283" s="537">
        <f>BX277*BX284</f>
        <v>213.32988770224799</v>
      </c>
      <c r="BY283" s="537">
        <f t="shared" ref="BY283" si="2401">BY277*BY284</f>
        <v>216.00929112695604</v>
      </c>
      <c r="BZ283" s="537">
        <f t="shared" ref="BZ283" si="2402">BZ277*BZ284</f>
        <v>222.52947043805264</v>
      </c>
      <c r="CA283" s="537">
        <f t="shared" ref="CA283" si="2403">CA277*CA284</f>
        <v>222.54653017158765</v>
      </c>
      <c r="CB283" s="535">
        <f>SUM(BX283:CA283)</f>
        <v>874.41517943884423</v>
      </c>
      <c r="CC283" s="536"/>
      <c r="CD283" s="537">
        <f>CD277*CD284</f>
        <v>222.09508373985304</v>
      </c>
      <c r="CE283" s="537">
        <f t="shared" ref="CE283" si="2404">CE277*CE284</f>
        <v>224.9329551954373</v>
      </c>
      <c r="CF283" s="537">
        <f t="shared" ref="CF283" si="2405">CF277*CF284</f>
        <v>231.69760846431433</v>
      </c>
      <c r="CG283" s="537">
        <f t="shared" ref="CG283" si="2406">CG277*CG284</f>
        <v>231.77048216260033</v>
      </c>
      <c r="CH283" s="535">
        <f>SUM(CD283:CG283)</f>
        <v>910.49612956220494</v>
      </c>
      <c r="CI283" s="536"/>
      <c r="CJ283" s="537">
        <f>CJ277*CJ284</f>
        <v>236.87536007196337</v>
      </c>
      <c r="CK283" s="537">
        <f t="shared" ref="CK283" si="2407">CK277*CK284</f>
        <v>239.95369547329386</v>
      </c>
      <c r="CL283" s="537">
        <f t="shared" ref="CL283" si="2408">CL277*CL284</f>
        <v>247.14355082424265</v>
      </c>
      <c r="CM283" s="537">
        <f t="shared" ref="CM283" si="2409">CM277*CM284</f>
        <v>247.28104059269165</v>
      </c>
      <c r="CN283" s="535">
        <f>SUM(CJ283:CM283)</f>
        <v>971.25364696219151</v>
      </c>
      <c r="CO283" s="379"/>
    </row>
    <row r="284" spans="1:93" s="137" customFormat="1" ht="18" customHeight="1" thickBot="1" x14ac:dyDescent="0.3">
      <c r="B284" s="209" t="s">
        <v>117</v>
      </c>
      <c r="C284" s="210"/>
      <c r="D284" s="180">
        <f>D283/D277</f>
        <v>0.26878612716763006</v>
      </c>
      <c r="E284" s="180">
        <f>E283/E277</f>
        <v>0.26878612716763006</v>
      </c>
      <c r="F284" s="180">
        <f>F283/F277</f>
        <v>0.21142857142857144</v>
      </c>
      <c r="G284" s="180">
        <f>G283/G277</f>
        <v>0.22222222222222221</v>
      </c>
      <c r="H284" s="180">
        <f>H283/H277</f>
        <v>0.24264178033022255</v>
      </c>
      <c r="I284" s="210"/>
      <c r="J284" s="180">
        <f>J283/J277</f>
        <v>0.19605077574047955</v>
      </c>
      <c r="K284" s="180">
        <f>K283/K277</f>
        <v>0.17622950819672131</v>
      </c>
      <c r="L284" s="180">
        <f>L283/L277</f>
        <v>0.2289156626506024</v>
      </c>
      <c r="M284" s="180">
        <f>M283/M277</f>
        <v>0.11657303370786516</v>
      </c>
      <c r="N284" s="180">
        <f>N283/N277</f>
        <v>0.18</v>
      </c>
      <c r="O284" s="211"/>
      <c r="P284" s="180">
        <f>P283/P277</f>
        <v>0.22237196765498651</v>
      </c>
      <c r="Q284" s="180">
        <f>Q283/Q277</f>
        <v>0.18791064388961892</v>
      </c>
      <c r="R284" s="180">
        <f>R283/R277</f>
        <v>0.30484693877551022</v>
      </c>
      <c r="S284" s="180">
        <f>S283/S277</f>
        <v>0.26912928759894461</v>
      </c>
      <c r="T284" s="180">
        <f>T283/T277</f>
        <v>0.24663382594417077</v>
      </c>
      <c r="U284" s="211"/>
      <c r="V284" s="180">
        <f>V283/V277</f>
        <v>0.21081830790568654</v>
      </c>
      <c r="W284" s="180">
        <f>W283/W277</f>
        <v>0.16011644832605532</v>
      </c>
      <c r="X284" s="180">
        <f>X283/X277</f>
        <v>0.19448698315467075</v>
      </c>
      <c r="Y284" s="180">
        <f>Y283/Y277</f>
        <v>0.22255639097744362</v>
      </c>
      <c r="Z284" s="180">
        <f>Z283/Z277</f>
        <v>0.19699192956713132</v>
      </c>
      <c r="AA284" s="211"/>
      <c r="AB284" s="180">
        <f>AB283/AB277</f>
        <v>0.32327586206896552</v>
      </c>
      <c r="AC284" s="180">
        <f>AC283/AC277</f>
        <v>0.30747126436781608</v>
      </c>
      <c r="AD284" s="180">
        <f>AD283/AD277</f>
        <v>0.24057971014492754</v>
      </c>
      <c r="AE284" s="180">
        <f>AE283/AE277</f>
        <v>0.30099857346647646</v>
      </c>
      <c r="AF284" s="180">
        <f>AF283/AF277</f>
        <v>0.29320876751706793</v>
      </c>
      <c r="AG284" s="210"/>
      <c r="AH284" s="180">
        <f>AH283/AH277</f>
        <v>0.31436699857752487</v>
      </c>
      <c r="AI284" s="180">
        <f>AI283/AI277</f>
        <v>0.33050847457627119</v>
      </c>
      <c r="AJ284" s="180">
        <f>AJ283/AJ277</f>
        <v>0.34916201117318435</v>
      </c>
      <c r="AK284" s="180">
        <f>AK283/AK277</f>
        <v>0.25482093663911848</v>
      </c>
      <c r="AL284" s="180">
        <f>AL283/AL277</f>
        <v>0.3119523308797757</v>
      </c>
      <c r="AM284" s="210"/>
      <c r="AN284" s="180">
        <f>AN283/AN277</f>
        <v>0.33682830930537355</v>
      </c>
      <c r="AO284" s="180">
        <f>AO283/AO277</f>
        <v>0.33247089262613194</v>
      </c>
      <c r="AP284" s="180">
        <f>AP283/AP277</f>
        <v>0.26885644768856448</v>
      </c>
      <c r="AQ284" s="180">
        <f>AQ283/AQ277</f>
        <v>0.22569027611044418</v>
      </c>
      <c r="AR284" s="180">
        <f>AR283/AR277</f>
        <v>0.28925101848950174</v>
      </c>
      <c r="AS284" s="211"/>
      <c r="AT284" s="180">
        <f>AT283/AT277</f>
        <v>0.31942789034564956</v>
      </c>
      <c r="AU284" s="180">
        <f>AU283/AU277</f>
        <v>-1.884570082449941E-2</v>
      </c>
      <c r="AV284" s="310">
        <f>AV283/AV277</f>
        <v>0.24685714285714286</v>
      </c>
      <c r="AW284" s="543">
        <v>0.22</v>
      </c>
      <c r="AX284" s="180">
        <f>AX283/AX277</f>
        <v>0.19211467135979521</v>
      </c>
      <c r="AY284" s="180"/>
      <c r="AZ284" s="538">
        <v>0.2</v>
      </c>
      <c r="BA284" s="538">
        <v>0.2</v>
      </c>
      <c r="BB284" s="538">
        <v>0.2</v>
      </c>
      <c r="BC284" s="538">
        <v>0.2</v>
      </c>
      <c r="BD284" s="180">
        <f>BD283/BD277</f>
        <v>0.2</v>
      </c>
      <c r="BE284" s="180"/>
      <c r="BF284" s="538">
        <v>0.20499999999999999</v>
      </c>
      <c r="BG284" s="538">
        <v>0.20499999999999999</v>
      </c>
      <c r="BH284" s="538">
        <v>0.20499999999999999</v>
      </c>
      <c r="BI284" s="538">
        <v>0.20499999999999999</v>
      </c>
      <c r="BJ284" s="180">
        <f>BJ283/BJ277</f>
        <v>0.20499999999999999</v>
      </c>
      <c r="BK284" s="180"/>
      <c r="BL284" s="538">
        <v>0.20499999999999999</v>
      </c>
      <c r="BM284" s="538">
        <v>0.20499999999999999</v>
      </c>
      <c r="BN284" s="538">
        <v>0.20499999999999999</v>
      </c>
      <c r="BO284" s="538">
        <v>0.20499999999999999</v>
      </c>
      <c r="BP284" s="180">
        <f>BP283/BP277</f>
        <v>0.20499999999999999</v>
      </c>
      <c r="BQ284" s="180"/>
      <c r="BR284" s="538">
        <v>0.20499999999999999</v>
      </c>
      <c r="BS284" s="538">
        <v>0.20499999999999999</v>
      </c>
      <c r="BT284" s="538">
        <v>0.20499999999999999</v>
      </c>
      <c r="BU284" s="538">
        <v>0.20499999999999999</v>
      </c>
      <c r="BV284" s="180">
        <f>BV283/BV277</f>
        <v>0.20499999999999996</v>
      </c>
      <c r="BW284" s="180"/>
      <c r="BX284" s="538">
        <v>0.20499999999999999</v>
      </c>
      <c r="BY284" s="538">
        <v>0.20499999999999999</v>
      </c>
      <c r="BZ284" s="538">
        <v>0.20499999999999999</v>
      </c>
      <c r="CA284" s="538">
        <v>0.20499999999999999</v>
      </c>
      <c r="CB284" s="180">
        <f>CB283/CB277</f>
        <v>0.20499999999999999</v>
      </c>
      <c r="CC284" s="180"/>
      <c r="CD284" s="538">
        <v>0.20499999999999999</v>
      </c>
      <c r="CE284" s="538">
        <v>0.20499999999999999</v>
      </c>
      <c r="CF284" s="538">
        <v>0.20499999999999999</v>
      </c>
      <c r="CG284" s="538">
        <v>0.20499999999999999</v>
      </c>
      <c r="CH284" s="180">
        <f>CH283/CH277</f>
        <v>0.20499999999999996</v>
      </c>
      <c r="CI284" s="180"/>
      <c r="CJ284" s="538">
        <v>0.21</v>
      </c>
      <c r="CK284" s="538">
        <v>0.21</v>
      </c>
      <c r="CL284" s="538">
        <v>0.21</v>
      </c>
      <c r="CM284" s="538">
        <v>0.21</v>
      </c>
      <c r="CN284" s="180">
        <f>CN283/CN277</f>
        <v>0.21000000000000002</v>
      </c>
      <c r="CO284" s="379"/>
    </row>
    <row r="285" spans="1:93" s="137" customFormat="1" ht="18" customHeight="1" x14ac:dyDescent="0.25">
      <c r="B285" s="136"/>
      <c r="J285" s="104"/>
      <c r="K285" s="104"/>
      <c r="L285" s="104"/>
      <c r="M285" s="104"/>
      <c r="N285" s="104"/>
      <c r="O285" s="205"/>
      <c r="P285" s="104"/>
      <c r="Q285" s="104"/>
      <c r="R285" s="104"/>
      <c r="S285" s="104"/>
      <c r="T285" s="104"/>
      <c r="U285" s="205"/>
      <c r="V285" s="104"/>
      <c r="W285" s="104"/>
      <c r="X285" s="104"/>
      <c r="Y285" s="104"/>
      <c r="Z285" s="104"/>
      <c r="AA285" s="205"/>
      <c r="AB285" s="104"/>
      <c r="AC285" s="104"/>
      <c r="AD285" s="104"/>
      <c r="AE285" s="104"/>
      <c r="AF285" s="104"/>
      <c r="AH285" s="104"/>
      <c r="AI285" s="104"/>
      <c r="AJ285" s="104"/>
      <c r="AK285" s="104"/>
      <c r="AL285" s="104"/>
      <c r="AN285" s="104"/>
      <c r="AO285" s="246"/>
      <c r="AP285" s="104"/>
      <c r="AQ285" s="246"/>
      <c r="AR285" s="246"/>
      <c r="AS285" s="205"/>
      <c r="AT285" s="104"/>
      <c r="AU285" s="246"/>
      <c r="AV285" s="265"/>
      <c r="AW285" s="104"/>
      <c r="AX285" s="104"/>
      <c r="AY285" s="104"/>
      <c r="AZ285" s="104"/>
      <c r="BA285" s="104"/>
      <c r="BB285" s="104"/>
      <c r="BC285" s="104"/>
      <c r="BD285" s="104"/>
      <c r="BE285" s="104"/>
      <c r="BF285" s="104"/>
      <c r="BG285" s="104"/>
      <c r="BH285" s="104"/>
      <c r="BI285" s="104"/>
      <c r="BJ285" s="104"/>
      <c r="BK285" s="104"/>
      <c r="BL285" s="104"/>
      <c r="BM285" s="104"/>
      <c r="BN285" s="104"/>
      <c r="BO285" s="104"/>
      <c r="BP285" s="104"/>
      <c r="BQ285" s="104"/>
      <c r="BR285" s="104"/>
      <c r="BS285" s="104"/>
      <c r="BT285" s="104"/>
      <c r="BU285" s="104"/>
      <c r="BV285" s="104"/>
      <c r="BW285" s="104"/>
      <c r="BX285" s="104"/>
      <c r="BY285" s="104"/>
      <c r="BZ285" s="104"/>
      <c r="CA285" s="104"/>
      <c r="CB285" s="104"/>
      <c r="CC285" s="104"/>
      <c r="CD285" s="104"/>
      <c r="CE285" s="104"/>
      <c r="CF285" s="104"/>
      <c r="CG285" s="104"/>
      <c r="CH285" s="104"/>
      <c r="CI285" s="104"/>
      <c r="CJ285" s="104"/>
      <c r="CK285" s="104"/>
      <c r="CL285" s="104"/>
      <c r="CM285" s="104"/>
      <c r="CN285" s="104"/>
      <c r="CO285" s="379"/>
    </row>
    <row r="286" spans="1:93" s="137" customFormat="1" ht="18" customHeight="1" x14ac:dyDescent="0.25">
      <c r="B286" s="31" t="s">
        <v>74</v>
      </c>
      <c r="D286" s="440">
        <v>208</v>
      </c>
      <c r="E286" s="440">
        <v>204</v>
      </c>
      <c r="F286" s="440">
        <v>204</v>
      </c>
      <c r="G286" s="443">
        <f>H286-SUM(D286:F286)</f>
        <v>204</v>
      </c>
      <c r="H286" s="440">
        <v>820</v>
      </c>
      <c r="J286" s="440">
        <v>203</v>
      </c>
      <c r="K286" s="440">
        <v>212</v>
      </c>
      <c r="L286" s="440">
        <v>212</v>
      </c>
      <c r="M286" s="443">
        <f>N286-SUM(J286:L286)</f>
        <v>207</v>
      </c>
      <c r="N286" s="440">
        <v>834</v>
      </c>
      <c r="O286" s="205"/>
      <c r="P286" s="440">
        <v>206</v>
      </c>
      <c r="Q286" s="440">
        <v>207</v>
      </c>
      <c r="R286" s="440">
        <v>209</v>
      </c>
      <c r="S286" s="443">
        <f>T286-SUM(P286:R286)</f>
        <v>207</v>
      </c>
      <c r="T286" s="440">
        <v>829</v>
      </c>
      <c r="U286" s="205"/>
      <c r="V286" s="121">
        <v>205</v>
      </c>
      <c r="W286" s="121">
        <v>198</v>
      </c>
      <c r="X286" s="121">
        <v>174</v>
      </c>
      <c r="Y286" s="121"/>
      <c r="Z286" s="121">
        <v>773</v>
      </c>
      <c r="AA286" s="121"/>
      <c r="AB286" s="121">
        <v>196</v>
      </c>
      <c r="AC286" s="121">
        <v>191</v>
      </c>
      <c r="AD286" s="121">
        <v>195</v>
      </c>
      <c r="AE286" s="153">
        <f>AF286-SUM(AB286:AD286)</f>
        <v>190</v>
      </c>
      <c r="AF286" s="121">
        <v>772</v>
      </c>
      <c r="AG286" s="121"/>
      <c r="AH286" s="121">
        <v>188</v>
      </c>
      <c r="AI286" s="121">
        <v>185</v>
      </c>
      <c r="AJ286" s="121">
        <v>183</v>
      </c>
      <c r="AK286" s="153">
        <f>AL286-SUM(AH286:AJ286)</f>
        <v>178</v>
      </c>
      <c r="AL286" s="121">
        <v>734</v>
      </c>
      <c r="AM286" s="121"/>
      <c r="AN286" s="121">
        <v>178</v>
      </c>
      <c r="AO286" s="121">
        <v>181</v>
      </c>
      <c r="AP286" s="121">
        <v>186</v>
      </c>
      <c r="AQ286" s="153">
        <f>AR286-SUM(AN286:AP286)</f>
        <v>186</v>
      </c>
      <c r="AR286" s="121">
        <v>731</v>
      </c>
      <c r="AS286" s="121"/>
      <c r="AT286" s="121">
        <f>185</f>
        <v>185</v>
      </c>
      <c r="AU286" s="121">
        <v>185</v>
      </c>
      <c r="AV286" s="263">
        <v>184</v>
      </c>
      <c r="AW286" s="541">
        <f t="shared" ref="AW286" si="2410">AQ286*(1+AW292)</f>
        <v>204.60000000000002</v>
      </c>
      <c r="AX286" s="438">
        <f>SUM(AT286:AW286)</f>
        <v>758.6</v>
      </c>
      <c r="AY286" s="435"/>
      <c r="AZ286" s="533">
        <f t="shared" ref="AZ286" si="2411">AT286*(1+AZ292)</f>
        <v>188.70000000000002</v>
      </c>
      <c r="BA286" s="533">
        <f t="shared" ref="BA286" si="2412">AU286*(1+BA292)</f>
        <v>188.70000000000002</v>
      </c>
      <c r="BB286" s="533">
        <f t="shared" ref="BB286" si="2413">AV286*(1+BB292)</f>
        <v>187.68</v>
      </c>
      <c r="BC286" s="533">
        <f t="shared" ref="BC286" si="2414">AW286*(1+BC292)</f>
        <v>208.69200000000004</v>
      </c>
      <c r="BD286" s="438">
        <f>SUM(AZ286:BC286)</f>
        <v>773.77200000000005</v>
      </c>
      <c r="BE286" s="435"/>
      <c r="BF286" s="533">
        <f t="shared" ref="BF286" si="2415">AZ286*(1+BF292)</f>
        <v>192.47400000000002</v>
      </c>
      <c r="BG286" s="533">
        <f t="shared" ref="BG286" si="2416">BA286*(1+BG292)</f>
        <v>192.47400000000002</v>
      </c>
      <c r="BH286" s="533">
        <f t="shared" ref="BH286" si="2417">BB286*(1+BH292)</f>
        <v>191.43360000000001</v>
      </c>
      <c r="BI286" s="533">
        <f t="shared" ref="BI286" si="2418">BC286*(1+BI292)</f>
        <v>212.86584000000005</v>
      </c>
      <c r="BJ286" s="438">
        <f>SUM(BF286:BI286)</f>
        <v>789.2474400000001</v>
      </c>
      <c r="BK286" s="435"/>
      <c r="BL286" s="533">
        <f t="shared" ref="BL286" si="2419">BF286*(1+BL292)</f>
        <v>196.32348000000002</v>
      </c>
      <c r="BM286" s="533">
        <f t="shared" ref="BM286" si="2420">BG286*(1+BM292)</f>
        <v>196.32348000000002</v>
      </c>
      <c r="BN286" s="533">
        <f t="shared" ref="BN286" si="2421">BH286*(1+BN292)</f>
        <v>195.26227200000002</v>
      </c>
      <c r="BO286" s="533">
        <f t="shared" ref="BO286" si="2422">BI286*(1+BO292)</f>
        <v>217.12315680000006</v>
      </c>
      <c r="BP286" s="438">
        <f>SUM(BL286:BO286)</f>
        <v>805.03238880000015</v>
      </c>
      <c r="BQ286" s="435"/>
      <c r="BR286" s="533">
        <f t="shared" ref="BR286" si="2423">BL286*(1+BR292)</f>
        <v>200.24994960000001</v>
      </c>
      <c r="BS286" s="533">
        <f t="shared" ref="BS286" si="2424">BM286*(1+BS292)</f>
        <v>200.24994960000001</v>
      </c>
      <c r="BT286" s="533">
        <f t="shared" ref="BT286" si="2425">BN286*(1+BT292)</f>
        <v>199.16751744000004</v>
      </c>
      <c r="BU286" s="533">
        <f t="shared" ref="BU286" si="2426">BO286*(1+BU292)</f>
        <v>221.46561993600005</v>
      </c>
      <c r="BV286" s="438">
        <f>SUM(BR286:BU286)</f>
        <v>821.13303657600011</v>
      </c>
      <c r="BW286" s="435"/>
      <c r="BX286" s="533">
        <f t="shared" ref="BX286" si="2427">BR286*(1+BX292)</f>
        <v>204.25494859200001</v>
      </c>
      <c r="BY286" s="533">
        <f t="shared" ref="BY286" si="2428">BS286*(1+BY292)</f>
        <v>204.25494859200001</v>
      </c>
      <c r="BZ286" s="533">
        <f t="shared" ref="BZ286" si="2429">BT286*(1+BZ292)</f>
        <v>203.15086778880004</v>
      </c>
      <c r="CA286" s="533">
        <f t="shared" ref="CA286" si="2430">BU286*(1+CA292)</f>
        <v>225.89493233472007</v>
      </c>
      <c r="CB286" s="438">
        <f>SUM(BX286:CA286)</f>
        <v>837.55569730752018</v>
      </c>
      <c r="CC286" s="435"/>
      <c r="CD286" s="533">
        <f t="shared" ref="CD286" si="2431">BX286*(1+CD292)</f>
        <v>208.34004756384002</v>
      </c>
      <c r="CE286" s="533">
        <f t="shared" ref="CE286" si="2432">BY286*(1+CE292)</f>
        <v>208.34004756384002</v>
      </c>
      <c r="CF286" s="533">
        <f t="shared" ref="CF286" si="2433">BZ286*(1+CF292)</f>
        <v>207.21388514457604</v>
      </c>
      <c r="CG286" s="533">
        <f t="shared" ref="CG286" si="2434">CA286*(1+CG292)</f>
        <v>230.41283098141449</v>
      </c>
      <c r="CH286" s="438">
        <f>SUM(CD286:CG286)</f>
        <v>854.3068112536705</v>
      </c>
      <c r="CI286" s="435"/>
      <c r="CJ286" s="533">
        <f t="shared" ref="CJ286" si="2435">CD286*(1+CJ292)</f>
        <v>212.50684851511681</v>
      </c>
      <c r="CK286" s="533">
        <f t="shared" ref="CK286" si="2436">CE286*(1+CK292)</f>
        <v>212.50684851511681</v>
      </c>
      <c r="CL286" s="533">
        <f t="shared" ref="CL286" si="2437">CF286*(1+CL292)</f>
        <v>211.35816284746755</v>
      </c>
      <c r="CM286" s="533">
        <f t="shared" ref="CM286" si="2438">CG286*(1+CM292)</f>
        <v>235.02108760104278</v>
      </c>
      <c r="CN286" s="438">
        <f>SUM(CJ286:CM286)</f>
        <v>871.39294747874396</v>
      </c>
      <c r="CO286" s="379"/>
    </row>
    <row r="287" spans="1:93" s="137" customFormat="1" ht="18" customHeight="1" thickBot="1" x14ac:dyDescent="0.3">
      <c r="B287" s="136"/>
      <c r="J287" s="104"/>
      <c r="K287" s="104"/>
      <c r="L287" s="104"/>
      <c r="M287" s="104"/>
      <c r="N287" s="104"/>
      <c r="O287" s="205"/>
      <c r="P287" s="104"/>
      <c r="Q287" s="104"/>
      <c r="R287" s="104"/>
      <c r="S287" s="104"/>
      <c r="T287" s="104"/>
      <c r="U287" s="205"/>
      <c r="V287" s="104"/>
      <c r="W287" s="104"/>
      <c r="X287" s="104"/>
      <c r="Y287" s="104"/>
      <c r="Z287" s="104"/>
      <c r="AA287" s="205"/>
      <c r="AB287" s="104"/>
      <c r="AC287" s="104"/>
      <c r="AD287" s="104"/>
      <c r="AE287" s="104"/>
      <c r="AF287" s="104"/>
      <c r="AH287" s="104"/>
      <c r="AI287" s="104"/>
      <c r="AJ287" s="104"/>
      <c r="AK287" s="104"/>
      <c r="AL287" s="104"/>
      <c r="AN287" s="104"/>
      <c r="AO287" s="246"/>
      <c r="AP287" s="104"/>
      <c r="AQ287" s="246"/>
      <c r="AR287" s="246"/>
      <c r="AS287" s="205"/>
      <c r="AT287" s="104"/>
      <c r="AU287" s="246"/>
      <c r="AV287" s="265"/>
      <c r="AW287" s="104"/>
      <c r="AX287" s="104"/>
      <c r="AY287" s="104"/>
      <c r="AZ287" s="104"/>
      <c r="BA287" s="104"/>
      <c r="BB287" s="104"/>
      <c r="BC287" s="104"/>
      <c r="BD287" s="104"/>
      <c r="BE287" s="104"/>
      <c r="BF287" s="104"/>
      <c r="BG287" s="104"/>
      <c r="BH287" s="104"/>
      <c r="BI287" s="104"/>
      <c r="BJ287" s="104"/>
      <c r="BK287" s="104"/>
      <c r="BL287" s="104"/>
      <c r="BM287" s="104"/>
      <c r="BN287" s="104"/>
      <c r="BO287" s="104"/>
      <c r="BP287" s="104"/>
      <c r="BQ287" s="104"/>
      <c r="BR287" s="104"/>
      <c r="BS287" s="104"/>
      <c r="BT287" s="104"/>
      <c r="BU287" s="104"/>
      <c r="BV287" s="104"/>
      <c r="BW287" s="104"/>
      <c r="BX287" s="104"/>
      <c r="BY287" s="104"/>
      <c r="BZ287" s="104"/>
      <c r="CA287" s="104"/>
      <c r="CB287" s="104"/>
      <c r="CC287" s="104"/>
      <c r="CD287" s="104"/>
      <c r="CE287" s="104"/>
      <c r="CF287" s="104"/>
      <c r="CG287" s="104"/>
      <c r="CH287" s="104"/>
      <c r="CI287" s="104"/>
      <c r="CJ287" s="104"/>
      <c r="CK287" s="104"/>
      <c r="CL287" s="104"/>
      <c r="CM287" s="104"/>
      <c r="CN287" s="104"/>
      <c r="CO287" s="379"/>
    </row>
    <row r="288" spans="1:93" s="137" customFormat="1" ht="18" customHeight="1" x14ac:dyDescent="0.25">
      <c r="B288" s="212" t="s">
        <v>7</v>
      </c>
      <c r="C288" s="207"/>
      <c r="D288" s="213"/>
      <c r="E288" s="213"/>
      <c r="F288" s="213"/>
      <c r="G288" s="213"/>
      <c r="H288" s="213"/>
      <c r="I288" s="207"/>
      <c r="J288" s="213"/>
      <c r="K288" s="213"/>
      <c r="L288" s="213"/>
      <c r="M288" s="213"/>
      <c r="N288" s="213"/>
      <c r="O288" s="208"/>
      <c r="P288" s="213"/>
      <c r="Q288" s="213"/>
      <c r="R288" s="213"/>
      <c r="S288" s="213"/>
      <c r="T288" s="213"/>
      <c r="U288" s="208"/>
      <c r="V288" s="213">
        <f>V283+V286</f>
        <v>357</v>
      </c>
      <c r="W288" s="213">
        <f t="shared" ref="W288:Z288" si="2439">W283+W286</f>
        <v>308</v>
      </c>
      <c r="X288" s="213">
        <f t="shared" si="2439"/>
        <v>301</v>
      </c>
      <c r="Y288" s="213">
        <f t="shared" si="2439"/>
        <v>148</v>
      </c>
      <c r="Z288" s="213">
        <f t="shared" si="2439"/>
        <v>1310</v>
      </c>
      <c r="AA288" s="208"/>
      <c r="AB288" s="213">
        <f t="shared" ref="AB288:AF288" si="2440">AB283+AB286</f>
        <v>421</v>
      </c>
      <c r="AC288" s="213">
        <f t="shared" si="2440"/>
        <v>405</v>
      </c>
      <c r="AD288" s="213">
        <f t="shared" si="2440"/>
        <v>361</v>
      </c>
      <c r="AE288" s="213">
        <f t="shared" si="2440"/>
        <v>401</v>
      </c>
      <c r="AF288" s="213">
        <f t="shared" si="2440"/>
        <v>1588</v>
      </c>
      <c r="AG288" s="207"/>
      <c r="AH288" s="213">
        <f t="shared" ref="AH288:AL288" si="2441">AH283+AH286</f>
        <v>409</v>
      </c>
      <c r="AI288" s="213">
        <f t="shared" si="2441"/>
        <v>419</v>
      </c>
      <c r="AJ288" s="213">
        <f t="shared" si="2441"/>
        <v>433</v>
      </c>
      <c r="AK288" s="213">
        <f t="shared" si="2441"/>
        <v>363</v>
      </c>
      <c r="AL288" s="213">
        <f t="shared" si="2441"/>
        <v>1624</v>
      </c>
      <c r="AM288" s="207"/>
      <c r="AN288" s="213">
        <f t="shared" ref="AN288:AR288" si="2442">AN283+AN286</f>
        <v>435</v>
      </c>
      <c r="AO288" s="213">
        <f t="shared" si="2442"/>
        <v>438</v>
      </c>
      <c r="AP288" s="213">
        <f t="shared" si="2442"/>
        <v>407</v>
      </c>
      <c r="AQ288" s="213">
        <f t="shared" si="2442"/>
        <v>374</v>
      </c>
      <c r="AR288" s="213">
        <f t="shared" si="2442"/>
        <v>1654</v>
      </c>
      <c r="AS288" s="208"/>
      <c r="AT288" s="213">
        <f t="shared" ref="AT288:AX288" si="2443">AT283+AT286</f>
        <v>453</v>
      </c>
      <c r="AU288" s="213">
        <f t="shared" si="2443"/>
        <v>169</v>
      </c>
      <c r="AV288" s="309">
        <f t="shared" si="2443"/>
        <v>400</v>
      </c>
      <c r="AW288" s="213">
        <f t="shared" si="2443"/>
        <v>397.02300000000002</v>
      </c>
      <c r="AX288" s="213">
        <f t="shared" si="2443"/>
        <v>1419.0230000000001</v>
      </c>
      <c r="AY288" s="213"/>
      <c r="AZ288" s="213">
        <f t="shared" ref="AZ288:BD288" si="2444">AZ283+AZ286</f>
        <v>364.89000000000004</v>
      </c>
      <c r="BA288" s="213">
        <f t="shared" si="2444"/>
        <v>366.99</v>
      </c>
      <c r="BB288" s="213">
        <f t="shared" si="2444"/>
        <v>371.43</v>
      </c>
      <c r="BC288" s="213">
        <f t="shared" si="2444"/>
        <v>392.36850000000004</v>
      </c>
      <c r="BD288" s="213">
        <f t="shared" si="2444"/>
        <v>1495.6785</v>
      </c>
      <c r="BE288" s="213"/>
      <c r="BF288" s="213">
        <f t="shared" ref="BF288:BJ288" si="2445">BF283+BF286</f>
        <v>381.60410453443785</v>
      </c>
      <c r="BG288" s="213">
        <f t="shared" si="2445"/>
        <v>383.85605242312818</v>
      </c>
      <c r="BH288" s="213">
        <f t="shared" si="2445"/>
        <v>388.65604935797944</v>
      </c>
      <c r="BI288" s="213">
        <f t="shared" si="2445"/>
        <v>409.96752230900995</v>
      </c>
      <c r="BJ288" s="213">
        <f t="shared" si="2445"/>
        <v>1564.0837286245555</v>
      </c>
      <c r="BK288" s="213"/>
      <c r="BL288" s="213">
        <f t="shared" ref="BL288:BP288" si="2446">BL283+BL286</f>
        <v>393.18573610680073</v>
      </c>
      <c r="BM288" s="213">
        <f t="shared" si="2446"/>
        <v>395.57258312701163</v>
      </c>
      <c r="BN288" s="213">
        <f t="shared" si="2446"/>
        <v>400.56977274231741</v>
      </c>
      <c r="BO288" s="213">
        <f t="shared" si="2446"/>
        <v>422.35123174138459</v>
      </c>
      <c r="BP288" s="213">
        <f t="shared" si="2446"/>
        <v>1611.6793237175143</v>
      </c>
      <c r="BQ288" s="213"/>
      <c r="BR288" s="213">
        <f t="shared" ref="BR288:BV288" si="2447">BR283+BR286</f>
        <v>405.17395704659214</v>
      </c>
      <c r="BS288" s="213">
        <f t="shared" si="2447"/>
        <v>407.70315753028439</v>
      </c>
      <c r="BT288" s="213">
        <f t="shared" si="2447"/>
        <v>412.90560393519127</v>
      </c>
      <c r="BU288" s="213">
        <f t="shared" si="2447"/>
        <v>435.17011462546213</v>
      </c>
      <c r="BV288" s="213">
        <f t="shared" si="2447"/>
        <v>1660.95283313753</v>
      </c>
      <c r="BW288" s="213"/>
      <c r="BX288" s="213">
        <f t="shared" ref="BX288:CB288" si="2448">BX283+BX286</f>
        <v>417.58483629424802</v>
      </c>
      <c r="BY288" s="213">
        <f t="shared" si="2448"/>
        <v>420.26423971895605</v>
      </c>
      <c r="BZ288" s="213">
        <f t="shared" si="2448"/>
        <v>425.68033822685265</v>
      </c>
      <c r="CA288" s="213">
        <f t="shared" si="2448"/>
        <v>448.44146250630774</v>
      </c>
      <c r="CB288" s="213">
        <f t="shared" si="2448"/>
        <v>1711.9708767463644</v>
      </c>
      <c r="CC288" s="213"/>
      <c r="CD288" s="213">
        <f t="shared" ref="CD288:CH288" si="2449">CD283+CD286</f>
        <v>430.43513130369308</v>
      </c>
      <c r="CE288" s="213">
        <f t="shared" si="2449"/>
        <v>433.27300275927735</v>
      </c>
      <c r="CF288" s="213">
        <f t="shared" si="2449"/>
        <v>438.9114936088904</v>
      </c>
      <c r="CG288" s="213">
        <f t="shared" si="2449"/>
        <v>462.18331314401485</v>
      </c>
      <c r="CH288" s="213">
        <f t="shared" si="2449"/>
        <v>1764.8029408158754</v>
      </c>
      <c r="CI288" s="213"/>
      <c r="CJ288" s="213">
        <f t="shared" ref="CJ288:CN288" si="2450">CJ283+CJ286</f>
        <v>449.38220858708019</v>
      </c>
      <c r="CK288" s="213">
        <f t="shared" si="2450"/>
        <v>452.46054398841068</v>
      </c>
      <c r="CL288" s="213">
        <f t="shared" si="2450"/>
        <v>458.50171367171021</v>
      </c>
      <c r="CM288" s="213">
        <f t="shared" si="2450"/>
        <v>482.30212819373446</v>
      </c>
      <c r="CN288" s="213">
        <f t="shared" si="2450"/>
        <v>1842.6465944409356</v>
      </c>
      <c r="CO288" s="379"/>
    </row>
    <row r="289" spans="1:93" s="137" customFormat="1" ht="18" customHeight="1" thickBot="1" x14ac:dyDescent="0.3">
      <c r="B289" s="209" t="s">
        <v>8</v>
      </c>
      <c r="C289" s="210"/>
      <c r="D289" s="180">
        <f>D288/D277</f>
        <v>0</v>
      </c>
      <c r="E289" s="180">
        <f>E288/E277</f>
        <v>0</v>
      </c>
      <c r="F289" s="180">
        <f>F288/F277</f>
        <v>0</v>
      </c>
      <c r="G289" s="180">
        <f>G288/G277</f>
        <v>0</v>
      </c>
      <c r="H289" s="180">
        <f>H288/H277</f>
        <v>0</v>
      </c>
      <c r="I289" s="210"/>
      <c r="J289" s="180">
        <f>J288/J277</f>
        <v>0</v>
      </c>
      <c r="K289" s="180">
        <f>K288/K277</f>
        <v>0</v>
      </c>
      <c r="L289" s="180">
        <f>L288/L277</f>
        <v>0</v>
      </c>
      <c r="M289" s="180">
        <f>M288/M277</f>
        <v>0</v>
      </c>
      <c r="N289" s="180">
        <f>N288/N277</f>
        <v>0</v>
      </c>
      <c r="O289" s="211"/>
      <c r="P289" s="180">
        <f>P288/P277</f>
        <v>0</v>
      </c>
      <c r="Q289" s="180">
        <f>Q288/Q277</f>
        <v>0</v>
      </c>
      <c r="R289" s="180">
        <f>R288/R277</f>
        <v>0</v>
      </c>
      <c r="S289" s="180">
        <f>S288/S277</f>
        <v>0</v>
      </c>
      <c r="T289" s="180">
        <f>T288/T277</f>
        <v>0</v>
      </c>
      <c r="U289" s="211"/>
      <c r="V289" s="180">
        <f>V288/V277</f>
        <v>0.49514563106796117</v>
      </c>
      <c r="W289" s="180">
        <f>W288/W277</f>
        <v>0.44832605531295489</v>
      </c>
      <c r="X289" s="180">
        <f>X288/X277</f>
        <v>0.46094946401225118</v>
      </c>
      <c r="Y289" s="180">
        <f>Y288/Y277</f>
        <v>0.22255639097744362</v>
      </c>
      <c r="Z289" s="180">
        <f>Z288/Z277</f>
        <v>0.48055759354365368</v>
      </c>
      <c r="AA289" s="211"/>
      <c r="AB289" s="180">
        <f>AB288/AB277</f>
        <v>0.60488505747126442</v>
      </c>
      <c r="AC289" s="180">
        <f>AC288/AC277</f>
        <v>0.5818965517241379</v>
      </c>
      <c r="AD289" s="180">
        <f>AD288/AD277</f>
        <v>0.52318840579710146</v>
      </c>
      <c r="AE289" s="180">
        <f>AE288/AE277</f>
        <v>0.57203994293865901</v>
      </c>
      <c r="AF289" s="180">
        <f>AF288/AF277</f>
        <v>0.57060725835429393</v>
      </c>
      <c r="AG289" s="210"/>
      <c r="AH289" s="180">
        <f>AH288/AH277</f>
        <v>0.58179231863442393</v>
      </c>
      <c r="AI289" s="180">
        <f>AI288/AI277</f>
        <v>0.59180790960451979</v>
      </c>
      <c r="AJ289" s="180">
        <f>AJ288/AJ277</f>
        <v>0.60474860335195535</v>
      </c>
      <c r="AK289" s="180">
        <f>AK288/AK277</f>
        <v>0.5</v>
      </c>
      <c r="AL289" s="180">
        <f>AL288/AL277</f>
        <v>0.56922537679635477</v>
      </c>
      <c r="AM289" s="210"/>
      <c r="AN289" s="180">
        <f>AN288/AN277</f>
        <v>0.57011795543905641</v>
      </c>
      <c r="AO289" s="180">
        <f>AO288/AO277</f>
        <v>0.5666235446313066</v>
      </c>
      <c r="AP289" s="180">
        <f>AP288/AP277</f>
        <v>0.49513381995133821</v>
      </c>
      <c r="AQ289" s="180">
        <f>AQ288/AQ277</f>
        <v>0.44897959183673469</v>
      </c>
      <c r="AR289" s="180">
        <f>AR288/AR277</f>
        <v>0.5183328110310248</v>
      </c>
      <c r="AS289" s="211"/>
      <c r="AT289" s="180">
        <f>AT288/AT277</f>
        <v>0.53992848629320622</v>
      </c>
      <c r="AU289" s="180">
        <f>AU288/AU277</f>
        <v>0.19905771495877503</v>
      </c>
      <c r="AV289" s="310">
        <f>AV288/AV277</f>
        <v>0.45714285714285713</v>
      </c>
      <c r="AW289" s="180">
        <f>AW288/AW277</f>
        <v>0.4539221402846853</v>
      </c>
      <c r="AX289" s="180">
        <f>AX288/AX277</f>
        <v>0.41278867831221916</v>
      </c>
      <c r="AY289" s="180"/>
      <c r="AZ289" s="180">
        <f>AZ288/AZ277</f>
        <v>0.41420057892048362</v>
      </c>
      <c r="BA289" s="180">
        <f>BA288/BA277</f>
        <v>0.4116776039037523</v>
      </c>
      <c r="BB289" s="180">
        <f>BB288/BB277</f>
        <v>0.40427755102040819</v>
      </c>
      <c r="BC289" s="180">
        <f>BC288/BC277</f>
        <v>0.42723865056226568</v>
      </c>
      <c r="BD289" s="180">
        <f>BD288/BD277</f>
        <v>0.41436903532521174</v>
      </c>
      <c r="BE289" s="180"/>
      <c r="BF289" s="180">
        <f>BF288/BF277</f>
        <v>0.41362448152888021</v>
      </c>
      <c r="BG289" s="180">
        <f>BG288/BG277</f>
        <v>0.41116964600611455</v>
      </c>
      <c r="BH289" s="180">
        <f>BH288/BH277</f>
        <v>0.40398286492106289</v>
      </c>
      <c r="BI289" s="180">
        <f>BI288/BI277</f>
        <v>0.42639586374299165</v>
      </c>
      <c r="BJ289" s="180">
        <f>BJ288/BJ277</f>
        <v>0.41381278739178629</v>
      </c>
      <c r="BK289" s="180"/>
      <c r="BL289" s="180">
        <f>BL288/BL277</f>
        <v>0.40943895237168149</v>
      </c>
      <c r="BM289" s="180">
        <f>BM288/BM277</f>
        <v>0.40698993505303221</v>
      </c>
      <c r="BN289" s="180">
        <f>BN288/BN277</f>
        <v>0.39996981656914876</v>
      </c>
      <c r="BO289" s="180">
        <f>BO288/BO277</f>
        <v>0.421881862565405</v>
      </c>
      <c r="BP289" s="180">
        <f>BP288/BP277</f>
        <v>0.40958968175571847</v>
      </c>
      <c r="BQ289" s="180"/>
      <c r="BR289" s="180">
        <f>BR288/BR277</f>
        <v>0.40532420885922249</v>
      </c>
      <c r="BS289" s="180">
        <f>BS288/BS277</f>
        <v>0.40288192276012169</v>
      </c>
      <c r="BT289" s="180">
        <f>BT288/BT277</f>
        <v>0.39602510808769026</v>
      </c>
      <c r="BU289" s="180">
        <f>BU288/BU277</f>
        <v>0.41744500333440454</v>
      </c>
      <c r="BV289" s="180">
        <f>BV288/BV277</f>
        <v>0.40543856216212337</v>
      </c>
      <c r="BW289" s="180"/>
      <c r="BX289" s="180">
        <f>BX288/BX277</f>
        <v>0.4012794098490437</v>
      </c>
      <c r="BY289" s="180">
        <f>BY288/BY277</f>
        <v>0.3988447380800404</v>
      </c>
      <c r="BZ289" s="180">
        <f>BZ288/BZ277</f>
        <v>0.39214792164257323</v>
      </c>
      <c r="CA289" s="180">
        <f>CA288/CA277</f>
        <v>0.41308439966650073</v>
      </c>
      <c r="CB289" s="180">
        <f>CB288/CB277</f>
        <v>0.40135857426243371</v>
      </c>
      <c r="CC289" s="180"/>
      <c r="CD289" s="180">
        <f>CD288/CD277</f>
        <v>0.39730371528896352</v>
      </c>
      <c r="CE289" s="180">
        <f>CE288/CE277</f>
        <v>0.39487751133878118</v>
      </c>
      <c r="CF289" s="180">
        <f>CF288/CF277</f>
        <v>0.38833744027910677</v>
      </c>
      <c r="CG289" s="180">
        <f>CG288/CG277</f>
        <v>0.40879916333803096</v>
      </c>
      <c r="CH289" s="180">
        <f>CH288/CH277</f>
        <v>0.39734886412006143</v>
      </c>
      <c r="CI289" s="180"/>
      <c r="CJ289" s="180">
        <f>CJ288/CJ277</f>
        <v>0.39839628644624286</v>
      </c>
      <c r="CK289" s="180">
        <f>CK288/CK277</f>
        <v>0.3959793744795288</v>
      </c>
      <c r="CL289" s="180">
        <f>CL288/CL277</f>
        <v>0.38959284816431622</v>
      </c>
      <c r="CM289" s="180">
        <f>CM288/CM277</f>
        <v>0.40958840466670876</v>
      </c>
      <c r="CN289" s="180">
        <f>CN288/CN277</f>
        <v>0.39840857848295907</v>
      </c>
      <c r="CO289" s="379"/>
    </row>
    <row r="290" spans="1:93" s="137" customFormat="1" ht="18" customHeight="1" x14ac:dyDescent="0.25">
      <c r="B290" s="382"/>
      <c r="C290" s="379"/>
      <c r="D290" s="247"/>
      <c r="E290" s="247"/>
      <c r="F290" s="247"/>
      <c r="G290" s="247"/>
      <c r="H290" s="247"/>
      <c r="I290" s="379"/>
      <c r="J290" s="247"/>
      <c r="K290" s="247"/>
      <c r="L290" s="247"/>
      <c r="M290" s="247"/>
      <c r="N290" s="247"/>
      <c r="O290" s="380"/>
      <c r="P290" s="247"/>
      <c r="Q290" s="247"/>
      <c r="R290" s="247"/>
      <c r="S290" s="247"/>
      <c r="T290" s="247"/>
      <c r="U290" s="380"/>
      <c r="V290" s="247"/>
      <c r="W290" s="247"/>
      <c r="X290" s="247"/>
      <c r="Y290" s="247"/>
      <c r="Z290" s="247"/>
      <c r="AA290" s="380"/>
      <c r="AB290" s="247"/>
      <c r="AC290" s="247"/>
      <c r="AD290" s="247"/>
      <c r="AE290" s="247"/>
      <c r="AF290" s="247"/>
      <c r="AG290" s="379"/>
      <c r="AH290" s="247"/>
      <c r="AI290" s="247"/>
      <c r="AJ290" s="247"/>
      <c r="AK290" s="247"/>
      <c r="AL290" s="247"/>
      <c r="AM290" s="379"/>
      <c r="AN290" s="247"/>
      <c r="AO290" s="247"/>
      <c r="AP290" s="247"/>
      <c r="AQ290" s="247"/>
      <c r="AR290" s="247"/>
      <c r="AS290" s="380"/>
      <c r="AT290" s="247"/>
      <c r="AU290" s="247"/>
      <c r="AV290" s="130"/>
      <c r="AW290" s="247"/>
      <c r="AX290" s="247"/>
      <c r="AY290" s="379"/>
      <c r="AZ290" s="247"/>
      <c r="BA290" s="247"/>
      <c r="BB290" s="247"/>
      <c r="BC290" s="247"/>
      <c r="BD290" s="247"/>
      <c r="BE290" s="379"/>
      <c r="BF290" s="247"/>
      <c r="BG290" s="247"/>
      <c r="BH290" s="247"/>
      <c r="BI290" s="247"/>
      <c r="BJ290" s="247"/>
      <c r="BK290" s="379"/>
      <c r="BL290" s="247"/>
      <c r="BM290" s="247"/>
      <c r="BN290" s="247"/>
      <c r="BO290" s="247"/>
      <c r="BP290" s="247"/>
      <c r="BQ290" s="379"/>
      <c r="BR290" s="247"/>
      <c r="BS290" s="247"/>
      <c r="BT290" s="247"/>
      <c r="BU290" s="247"/>
      <c r="BV290" s="247"/>
      <c r="BW290" s="379"/>
      <c r="BX290" s="247"/>
      <c r="BY290" s="247"/>
      <c r="BZ290" s="247"/>
      <c r="CA290" s="247"/>
      <c r="CB290" s="247"/>
      <c r="CC290" s="379"/>
      <c r="CD290" s="247"/>
      <c r="CE290" s="247"/>
      <c r="CF290" s="247"/>
      <c r="CG290" s="247"/>
      <c r="CH290" s="247"/>
      <c r="CI290" s="379"/>
      <c r="CJ290" s="247"/>
      <c r="CK290" s="247"/>
      <c r="CL290" s="247"/>
      <c r="CM290" s="247"/>
      <c r="CN290" s="247"/>
      <c r="CO290" s="379"/>
    </row>
    <row r="291" spans="1:93" s="137" customFormat="1" ht="18" customHeight="1" x14ac:dyDescent="0.25">
      <c r="B291" s="31" t="s">
        <v>335</v>
      </c>
      <c r="C291" s="379"/>
      <c r="J291" s="104"/>
      <c r="K291" s="104"/>
      <c r="L291" s="104"/>
      <c r="M291" s="104"/>
      <c r="N291" s="104"/>
      <c r="O291" s="205"/>
      <c r="P291" s="104"/>
      <c r="Q291" s="104"/>
      <c r="R291" s="104"/>
      <c r="S291" s="104"/>
      <c r="T291" s="121"/>
      <c r="U291" s="205"/>
      <c r="V291" s="121"/>
      <c r="W291" s="121"/>
      <c r="X291" s="121"/>
      <c r="Y291" s="153"/>
      <c r="Z291" s="121"/>
      <c r="AA291" s="121"/>
      <c r="AB291" s="121">
        <v>228</v>
      </c>
      <c r="AC291" s="121">
        <v>361</v>
      </c>
      <c r="AD291" s="121">
        <v>311</v>
      </c>
      <c r="AE291" s="153">
        <f>AF291-SUM(AB291:AD291)</f>
        <v>318</v>
      </c>
      <c r="AF291" s="121">
        <v>1218</v>
      </c>
      <c r="AG291" s="121"/>
      <c r="AH291" s="121">
        <f>241</f>
        <v>241</v>
      </c>
      <c r="AI291" s="121">
        <v>334</v>
      </c>
      <c r="AJ291" s="121">
        <v>295</v>
      </c>
      <c r="AK291" s="153">
        <f>AL291-SUM(AH291:AJ291)</f>
        <v>271</v>
      </c>
      <c r="AL291" s="121">
        <v>1141</v>
      </c>
      <c r="AM291" s="121"/>
      <c r="AN291" s="121">
        <v>279</v>
      </c>
      <c r="AO291" s="121">
        <v>410</v>
      </c>
      <c r="AP291" s="121">
        <v>342</v>
      </c>
      <c r="AQ291" s="153">
        <f>AR291-SUM(AN291:AP291)</f>
        <v>268</v>
      </c>
      <c r="AR291" s="121">
        <v>1299</v>
      </c>
      <c r="AS291" s="121"/>
      <c r="AT291" s="121">
        <f>234</f>
        <v>234</v>
      </c>
      <c r="AU291" s="121">
        <v>320</v>
      </c>
      <c r="AV291" s="263">
        <v>264</v>
      </c>
      <c r="AW291" s="153">
        <f>AQ291*(1+AW292)</f>
        <v>294.8</v>
      </c>
      <c r="AX291" s="443">
        <f>SUM(AT291:AW291)</f>
        <v>1112.8</v>
      </c>
      <c r="AY291" s="437"/>
      <c r="AZ291" s="443">
        <f t="shared" ref="AZ291" si="2451">AT291*(1+AZ292)</f>
        <v>238.68</v>
      </c>
      <c r="BA291" s="443">
        <f t="shared" ref="BA291" si="2452">AU291*(1+BA292)</f>
        <v>326.39999999999998</v>
      </c>
      <c r="BB291" s="443">
        <f t="shared" ref="BB291" si="2453">AV291*(1+BB292)</f>
        <v>269.28000000000003</v>
      </c>
      <c r="BC291" s="443">
        <f>AW291*(1+BC292)</f>
        <v>300.69600000000003</v>
      </c>
      <c r="BD291" s="443">
        <f>SUM(AZ291:BC291)</f>
        <v>1135.056</v>
      </c>
      <c r="BE291" s="437"/>
      <c r="BF291" s="443">
        <f t="shared" ref="BF291" si="2454">AZ291*(1+BF292)</f>
        <v>243.45360000000002</v>
      </c>
      <c r="BG291" s="443">
        <f t="shared" ref="BG291" si="2455">BA291*(1+BG292)</f>
        <v>332.928</v>
      </c>
      <c r="BH291" s="443">
        <f t="shared" ref="BH291" si="2456">BB291*(1+BH292)</f>
        <v>274.66560000000004</v>
      </c>
      <c r="BI291" s="443">
        <f>BC291*(1+BI292)</f>
        <v>306.70992000000001</v>
      </c>
      <c r="BJ291" s="443">
        <f>SUM(BF291:BI291)</f>
        <v>1157.7571200000002</v>
      </c>
      <c r="BK291" s="437"/>
      <c r="BL291" s="443">
        <f t="shared" ref="BL291" si="2457">BF291*(1+BL292)</f>
        <v>248.32267200000004</v>
      </c>
      <c r="BM291" s="443">
        <f t="shared" ref="BM291" si="2458">BG291*(1+BM292)</f>
        <v>339.58656000000002</v>
      </c>
      <c r="BN291" s="443">
        <f t="shared" ref="BN291" si="2459">BH291*(1+BN292)</f>
        <v>280.15891200000004</v>
      </c>
      <c r="BO291" s="443">
        <f>BI291*(1+BO292)</f>
        <v>312.84411840000001</v>
      </c>
      <c r="BP291" s="443">
        <f>SUM(BL291:BO291)</f>
        <v>1180.9122624000001</v>
      </c>
      <c r="BQ291" s="437"/>
      <c r="BR291" s="443">
        <f t="shared" ref="BR291" si="2460">BL291*(1+BR292)</f>
        <v>253.28912544000005</v>
      </c>
      <c r="BS291" s="443">
        <f t="shared" ref="BS291" si="2461">BM291*(1+BS292)</f>
        <v>346.37829120000004</v>
      </c>
      <c r="BT291" s="443">
        <f t="shared" ref="BT291" si="2462">BN291*(1+BT292)</f>
        <v>285.76209024000008</v>
      </c>
      <c r="BU291" s="443">
        <f>BO291*(1+BU292)</f>
        <v>319.10100076800001</v>
      </c>
      <c r="BV291" s="443">
        <f>SUM(BR291:BU291)</f>
        <v>1204.5305076480001</v>
      </c>
      <c r="BW291" s="437"/>
      <c r="BX291" s="443">
        <f t="shared" ref="BX291" si="2463">BR291*(1+BX292)</f>
        <v>258.35490794880008</v>
      </c>
      <c r="BY291" s="443">
        <f t="shared" ref="BY291" si="2464">BS291*(1+BY292)</f>
        <v>353.30585702400003</v>
      </c>
      <c r="BZ291" s="443">
        <f t="shared" ref="BZ291" si="2465">BT291*(1+BZ292)</f>
        <v>291.47733204480011</v>
      </c>
      <c r="CA291" s="443">
        <f>BU291*(1+CA292)</f>
        <v>325.48302078336002</v>
      </c>
      <c r="CB291" s="443">
        <f>SUM(BX291:CA291)</f>
        <v>1228.6211178009601</v>
      </c>
      <c r="CC291" s="437"/>
      <c r="CD291" s="443">
        <f t="shared" ref="CD291" si="2466">BX291*(1+CD292)</f>
        <v>263.52200610777606</v>
      </c>
      <c r="CE291" s="443">
        <f t="shared" ref="CE291" si="2467">BY291*(1+CE292)</f>
        <v>360.37197416448004</v>
      </c>
      <c r="CF291" s="443">
        <f t="shared" ref="CF291" si="2468">BZ291*(1+CF292)</f>
        <v>297.30687868569612</v>
      </c>
      <c r="CG291" s="443">
        <f>CA291*(1+CG292)</f>
        <v>331.99268119902723</v>
      </c>
      <c r="CH291" s="443">
        <f>SUM(CD291:CG291)</f>
        <v>1253.1935401569795</v>
      </c>
      <c r="CI291" s="437"/>
      <c r="CJ291" s="443">
        <f t="shared" ref="CJ291" si="2469">CD291*(1+CJ292)</f>
        <v>268.79244622993161</v>
      </c>
      <c r="CK291" s="443">
        <f t="shared" ref="CK291" si="2470">CE291*(1+CK292)</f>
        <v>367.57941364776963</v>
      </c>
      <c r="CL291" s="443">
        <f t="shared" ref="CL291" si="2471">CF291*(1+CL292)</f>
        <v>303.25301625941006</v>
      </c>
      <c r="CM291" s="443">
        <f>CG291*(1+CM292)</f>
        <v>338.6325348230078</v>
      </c>
      <c r="CN291" s="443">
        <f>SUM(CJ291:CM291)</f>
        <v>1278.2574109601192</v>
      </c>
      <c r="CO291" s="379"/>
    </row>
    <row r="292" spans="1:93" s="137" customFormat="1" ht="18" customHeight="1" x14ac:dyDescent="0.25">
      <c r="A292" s="379"/>
      <c r="B292" s="14" t="s">
        <v>139</v>
      </c>
      <c r="C292" s="379"/>
      <c r="J292" s="104"/>
      <c r="K292" s="104"/>
      <c r="L292" s="104"/>
      <c r="M292" s="104"/>
      <c r="N292" s="104"/>
      <c r="O292" s="205"/>
      <c r="P292" s="104"/>
      <c r="Q292" s="104"/>
      <c r="R292" s="104"/>
      <c r="S292" s="104"/>
      <c r="T292" s="121"/>
      <c r="U292" s="205"/>
      <c r="V292" s="121"/>
      <c r="W292" s="121"/>
      <c r="X292" s="121"/>
      <c r="Y292" s="153"/>
      <c r="Z292" s="121"/>
      <c r="AA292" s="121"/>
      <c r="AB292" s="121"/>
      <c r="AC292" s="121"/>
      <c r="AD292" s="121"/>
      <c r="AE292" s="153"/>
      <c r="AF292" s="121"/>
      <c r="AG292" s="121"/>
      <c r="AH292" s="121"/>
      <c r="AI292" s="121"/>
      <c r="AJ292" s="238"/>
      <c r="AK292" s="153"/>
      <c r="AL292" s="121"/>
      <c r="AM292" s="121"/>
      <c r="AN292" s="121"/>
      <c r="AO292" s="121"/>
      <c r="AP292" s="121"/>
      <c r="AQ292" s="153"/>
      <c r="AR292" s="121"/>
      <c r="AS292" s="121"/>
      <c r="AT292" s="121"/>
      <c r="AU292" s="121"/>
      <c r="AV292" s="263"/>
      <c r="AW292" s="539">
        <v>0.1</v>
      </c>
      <c r="AX292" s="445"/>
      <c r="AY292" s="437"/>
      <c r="AZ292" s="454">
        <v>0.02</v>
      </c>
      <c r="BA292" s="454">
        <v>0.02</v>
      </c>
      <c r="BB292" s="454">
        <v>0.02</v>
      </c>
      <c r="BC292" s="454">
        <v>0.02</v>
      </c>
      <c r="BD292" s="445"/>
      <c r="BE292" s="437"/>
      <c r="BF292" s="454">
        <v>0.02</v>
      </c>
      <c r="BG292" s="454">
        <v>0.02</v>
      </c>
      <c r="BH292" s="454">
        <v>0.02</v>
      </c>
      <c r="BI292" s="454">
        <v>0.02</v>
      </c>
      <c r="BJ292" s="445"/>
      <c r="BK292" s="437"/>
      <c r="BL292" s="454">
        <v>0.02</v>
      </c>
      <c r="BM292" s="454">
        <v>0.02</v>
      </c>
      <c r="BN292" s="454">
        <v>0.02</v>
      </c>
      <c r="BO292" s="454">
        <v>0.02</v>
      </c>
      <c r="BP292" s="445"/>
      <c r="BQ292" s="437"/>
      <c r="BR292" s="454">
        <v>0.02</v>
      </c>
      <c r="BS292" s="454">
        <v>0.02</v>
      </c>
      <c r="BT292" s="454">
        <v>0.02</v>
      </c>
      <c r="BU292" s="454">
        <v>0.02</v>
      </c>
      <c r="BV292" s="445"/>
      <c r="BW292" s="437"/>
      <c r="BX292" s="454">
        <v>0.02</v>
      </c>
      <c r="BY292" s="454">
        <v>0.02</v>
      </c>
      <c r="BZ292" s="454">
        <v>0.02</v>
      </c>
      <c r="CA292" s="454">
        <v>0.02</v>
      </c>
      <c r="CB292" s="445"/>
      <c r="CC292" s="437"/>
      <c r="CD292" s="454">
        <v>0.02</v>
      </c>
      <c r="CE292" s="454">
        <v>0.02</v>
      </c>
      <c r="CF292" s="454">
        <v>0.02</v>
      </c>
      <c r="CG292" s="454">
        <v>0.02</v>
      </c>
      <c r="CH292" s="445"/>
      <c r="CI292" s="437"/>
      <c r="CJ292" s="454">
        <v>0.02</v>
      </c>
      <c r="CK292" s="454">
        <v>0.02</v>
      </c>
      <c r="CL292" s="454">
        <v>0.02</v>
      </c>
      <c r="CM292" s="454">
        <v>0.02</v>
      </c>
      <c r="CN292" s="445"/>
      <c r="CO292" s="379"/>
    </row>
    <row r="293" spans="1:93" ht="18" customHeight="1" thickBot="1" x14ac:dyDescent="0.3">
      <c r="AV293" s="184"/>
    </row>
    <row r="294" spans="1:93" ht="18" customHeight="1" thickBot="1" x14ac:dyDescent="0.3">
      <c r="A294" s="406">
        <v>3</v>
      </c>
      <c r="B294" s="412" t="s">
        <v>418</v>
      </c>
      <c r="C294" s="413"/>
      <c r="D294" s="217"/>
      <c r="E294" s="217"/>
      <c r="F294" s="217"/>
      <c r="G294" s="217"/>
      <c r="H294" s="217"/>
      <c r="I294" s="126"/>
      <c r="J294" s="217"/>
      <c r="K294" s="217"/>
      <c r="L294" s="217"/>
      <c r="M294" s="217"/>
      <c r="N294" s="217"/>
      <c r="O294" s="204"/>
      <c r="P294" s="217"/>
      <c r="Q294" s="217"/>
      <c r="R294" s="217"/>
      <c r="S294" s="217"/>
      <c r="T294" s="217"/>
      <c r="U294" s="204"/>
      <c r="V294" s="217"/>
      <c r="W294" s="217"/>
      <c r="X294" s="217"/>
      <c r="Y294" s="217"/>
      <c r="Z294" s="217"/>
      <c r="AA294" s="126"/>
      <c r="AB294" s="217"/>
      <c r="AC294" s="217"/>
      <c r="AD294" s="217"/>
      <c r="AE294" s="217"/>
      <c r="AF294" s="217"/>
      <c r="AG294" s="126"/>
      <c r="AH294" s="217"/>
      <c r="AI294" s="217"/>
      <c r="AJ294" s="217"/>
      <c r="AK294" s="217"/>
      <c r="AL294" s="217"/>
      <c r="AM294" s="126"/>
      <c r="AN294" s="217"/>
      <c r="AO294" s="217"/>
      <c r="AP294" s="217"/>
      <c r="AQ294" s="217"/>
      <c r="AR294" s="217"/>
      <c r="AS294" s="126"/>
      <c r="AT294" s="217"/>
      <c r="AU294" s="217"/>
      <c r="AV294" s="409"/>
      <c r="AW294" s="217"/>
      <c r="AX294" s="217"/>
      <c r="AY294" s="217"/>
      <c r="AZ294" s="217"/>
      <c r="BA294" s="217"/>
      <c r="BB294" s="217"/>
      <c r="BC294" s="217"/>
      <c r="BD294" s="217"/>
      <c r="BE294" s="217"/>
      <c r="BF294" s="217"/>
      <c r="BG294" s="217"/>
      <c r="BH294" s="217"/>
      <c r="BI294" s="217"/>
      <c r="BJ294" s="217"/>
      <c r="BK294" s="217"/>
      <c r="BL294" s="217"/>
      <c r="BM294" s="217"/>
      <c r="BN294" s="217"/>
      <c r="BO294" s="217"/>
      <c r="BP294" s="217"/>
      <c r="BQ294" s="217"/>
      <c r="BR294" s="217"/>
      <c r="BS294" s="217"/>
      <c r="BT294" s="217"/>
      <c r="BU294" s="217"/>
      <c r="BV294" s="217"/>
      <c r="BW294" s="217"/>
      <c r="BX294" s="217"/>
      <c r="BY294" s="217"/>
      <c r="BZ294" s="217"/>
      <c r="CA294" s="217"/>
      <c r="CB294" s="217"/>
      <c r="CC294" s="217"/>
      <c r="CD294" s="217"/>
      <c r="CE294" s="217"/>
      <c r="CF294" s="217"/>
      <c r="CG294" s="217"/>
      <c r="CH294" s="217"/>
      <c r="CI294" s="217"/>
      <c r="CJ294" s="217"/>
      <c r="CK294" s="217"/>
      <c r="CL294" s="217"/>
      <c r="CM294" s="217"/>
      <c r="CN294" s="217"/>
    </row>
    <row r="295" spans="1:93" ht="18" customHeight="1" x14ac:dyDescent="0.25">
      <c r="A295" s="201"/>
      <c r="B295" s="31"/>
      <c r="D295" s="121"/>
      <c r="E295" s="121"/>
      <c r="F295" s="121"/>
      <c r="G295" s="121"/>
      <c r="H295" s="153"/>
      <c r="I295" s="121"/>
      <c r="J295" s="121"/>
      <c r="K295" s="121"/>
      <c r="L295" s="121"/>
      <c r="M295" s="121"/>
      <c r="N295" s="153"/>
      <c r="O295" s="121"/>
      <c r="P295" s="121"/>
      <c r="Q295" s="121"/>
      <c r="R295" s="121"/>
      <c r="S295" s="121"/>
      <c r="T295" s="153"/>
      <c r="U295" s="121"/>
      <c r="V295" s="121"/>
      <c r="W295" s="121"/>
      <c r="X295" s="121"/>
      <c r="Y295" s="121"/>
      <c r="Z295" s="153"/>
      <c r="AA295" s="121"/>
      <c r="AB295" s="121"/>
      <c r="AC295" s="121"/>
      <c r="AD295" s="121"/>
      <c r="AE295" s="121"/>
      <c r="AF295" s="153"/>
      <c r="AG295" s="121"/>
      <c r="AH295" s="121"/>
      <c r="AI295" s="121"/>
      <c r="AJ295" s="121"/>
      <c r="AK295" s="121"/>
      <c r="AL295" s="153"/>
      <c r="AM295" s="121"/>
      <c r="AN295" s="121"/>
      <c r="AO295" s="121"/>
      <c r="AP295" s="121"/>
      <c r="AQ295" s="121"/>
      <c r="AR295" s="153"/>
      <c r="AS295" s="121"/>
      <c r="AT295" s="121"/>
      <c r="AU295" s="121"/>
      <c r="AV295" s="263"/>
      <c r="AW295" s="238"/>
      <c r="AX295" s="238"/>
      <c r="AY295" s="238"/>
    </row>
    <row r="296" spans="1:93" ht="18" customHeight="1" x14ac:dyDescent="0.25">
      <c r="A296" s="137"/>
      <c r="B296" s="424" t="s">
        <v>127</v>
      </c>
      <c r="C296" s="379"/>
      <c r="D296" s="250">
        <v>-71</v>
      </c>
      <c r="E296" s="250">
        <v>-87</v>
      </c>
      <c r="F296" s="250">
        <v>-78</v>
      </c>
      <c r="G296" s="250">
        <v>-86</v>
      </c>
      <c r="H296" s="286">
        <f>SUM(D296:G296)</f>
        <v>-322</v>
      </c>
      <c r="I296" s="379"/>
      <c r="J296" s="250">
        <v>-86</v>
      </c>
      <c r="K296" s="250">
        <v>-96</v>
      </c>
      <c r="L296" s="250">
        <v>-100</v>
      </c>
      <c r="M296" s="250">
        <v>-102</v>
      </c>
      <c r="N296" s="286">
        <f>SUM(J296:M296)</f>
        <v>-384</v>
      </c>
      <c r="O296" s="380"/>
      <c r="P296" s="250">
        <v>-107</v>
      </c>
      <c r="Q296" s="250">
        <v>-114</v>
      </c>
      <c r="R296" s="250">
        <v>-107</v>
      </c>
      <c r="S296" s="250">
        <v>-103</v>
      </c>
      <c r="T296" s="286">
        <f>SUM(P296:S296)</f>
        <v>-431</v>
      </c>
      <c r="U296" s="380"/>
      <c r="V296" s="250">
        <v>-89</v>
      </c>
      <c r="W296" s="250">
        <v>-75</v>
      </c>
      <c r="X296" s="250">
        <v>-67</v>
      </c>
      <c r="Y296" s="250">
        <v>-74</v>
      </c>
      <c r="Z296" s="286">
        <f>SUM(V296:Y296)</f>
        <v>-305</v>
      </c>
      <c r="AA296" s="380"/>
      <c r="AB296" s="250">
        <v>-75</v>
      </c>
      <c r="AC296" s="250">
        <v>-78</v>
      </c>
      <c r="AD296" s="250">
        <v>-73</v>
      </c>
      <c r="AE296" s="250">
        <v>-75</v>
      </c>
      <c r="AF296" s="286">
        <f>SUM(AB296:AE296)</f>
        <v>-301</v>
      </c>
      <c r="AG296" s="379"/>
      <c r="AH296" s="250">
        <v>-81</v>
      </c>
      <c r="AI296" s="250">
        <v>-94</v>
      </c>
      <c r="AJ296" s="250">
        <v>-110</v>
      </c>
      <c r="AK296" s="250">
        <v>-134</v>
      </c>
      <c r="AL296" s="286">
        <f>SUM(AH296:AK296)</f>
        <v>-419</v>
      </c>
      <c r="AM296" s="379"/>
      <c r="AN296" s="250">
        <v>-140</v>
      </c>
      <c r="AO296" s="250">
        <v>-155</v>
      </c>
      <c r="AP296" s="250">
        <v>-165</v>
      </c>
      <c r="AQ296" s="250">
        <v>-156</v>
      </c>
      <c r="AR296" s="286">
        <f>SUM(AN296:AQ296)</f>
        <v>-616</v>
      </c>
      <c r="AS296" s="380"/>
      <c r="AT296" s="250">
        <v>-153</v>
      </c>
      <c r="AU296" s="250">
        <v>-163</v>
      </c>
      <c r="AV296" s="395">
        <v>-167</v>
      </c>
      <c r="AW296" s="286">
        <f>AQ296*(1+AW297)</f>
        <v>-163.80000000000001</v>
      </c>
      <c r="AX296" s="534">
        <f>SUM(AT296:AW296)</f>
        <v>-646.79999999999995</v>
      </c>
      <c r="AZ296" s="286">
        <f>AT296*(1+AZ297)</f>
        <v>-160.65</v>
      </c>
      <c r="BA296" s="286">
        <f t="shared" ref="BA296:BC296" si="2472">AU296*(1+BA297)</f>
        <v>-171.15</v>
      </c>
      <c r="BB296" s="286">
        <f t="shared" si="2472"/>
        <v>-175.35</v>
      </c>
      <c r="BC296" s="286">
        <f t="shared" si="2472"/>
        <v>-171.99</v>
      </c>
      <c r="BD296" s="534">
        <f>SUM(AZ296:BC296)</f>
        <v>-679.14</v>
      </c>
      <c r="BF296" s="286">
        <f>AZ296*(1+BF297)</f>
        <v>-168.6825</v>
      </c>
      <c r="BG296" s="286">
        <f t="shared" ref="BG296" si="2473">BA296*(1+BG297)</f>
        <v>-179.70750000000001</v>
      </c>
      <c r="BH296" s="286">
        <f t="shared" ref="BH296" si="2474">BB296*(1+BH297)</f>
        <v>-184.11750000000001</v>
      </c>
      <c r="BI296" s="286">
        <f t="shared" ref="BI296" si="2475">BC296*(1+BI297)</f>
        <v>-180.58950000000002</v>
      </c>
      <c r="BJ296" s="534">
        <f>SUM(BF296:BI296)</f>
        <v>-713.09699999999998</v>
      </c>
      <c r="BL296" s="286">
        <f>BF296*(1+BL297)</f>
        <v>-177.116625</v>
      </c>
      <c r="BM296" s="286">
        <f t="shared" ref="BM296" si="2476">BG296*(1+BM297)</f>
        <v>-188.69287500000002</v>
      </c>
      <c r="BN296" s="286">
        <f t="shared" ref="BN296" si="2477">BH296*(1+BN297)</f>
        <v>-193.32337500000003</v>
      </c>
      <c r="BO296" s="286">
        <f t="shared" ref="BO296" si="2478">BI296*(1+BO297)</f>
        <v>-189.61897500000003</v>
      </c>
      <c r="BP296" s="534">
        <f>SUM(BL296:BO296)</f>
        <v>-748.7518500000001</v>
      </c>
      <c r="BR296" s="286">
        <f>BL296*(1+BR297)</f>
        <v>-182.43012375000001</v>
      </c>
      <c r="BS296" s="286">
        <f t="shared" ref="BS296" si="2479">BM296*(1+BS297)</f>
        <v>-194.35366125000002</v>
      </c>
      <c r="BT296" s="286">
        <f t="shared" ref="BT296" si="2480">BN296*(1+BT297)</f>
        <v>-199.12307625000003</v>
      </c>
      <c r="BU296" s="286">
        <f t="shared" ref="BU296" si="2481">BO296*(1+BU297)</f>
        <v>-195.30754425000003</v>
      </c>
      <c r="BV296" s="534">
        <f>SUM(BR296:BU296)</f>
        <v>-771.21440550000011</v>
      </c>
      <c r="BX296" s="286">
        <f>BR296*(1+BX297)</f>
        <v>-187.90302746250001</v>
      </c>
      <c r="BY296" s="286">
        <f t="shared" ref="BY296" si="2482">BS296*(1+BY297)</f>
        <v>-200.18427108750001</v>
      </c>
      <c r="BZ296" s="286">
        <f t="shared" ref="BZ296" si="2483">BT296*(1+BZ297)</f>
        <v>-205.09676853750003</v>
      </c>
      <c r="CA296" s="286">
        <f t="shared" ref="CA296" si="2484">BU296*(1+CA297)</f>
        <v>-201.16677057750005</v>
      </c>
      <c r="CB296" s="534">
        <f>SUM(BX296:CA296)</f>
        <v>-794.35083766500009</v>
      </c>
      <c r="CD296" s="286">
        <f>BX296*(1+CD297)</f>
        <v>-193.54011828637502</v>
      </c>
      <c r="CE296" s="286">
        <f t="shared" ref="CE296" si="2485">BY296*(1+CE297)</f>
        <v>-206.18979922012502</v>
      </c>
      <c r="CF296" s="286">
        <f t="shared" ref="CF296" si="2486">BZ296*(1+CF297)</f>
        <v>-211.24967159362504</v>
      </c>
      <c r="CG296" s="286">
        <f t="shared" ref="CG296" si="2487">CA296*(1+CG297)</f>
        <v>-207.20177369482505</v>
      </c>
      <c r="CH296" s="534">
        <f>SUM(CD296:CG296)</f>
        <v>-818.18136279495013</v>
      </c>
      <c r="CJ296" s="286">
        <f>CD296*(1+CJ297)</f>
        <v>-199.34632183496626</v>
      </c>
      <c r="CK296" s="286">
        <f t="shared" ref="CK296" si="2488">CE296*(1+CK297)</f>
        <v>-212.37549319672877</v>
      </c>
      <c r="CL296" s="286">
        <f t="shared" ref="CL296" si="2489">CF296*(1+CL297)</f>
        <v>-217.58716174143379</v>
      </c>
      <c r="CM296" s="286">
        <f t="shared" ref="CM296" si="2490">CG296*(1+CM297)</f>
        <v>-213.41782690566981</v>
      </c>
      <c r="CN296" s="534">
        <f>SUM(CJ296:CM296)</f>
        <v>-842.72680367879866</v>
      </c>
    </row>
    <row r="297" spans="1:93" ht="18" customHeight="1" x14ac:dyDescent="0.25">
      <c r="A297" s="137"/>
      <c r="B297" s="14" t="s">
        <v>139</v>
      </c>
      <c r="C297" s="379"/>
      <c r="D297" s="250"/>
      <c r="E297" s="250"/>
      <c r="F297" s="250"/>
      <c r="G297" s="250"/>
      <c r="H297" s="286"/>
      <c r="I297" s="379"/>
      <c r="J297" s="67">
        <f>J296/D296-1</f>
        <v>0.21126760563380276</v>
      </c>
      <c r="K297" s="67">
        <f>K296/E296-1</f>
        <v>0.10344827586206895</v>
      </c>
      <c r="L297" s="67">
        <f>L296/F296-1</f>
        <v>0.28205128205128216</v>
      </c>
      <c r="M297" s="67">
        <f>M296/G296-1</f>
        <v>0.18604651162790709</v>
      </c>
      <c r="N297" s="67">
        <f>N296/H296-1</f>
        <v>0.19254658385093171</v>
      </c>
      <c r="O297" s="380"/>
      <c r="P297" s="67">
        <f>P296/J296-1</f>
        <v>0.2441860465116279</v>
      </c>
      <c r="Q297" s="67">
        <f>Q296/K296-1</f>
        <v>0.1875</v>
      </c>
      <c r="R297" s="67">
        <f>R296/L296-1</f>
        <v>7.0000000000000062E-2</v>
      </c>
      <c r="S297" s="67">
        <f>S296/M296-1</f>
        <v>9.8039215686274161E-3</v>
      </c>
      <c r="T297" s="67">
        <f>T296/N296-1</f>
        <v>0.12239583333333326</v>
      </c>
      <c r="U297" s="380"/>
      <c r="V297" s="67">
        <f>V296/P296-1</f>
        <v>-0.16822429906542058</v>
      </c>
      <c r="W297" s="67">
        <f>W296/Q296-1</f>
        <v>-0.34210526315789469</v>
      </c>
      <c r="X297" s="67">
        <f>X296/R296-1</f>
        <v>-0.37383177570093462</v>
      </c>
      <c r="Y297" s="67">
        <f>Y296/S296-1</f>
        <v>-0.28155339805825241</v>
      </c>
      <c r="Z297" s="67">
        <f>Z296/T296-1</f>
        <v>-0.29234338747099764</v>
      </c>
      <c r="AA297" s="380"/>
      <c r="AB297" s="67">
        <f>AB296/V296-1</f>
        <v>-0.15730337078651691</v>
      </c>
      <c r="AC297" s="67">
        <f>AC296/W296-1</f>
        <v>4.0000000000000036E-2</v>
      </c>
      <c r="AD297" s="67">
        <f>AD296/X296-1</f>
        <v>8.9552238805970186E-2</v>
      </c>
      <c r="AE297" s="67">
        <f>AE296/Y296-1</f>
        <v>1.3513513513513598E-2</v>
      </c>
      <c r="AF297" s="67">
        <f>AF296/Z296-1</f>
        <v>-1.3114754098360604E-2</v>
      </c>
      <c r="AG297" s="379"/>
      <c r="AH297" s="67">
        <f>AH296/AB296-1</f>
        <v>8.0000000000000071E-2</v>
      </c>
      <c r="AI297" s="67">
        <f>AI296/AC296-1</f>
        <v>0.20512820512820507</v>
      </c>
      <c r="AJ297" s="67">
        <f>AJ296/AD296-1</f>
        <v>0.50684931506849318</v>
      </c>
      <c r="AK297" s="67">
        <f>AK296/AE296-1</f>
        <v>0.78666666666666663</v>
      </c>
      <c r="AL297" s="67">
        <f>AL296/AF296-1</f>
        <v>0.3920265780730896</v>
      </c>
      <c r="AM297" s="379"/>
      <c r="AN297" s="67">
        <f>AN296/AH296-1</f>
        <v>0.72839506172839497</v>
      </c>
      <c r="AO297" s="67">
        <f>AO296/AI296-1</f>
        <v>0.64893617021276606</v>
      </c>
      <c r="AP297" s="67">
        <f>AP296/AJ296-1</f>
        <v>0.5</v>
      </c>
      <c r="AQ297" s="67">
        <f>AQ296/AK296-1</f>
        <v>0.16417910447761197</v>
      </c>
      <c r="AR297" s="67">
        <f>AR296/AL296-1</f>
        <v>0.47016706443914091</v>
      </c>
      <c r="AS297" s="380"/>
      <c r="AT297" s="67">
        <f>AT296/AN296-1</f>
        <v>9.2857142857142749E-2</v>
      </c>
      <c r="AU297" s="67">
        <f>AU296/AO296-1</f>
        <v>5.1612903225806361E-2</v>
      </c>
      <c r="AV297" s="264">
        <f>AV296/AP296-1</f>
        <v>1.2121212121212199E-2</v>
      </c>
      <c r="AW297" s="539">
        <v>0.05</v>
      </c>
      <c r="AX297" s="445"/>
      <c r="AY297" s="437"/>
      <c r="AZ297" s="454">
        <v>0.05</v>
      </c>
      <c r="BA297" s="454">
        <v>0.05</v>
      </c>
      <c r="BB297" s="454">
        <v>0.05</v>
      </c>
      <c r="BC297" s="454">
        <v>0.05</v>
      </c>
      <c r="BD297" s="445"/>
      <c r="BE297" s="437"/>
      <c r="BF297" s="454">
        <v>0.05</v>
      </c>
      <c r="BG297" s="454">
        <v>0.05</v>
      </c>
      <c r="BH297" s="454">
        <v>0.05</v>
      </c>
      <c r="BI297" s="454">
        <v>0.05</v>
      </c>
      <c r="BJ297" s="445"/>
      <c r="BK297" s="437"/>
      <c r="BL297" s="454">
        <v>0.05</v>
      </c>
      <c r="BM297" s="454">
        <v>0.05</v>
      </c>
      <c r="BN297" s="454">
        <v>0.05</v>
      </c>
      <c r="BO297" s="454">
        <v>0.05</v>
      </c>
      <c r="BP297" s="445"/>
      <c r="BQ297" s="437"/>
      <c r="BR297" s="454">
        <v>0.03</v>
      </c>
      <c r="BS297" s="454">
        <v>0.03</v>
      </c>
      <c r="BT297" s="454">
        <v>0.03</v>
      </c>
      <c r="BU297" s="454">
        <v>0.03</v>
      </c>
      <c r="BV297" s="445"/>
      <c r="BW297" s="437"/>
      <c r="BX297" s="454">
        <v>0.03</v>
      </c>
      <c r="BY297" s="454">
        <v>0.03</v>
      </c>
      <c r="BZ297" s="454">
        <v>0.03</v>
      </c>
      <c r="CA297" s="454">
        <v>0.03</v>
      </c>
      <c r="CB297" s="445"/>
      <c r="CC297" s="437"/>
      <c r="CD297" s="454">
        <v>0.03</v>
      </c>
      <c r="CE297" s="454">
        <v>0.03</v>
      </c>
      <c r="CF297" s="454">
        <v>0.03</v>
      </c>
      <c r="CG297" s="454">
        <v>0.03</v>
      </c>
      <c r="CH297" s="445"/>
      <c r="CI297" s="437"/>
      <c r="CJ297" s="454">
        <v>0.03</v>
      </c>
      <c r="CK297" s="454">
        <v>0.03</v>
      </c>
      <c r="CL297" s="454">
        <v>0.03</v>
      </c>
      <c r="CM297" s="454">
        <v>0.03</v>
      </c>
    </row>
    <row r="298" spans="1:93" ht="18" customHeight="1" x14ac:dyDescent="0.25">
      <c r="A298" s="137"/>
      <c r="B298" s="136"/>
      <c r="C298" s="137"/>
      <c r="D298" s="137"/>
      <c r="E298" s="137"/>
      <c r="F298" s="137"/>
      <c r="G298" s="137"/>
      <c r="H298" s="137"/>
      <c r="I298" s="137"/>
      <c r="J298" s="104"/>
      <c r="K298" s="104"/>
      <c r="L298" s="104"/>
      <c r="M298" s="104"/>
      <c r="N298" s="104"/>
      <c r="O298" s="205"/>
      <c r="P298" s="104"/>
      <c r="Q298" s="104"/>
      <c r="R298" s="104"/>
      <c r="S298" s="104"/>
      <c r="T298" s="104"/>
      <c r="U298" s="205"/>
      <c r="V298" s="104"/>
      <c r="W298" s="104"/>
      <c r="X298" s="104"/>
      <c r="Y298" s="104"/>
      <c r="Z298" s="104"/>
      <c r="AA298" s="205"/>
      <c r="AB298" s="104"/>
      <c r="AC298" s="104"/>
      <c r="AD298" s="104"/>
      <c r="AE298" s="104"/>
      <c r="AF298" s="104"/>
      <c r="AG298" s="137"/>
      <c r="AH298" s="104"/>
      <c r="AI298" s="104"/>
      <c r="AJ298" s="104"/>
      <c r="AK298" s="104"/>
      <c r="AL298" s="104"/>
      <c r="AM298" s="137"/>
      <c r="AN298" s="104"/>
      <c r="AO298" s="246"/>
      <c r="AP298" s="104"/>
      <c r="AQ298" s="246"/>
      <c r="AR298" s="246"/>
      <c r="AS298" s="205"/>
      <c r="AT298" s="104"/>
      <c r="AU298" s="246"/>
      <c r="AV298" s="265"/>
    </row>
    <row r="299" spans="1:93" ht="18" customHeight="1" x14ac:dyDescent="0.25">
      <c r="A299" s="137"/>
      <c r="B299" s="31" t="s">
        <v>74</v>
      </c>
      <c r="C299" s="137"/>
      <c r="D299" s="121">
        <f>54+35+26</f>
        <v>115</v>
      </c>
      <c r="E299" s="121">
        <f>56+35+33</f>
        <v>124</v>
      </c>
      <c r="F299" s="121">
        <f>52+36+38</f>
        <v>126</v>
      </c>
      <c r="G299" s="153">
        <f>H299-SUM(D299:F299)</f>
        <v>125</v>
      </c>
      <c r="H299" s="121">
        <f>220+143+127</f>
        <v>490</v>
      </c>
      <c r="I299" s="137"/>
      <c r="J299" s="121">
        <f>57+31+27</f>
        <v>115</v>
      </c>
      <c r="K299" s="121">
        <f>58+32+22</f>
        <v>112</v>
      </c>
      <c r="L299" s="121">
        <f>55+33+31</f>
        <v>119</v>
      </c>
      <c r="M299" s="153">
        <f>N299-SUM(J299:L299)</f>
        <v>117</v>
      </c>
      <c r="N299" s="121">
        <f>225+130+108</f>
        <v>463</v>
      </c>
      <c r="O299" s="205"/>
      <c r="P299" s="121">
        <f>52+32+14</f>
        <v>98</v>
      </c>
      <c r="Q299" s="121">
        <f>53+33+14</f>
        <v>100</v>
      </c>
      <c r="R299" s="121">
        <f>53+35+4</f>
        <v>92</v>
      </c>
      <c r="S299" s="153">
        <f>T299-SUM(P299:R299)</f>
        <v>74</v>
      </c>
      <c r="T299" s="121">
        <f>210+136+18</f>
        <v>364</v>
      </c>
      <c r="U299" s="205"/>
      <c r="V299" s="121">
        <f>62+33+4</f>
        <v>99</v>
      </c>
      <c r="W299" s="121">
        <f>63+32+1</f>
        <v>96</v>
      </c>
      <c r="X299" s="121">
        <f>71+31+4</f>
        <v>106</v>
      </c>
      <c r="Y299" s="153">
        <f>Z299-SUM(V299:X299)</f>
        <v>102</v>
      </c>
      <c r="Z299" s="121">
        <f>267+126+10</f>
        <v>403</v>
      </c>
      <c r="AA299" s="121"/>
      <c r="AB299" s="121">
        <f>62+26+2</f>
        <v>90</v>
      </c>
      <c r="AC299" s="121">
        <f>60+24+10</f>
        <v>94</v>
      </c>
      <c r="AD299" s="121">
        <f>59+24+10</f>
        <v>93</v>
      </c>
      <c r="AE299" s="153">
        <f>AF299-SUM(AB299:AD299)</f>
        <v>92</v>
      </c>
      <c r="AF299" s="121">
        <f>243+98+28</f>
        <v>369</v>
      </c>
      <c r="AG299" s="121"/>
      <c r="AH299" s="121">
        <f>58+21+6</f>
        <v>85</v>
      </c>
      <c r="AI299" s="121">
        <f>58+22+5</f>
        <v>85</v>
      </c>
      <c r="AJ299" s="121">
        <f>56+20+7</f>
        <v>83</v>
      </c>
      <c r="AK299" s="153">
        <f>AL299-SUM(AH299:AJ299)</f>
        <v>86</v>
      </c>
      <c r="AL299" s="121">
        <f>229+84+26</f>
        <v>339</v>
      </c>
      <c r="AM299" s="121"/>
      <c r="AN299" s="121">
        <f>57+20+7</f>
        <v>84</v>
      </c>
      <c r="AO299" s="121">
        <f>60+22+10</f>
        <v>92</v>
      </c>
      <c r="AP299" s="121">
        <f>59+23-2</f>
        <v>80</v>
      </c>
      <c r="AQ299" s="153">
        <f>AR299-SUM(AN299:AP299)</f>
        <v>83</v>
      </c>
      <c r="AR299" s="121">
        <f>236+91+12</f>
        <v>339</v>
      </c>
      <c r="AS299" s="121"/>
      <c r="AT299" s="121">
        <f>61+23-1</f>
        <v>83</v>
      </c>
      <c r="AU299" s="121">
        <f>62+24-3</f>
        <v>83</v>
      </c>
      <c r="AV299" s="263">
        <f>63+25-1</f>
        <v>87</v>
      </c>
      <c r="AW299" s="541">
        <f>AQ299*(1+AW304)</f>
        <v>83</v>
      </c>
      <c r="AX299" s="438">
        <f>SUM(AT299:AW299)</f>
        <v>336</v>
      </c>
      <c r="AY299" s="435"/>
      <c r="AZ299" s="533">
        <f t="shared" ref="AZ299:BC299" si="2491">AT299*(1+AZ304)</f>
        <v>84.66</v>
      </c>
      <c r="BA299" s="533">
        <f t="shared" si="2491"/>
        <v>84.66</v>
      </c>
      <c r="BB299" s="533">
        <f t="shared" si="2491"/>
        <v>88.74</v>
      </c>
      <c r="BC299" s="533">
        <f t="shared" si="2491"/>
        <v>84.66</v>
      </c>
      <c r="BD299" s="438">
        <f>SUM(AZ299:BC299)</f>
        <v>342.72</v>
      </c>
      <c r="BE299" s="435"/>
      <c r="BF299" s="533">
        <f t="shared" ref="BF299" si="2492">AZ299*(1+BF304)</f>
        <v>86.353200000000001</v>
      </c>
      <c r="BG299" s="533">
        <f t="shared" ref="BG299" si="2493">BA299*(1+BG304)</f>
        <v>86.353200000000001</v>
      </c>
      <c r="BH299" s="533">
        <f t="shared" ref="BH299" si="2494">BB299*(1+BH304)</f>
        <v>90.514799999999994</v>
      </c>
      <c r="BI299" s="533">
        <f t="shared" ref="BI299" si="2495">BC299*(1+BI304)</f>
        <v>86.353200000000001</v>
      </c>
      <c r="BJ299" s="438">
        <f>SUM(BF299:BI299)</f>
        <v>349.57440000000003</v>
      </c>
      <c r="BK299" s="435"/>
      <c r="BL299" s="533">
        <f t="shared" ref="BL299" si="2496">BF299*(1+BL304)</f>
        <v>88.080264</v>
      </c>
      <c r="BM299" s="533">
        <f t="shared" ref="BM299" si="2497">BG299*(1+BM304)</f>
        <v>88.080264</v>
      </c>
      <c r="BN299" s="533">
        <f t="shared" ref="BN299" si="2498">BH299*(1+BN304)</f>
        <v>92.325096000000002</v>
      </c>
      <c r="BO299" s="533">
        <f t="shared" ref="BO299" si="2499">BI299*(1+BO304)</f>
        <v>88.080264</v>
      </c>
      <c r="BP299" s="438">
        <f>SUM(BL299:BO299)</f>
        <v>356.56588800000003</v>
      </c>
      <c r="BQ299" s="435"/>
      <c r="BR299" s="533">
        <f t="shared" ref="BR299" si="2500">BL299*(1+BR304)</f>
        <v>89.841869279999997</v>
      </c>
      <c r="BS299" s="533">
        <f t="shared" ref="BS299" si="2501">BM299*(1+BS304)</f>
        <v>89.841869279999997</v>
      </c>
      <c r="BT299" s="533">
        <f t="shared" ref="BT299" si="2502">BN299*(1+BT304)</f>
        <v>94.171597920000011</v>
      </c>
      <c r="BU299" s="533">
        <f t="shared" ref="BU299" si="2503">BO299*(1+BU304)</f>
        <v>89.841869279999997</v>
      </c>
      <c r="BV299" s="438">
        <f>SUM(BR299:BU299)</f>
        <v>363.69720575999997</v>
      </c>
      <c r="BW299" s="435"/>
      <c r="BX299" s="533">
        <f t="shared" ref="BX299" si="2504">BR299*(1+BX304)</f>
        <v>91.638706665599997</v>
      </c>
      <c r="BY299" s="533">
        <f t="shared" ref="BY299" si="2505">BS299*(1+BY304)</f>
        <v>91.638706665599997</v>
      </c>
      <c r="BZ299" s="533">
        <f t="shared" ref="BZ299" si="2506">BT299*(1+BZ304)</f>
        <v>96.055029878400006</v>
      </c>
      <c r="CA299" s="533">
        <f t="shared" ref="CA299" si="2507">BU299*(1+CA304)</f>
        <v>91.638706665599997</v>
      </c>
      <c r="CB299" s="438">
        <f>SUM(BX299:CA299)</f>
        <v>370.97114987520001</v>
      </c>
      <c r="CC299" s="435"/>
      <c r="CD299" s="533">
        <f t="shared" ref="CD299" si="2508">BX299*(1+CD304)</f>
        <v>93.471480798911998</v>
      </c>
      <c r="CE299" s="533">
        <f t="shared" ref="CE299" si="2509">BY299*(1+CE304)</f>
        <v>93.471480798911998</v>
      </c>
      <c r="CF299" s="533">
        <f t="shared" ref="CF299" si="2510">BZ299*(1+CF304)</f>
        <v>97.976130475968006</v>
      </c>
      <c r="CG299" s="533">
        <f t="shared" ref="CG299" si="2511">CA299*(1+CG304)</f>
        <v>93.471480798911998</v>
      </c>
      <c r="CH299" s="438">
        <f>SUM(CD299:CG299)</f>
        <v>378.39057287270401</v>
      </c>
      <c r="CI299" s="435"/>
      <c r="CJ299" s="533">
        <f t="shared" ref="CJ299" si="2512">CD299*(1+CJ304)</f>
        <v>95.340910414890246</v>
      </c>
      <c r="CK299" s="533">
        <f t="shared" ref="CK299" si="2513">CE299*(1+CK304)</f>
        <v>95.340910414890246</v>
      </c>
      <c r="CL299" s="533">
        <f t="shared" ref="CL299" si="2514">CF299*(1+CL304)</f>
        <v>99.935653085487374</v>
      </c>
      <c r="CM299" s="533">
        <f t="shared" ref="CM299" si="2515">CG299*(1+CM304)</f>
        <v>95.340910414890246</v>
      </c>
      <c r="CN299" s="438">
        <f>SUM(CJ299:CM299)</f>
        <v>385.95838433015808</v>
      </c>
    </row>
    <row r="300" spans="1:93" ht="18" customHeight="1" thickBot="1" x14ac:dyDescent="0.3">
      <c r="A300" s="137"/>
      <c r="B300" s="136"/>
      <c r="C300" s="137"/>
      <c r="D300" s="137"/>
      <c r="E300" s="137"/>
      <c r="F300" s="137"/>
      <c r="G300" s="137"/>
      <c r="H300" s="137"/>
      <c r="I300" s="137"/>
      <c r="J300" s="104"/>
      <c r="K300" s="104"/>
      <c r="L300" s="104"/>
      <c r="M300" s="104"/>
      <c r="N300" s="104"/>
      <c r="O300" s="205"/>
      <c r="P300" s="104"/>
      <c r="Q300" s="104"/>
      <c r="R300" s="104"/>
      <c r="S300" s="104"/>
      <c r="T300" s="104"/>
      <c r="U300" s="205"/>
      <c r="V300" s="104"/>
      <c r="W300" s="104"/>
      <c r="X300" s="104"/>
      <c r="Y300" s="104"/>
      <c r="Z300" s="104"/>
      <c r="AA300" s="205"/>
      <c r="AB300" s="104"/>
      <c r="AC300" s="104"/>
      <c r="AD300" s="104"/>
      <c r="AE300" s="104"/>
      <c r="AF300" s="104"/>
      <c r="AG300" s="137"/>
      <c r="AH300" s="104"/>
      <c r="AI300" s="104"/>
      <c r="AJ300" s="104"/>
      <c r="AK300" s="104"/>
      <c r="AL300" s="104"/>
      <c r="AM300" s="137"/>
      <c r="AN300" s="104"/>
      <c r="AO300" s="246"/>
      <c r="AP300" s="104"/>
      <c r="AQ300" s="246"/>
      <c r="AR300" s="246"/>
      <c r="AS300" s="205"/>
      <c r="AT300" s="104"/>
      <c r="AU300" s="246"/>
      <c r="AV300" s="265"/>
      <c r="AW300" s="104"/>
      <c r="AX300" s="104"/>
      <c r="AY300" s="104"/>
      <c r="AZ300" s="104"/>
      <c r="BA300" s="104"/>
      <c r="BB300" s="104"/>
      <c r="BC300" s="104"/>
      <c r="BD300" s="104"/>
      <c r="BE300" s="104"/>
      <c r="BF300" s="104"/>
      <c r="BG300" s="104"/>
      <c r="BH300" s="104"/>
      <c r="BI300" s="104"/>
      <c r="BJ300" s="104"/>
      <c r="BK300" s="104"/>
      <c r="BL300" s="104"/>
      <c r="BM300" s="104"/>
      <c r="BN300" s="104"/>
      <c r="BO300" s="104"/>
      <c r="BP300" s="104"/>
      <c r="BQ300" s="104"/>
      <c r="BR300" s="104"/>
      <c r="BS300" s="104"/>
      <c r="BT300" s="104"/>
      <c r="BU300" s="104"/>
      <c r="BV300" s="104"/>
      <c r="BW300" s="104"/>
      <c r="BX300" s="104"/>
      <c r="BY300" s="104"/>
      <c r="BZ300" s="104"/>
      <c r="CA300" s="104"/>
      <c r="CB300" s="104"/>
      <c r="CC300" s="104"/>
      <c r="CD300" s="104"/>
      <c r="CE300" s="104"/>
      <c r="CF300" s="104"/>
      <c r="CG300" s="104"/>
      <c r="CH300" s="104"/>
      <c r="CI300" s="104"/>
      <c r="CJ300" s="104"/>
      <c r="CK300" s="104"/>
      <c r="CL300" s="104"/>
      <c r="CM300" s="104"/>
      <c r="CN300" s="104"/>
    </row>
    <row r="301" spans="1:93" ht="18" customHeight="1" x14ac:dyDescent="0.25">
      <c r="A301" s="137"/>
      <c r="B301" s="212" t="s">
        <v>7</v>
      </c>
      <c r="C301" s="207"/>
      <c r="D301" s="213">
        <f>D296+D299</f>
        <v>44</v>
      </c>
      <c r="E301" s="213">
        <f>E296+E299</f>
        <v>37</v>
      </c>
      <c r="F301" s="213">
        <f>F296+F299</f>
        <v>48</v>
      </c>
      <c r="G301" s="213">
        <f>G296+G299</f>
        <v>39</v>
      </c>
      <c r="H301" s="213">
        <f>H296+H299</f>
        <v>168</v>
      </c>
      <c r="I301" s="207"/>
      <c r="J301" s="213">
        <f>J296+J299</f>
        <v>29</v>
      </c>
      <c r="K301" s="213">
        <f>K296+K299</f>
        <v>16</v>
      </c>
      <c r="L301" s="213">
        <f>L296+L299</f>
        <v>19</v>
      </c>
      <c r="M301" s="213">
        <f>M296+M299</f>
        <v>15</v>
      </c>
      <c r="N301" s="213">
        <f>N296+N299</f>
        <v>79</v>
      </c>
      <c r="O301" s="208"/>
      <c r="P301" s="213">
        <f>P296+P299</f>
        <v>-9</v>
      </c>
      <c r="Q301" s="213">
        <f>Q296+Q299</f>
        <v>-14</v>
      </c>
      <c r="R301" s="213">
        <f>R296+R299</f>
        <v>-15</v>
      </c>
      <c r="S301" s="213">
        <f>S296+S299</f>
        <v>-29</v>
      </c>
      <c r="T301" s="213">
        <f>T296+T299</f>
        <v>-67</v>
      </c>
      <c r="U301" s="208"/>
      <c r="V301" s="213">
        <f>V296+V299</f>
        <v>10</v>
      </c>
      <c r="W301" s="213">
        <f>W296+W299</f>
        <v>21</v>
      </c>
      <c r="X301" s="213">
        <f>X296+X299</f>
        <v>39</v>
      </c>
      <c r="Y301" s="213">
        <f>Y296+Y299</f>
        <v>28</v>
      </c>
      <c r="Z301" s="213">
        <f>Z296+Z299</f>
        <v>98</v>
      </c>
      <c r="AA301" s="208"/>
      <c r="AB301" s="213">
        <f>AB296+AB299</f>
        <v>15</v>
      </c>
      <c r="AC301" s="213">
        <f>AC296+AC299</f>
        <v>16</v>
      </c>
      <c r="AD301" s="213">
        <f>AD296+AD299</f>
        <v>20</v>
      </c>
      <c r="AE301" s="213">
        <f>AE296+AE299</f>
        <v>17</v>
      </c>
      <c r="AF301" s="213">
        <f>AF296+AF299</f>
        <v>68</v>
      </c>
      <c r="AG301" s="207"/>
      <c r="AH301" s="213">
        <f>AH296+AH299</f>
        <v>4</v>
      </c>
      <c r="AI301" s="213">
        <f>AI296+AI299</f>
        <v>-9</v>
      </c>
      <c r="AJ301" s="213">
        <f>AJ296+AJ299</f>
        <v>-27</v>
      </c>
      <c r="AK301" s="213">
        <f>AK296+AK299</f>
        <v>-48</v>
      </c>
      <c r="AL301" s="213">
        <f>AL296+AL299</f>
        <v>-80</v>
      </c>
      <c r="AM301" s="207"/>
      <c r="AN301" s="213">
        <f>AN296+AN299</f>
        <v>-56</v>
      </c>
      <c r="AO301" s="213">
        <f>AO296+AO299</f>
        <v>-63</v>
      </c>
      <c r="AP301" s="213">
        <f>AP296+AP299</f>
        <v>-85</v>
      </c>
      <c r="AQ301" s="213">
        <f>AQ296+AQ299</f>
        <v>-73</v>
      </c>
      <c r="AR301" s="213">
        <f>AR296+AR299</f>
        <v>-277</v>
      </c>
      <c r="AS301" s="208"/>
      <c r="AT301" s="213">
        <f>AT296+AT299</f>
        <v>-70</v>
      </c>
      <c r="AU301" s="213">
        <f>AU296+AU299</f>
        <v>-80</v>
      </c>
      <c r="AV301" s="309">
        <f>AV296+AV299</f>
        <v>-80</v>
      </c>
      <c r="AW301" s="213">
        <f>AW296+AW299</f>
        <v>-80.800000000000011</v>
      </c>
      <c r="AX301" s="213">
        <f t="shared" ref="AX301:BM301" si="2516">AX296+AX299</f>
        <v>-310.79999999999995</v>
      </c>
      <c r="AY301" s="213"/>
      <c r="AZ301" s="213">
        <f t="shared" si="2516"/>
        <v>-75.990000000000009</v>
      </c>
      <c r="BA301" s="213">
        <f t="shared" si="2516"/>
        <v>-86.490000000000009</v>
      </c>
      <c r="BB301" s="213">
        <f t="shared" si="2516"/>
        <v>-86.61</v>
      </c>
      <c r="BC301" s="213">
        <f t="shared" si="2516"/>
        <v>-87.330000000000013</v>
      </c>
      <c r="BD301" s="213">
        <f t="shared" si="2516"/>
        <v>-336.41999999999996</v>
      </c>
      <c r="BE301" s="213"/>
      <c r="BF301" s="213">
        <f t="shared" si="2516"/>
        <v>-82.329300000000003</v>
      </c>
      <c r="BG301" s="213">
        <f t="shared" si="2516"/>
        <v>-93.354300000000009</v>
      </c>
      <c r="BH301" s="213">
        <f t="shared" si="2516"/>
        <v>-93.602700000000013</v>
      </c>
      <c r="BI301" s="213">
        <f t="shared" si="2516"/>
        <v>-94.236300000000014</v>
      </c>
      <c r="BJ301" s="213">
        <f t="shared" si="2516"/>
        <v>-363.52259999999995</v>
      </c>
      <c r="BK301" s="213"/>
      <c r="BL301" s="213">
        <f t="shared" si="2516"/>
        <v>-89.036360999999999</v>
      </c>
      <c r="BM301" s="213">
        <f t="shared" si="2516"/>
        <v>-100.61261100000002</v>
      </c>
      <c r="BN301" s="213">
        <f t="shared" ref="BN301:CN301" si="2517">BN296+BN299</f>
        <v>-100.99827900000003</v>
      </c>
      <c r="BO301" s="213">
        <f t="shared" si="2517"/>
        <v>-101.53871100000003</v>
      </c>
      <c r="BP301" s="213">
        <f t="shared" si="2517"/>
        <v>-392.18596200000007</v>
      </c>
      <c r="BQ301" s="213"/>
      <c r="BR301" s="213">
        <f t="shared" si="2517"/>
        <v>-92.58825447000001</v>
      </c>
      <c r="BS301" s="213">
        <f t="shared" si="2517"/>
        <v>-104.51179197000002</v>
      </c>
      <c r="BT301" s="213">
        <f t="shared" si="2517"/>
        <v>-104.95147833000001</v>
      </c>
      <c r="BU301" s="213">
        <f t="shared" si="2517"/>
        <v>-105.46567497000004</v>
      </c>
      <c r="BV301" s="213">
        <f t="shared" si="2517"/>
        <v>-407.51719974000014</v>
      </c>
      <c r="BW301" s="213"/>
      <c r="BX301" s="213">
        <f t="shared" si="2517"/>
        <v>-96.264320796900009</v>
      </c>
      <c r="BY301" s="213">
        <f t="shared" si="2517"/>
        <v>-108.54556442190001</v>
      </c>
      <c r="BZ301" s="213">
        <f t="shared" si="2517"/>
        <v>-109.04173865910002</v>
      </c>
      <c r="CA301" s="213">
        <f t="shared" si="2517"/>
        <v>-109.52806391190005</v>
      </c>
      <c r="CB301" s="213">
        <f t="shared" si="2517"/>
        <v>-423.37968778980007</v>
      </c>
      <c r="CC301" s="213"/>
      <c r="CD301" s="213">
        <f t="shared" si="2517"/>
        <v>-100.06863748746302</v>
      </c>
      <c r="CE301" s="213">
        <f t="shared" si="2517"/>
        <v>-112.71831842121303</v>
      </c>
      <c r="CF301" s="213">
        <f t="shared" si="2517"/>
        <v>-113.27354111765703</v>
      </c>
      <c r="CG301" s="213">
        <f t="shared" si="2517"/>
        <v>-113.73029289591305</v>
      </c>
      <c r="CH301" s="213">
        <f t="shared" si="2517"/>
        <v>-439.79078992224612</v>
      </c>
      <c r="CI301" s="213"/>
      <c r="CJ301" s="213">
        <f t="shared" si="2517"/>
        <v>-104.00541142007602</v>
      </c>
      <c r="CK301" s="213">
        <f t="shared" si="2517"/>
        <v>-117.03458278183852</v>
      </c>
      <c r="CL301" s="213">
        <f t="shared" si="2517"/>
        <v>-117.65150865594642</v>
      </c>
      <c r="CM301" s="213">
        <f t="shared" si="2517"/>
        <v>-118.07691649077957</v>
      </c>
      <c r="CN301" s="213">
        <f t="shared" si="2517"/>
        <v>-456.76841934864058</v>
      </c>
    </row>
    <row r="302" spans="1:93" ht="18" customHeight="1" x14ac:dyDescent="0.25">
      <c r="A302" s="137"/>
      <c r="B302" s="382"/>
      <c r="C302" s="379"/>
      <c r="D302" s="247"/>
      <c r="E302" s="247"/>
      <c r="F302" s="247"/>
      <c r="G302" s="247"/>
      <c r="H302" s="247"/>
      <c r="I302" s="379"/>
      <c r="J302" s="247"/>
      <c r="K302" s="247"/>
      <c r="L302" s="247"/>
      <c r="M302" s="247"/>
      <c r="N302" s="247"/>
      <c r="O302" s="380"/>
      <c r="P302" s="247"/>
      <c r="Q302" s="247"/>
      <c r="R302" s="247"/>
      <c r="S302" s="247"/>
      <c r="T302" s="247"/>
      <c r="U302" s="380"/>
      <c r="V302" s="247"/>
      <c r="W302" s="247"/>
      <c r="X302" s="247"/>
      <c r="Y302" s="247"/>
      <c r="Z302" s="247"/>
      <c r="AA302" s="380"/>
      <c r="AB302" s="247"/>
      <c r="AC302" s="247"/>
      <c r="AD302" s="247"/>
      <c r="AE302" s="247"/>
      <c r="AF302" s="247"/>
      <c r="AG302" s="379"/>
      <c r="AH302" s="247"/>
      <c r="AI302" s="247"/>
      <c r="AJ302" s="247"/>
      <c r="AK302" s="247"/>
      <c r="AL302" s="247"/>
      <c r="AM302" s="379"/>
      <c r="AN302" s="247"/>
      <c r="AO302" s="247"/>
      <c r="AP302" s="247"/>
      <c r="AQ302" s="247"/>
      <c r="AR302" s="247"/>
      <c r="AS302" s="380"/>
      <c r="AT302" s="247"/>
      <c r="AU302" s="247"/>
      <c r="AV302" s="130"/>
    </row>
    <row r="303" spans="1:93" s="403" customFormat="1" ht="18" customHeight="1" x14ac:dyDescent="0.25">
      <c r="A303" s="435"/>
      <c r="B303" s="436" t="s">
        <v>335</v>
      </c>
      <c r="C303" s="437"/>
      <c r="D303" s="435"/>
      <c r="E303" s="435"/>
      <c r="F303" s="435"/>
      <c r="G303" s="435"/>
      <c r="H303" s="435"/>
      <c r="I303" s="435"/>
      <c r="J303" s="438"/>
      <c r="K303" s="438"/>
      <c r="L303" s="438"/>
      <c r="M303" s="438"/>
      <c r="N303" s="438"/>
      <c r="O303" s="439"/>
      <c r="P303" s="438"/>
      <c r="Q303" s="438"/>
      <c r="R303" s="438"/>
      <c r="S303" s="438"/>
      <c r="T303" s="440"/>
      <c r="U303" s="439"/>
      <c r="V303" s="440"/>
      <c r="W303" s="440"/>
      <c r="X303" s="440"/>
      <c r="Y303" s="443"/>
      <c r="Z303" s="440"/>
      <c r="AA303" s="440"/>
      <c r="AB303" s="440">
        <f>15+19+124-14</f>
        <v>144</v>
      </c>
      <c r="AC303" s="440">
        <f>32-15+5</f>
        <v>22</v>
      </c>
      <c r="AD303" s="440">
        <f>59+15-13</f>
        <v>61</v>
      </c>
      <c r="AE303" s="443">
        <f>AF303-SUM(AB303:AD303)</f>
        <v>-54</v>
      </c>
      <c r="AF303" s="440">
        <f>182+56-74+9</f>
        <v>173</v>
      </c>
      <c r="AG303" s="440"/>
      <c r="AH303" s="440">
        <f>16+9+192-10</f>
        <v>207</v>
      </c>
      <c r="AI303" s="440">
        <f>46+16+16-2</f>
        <v>76</v>
      </c>
      <c r="AJ303" s="440">
        <f>54+16-35-19</f>
        <v>16</v>
      </c>
      <c r="AK303" s="443">
        <f>AL303-SUM(AH303:AJ303)</f>
        <v>-105</v>
      </c>
      <c r="AL303" s="440">
        <f>219+76-54-47</f>
        <v>194</v>
      </c>
      <c r="AM303" s="440"/>
      <c r="AN303" s="440">
        <f>26+22+212-16</f>
        <v>244</v>
      </c>
      <c r="AO303" s="440">
        <f>49+22-27-19</f>
        <v>25</v>
      </c>
      <c r="AP303" s="440">
        <f>67+27-71</f>
        <v>23</v>
      </c>
      <c r="AQ303" s="443">
        <f>AR303-SUM(AN303:AP303)</f>
        <v>-64</v>
      </c>
      <c r="AR303" s="440">
        <f>260+102-44-90</f>
        <v>228</v>
      </c>
      <c r="AS303" s="440"/>
      <c r="AT303" s="440">
        <f>29+30+245-16</f>
        <v>288</v>
      </c>
      <c r="AU303" s="440">
        <f>57+24-37-9</f>
        <v>35</v>
      </c>
      <c r="AV303" s="453">
        <f>63+60-71-15</f>
        <v>37</v>
      </c>
      <c r="AW303" s="443">
        <f>AQ303*(1+AW304)</f>
        <v>-64</v>
      </c>
      <c r="AX303" s="443">
        <f>SUM(AT303:AW303)</f>
        <v>296</v>
      </c>
      <c r="AY303" s="437"/>
      <c r="AZ303" s="443">
        <f t="shared" ref="AZ303" si="2518">AT303*(1+AZ304)</f>
        <v>293.76</v>
      </c>
      <c r="BA303" s="443">
        <f t="shared" ref="BA303" si="2519">AU303*(1+BA304)</f>
        <v>35.700000000000003</v>
      </c>
      <c r="BB303" s="443">
        <f t="shared" ref="BB303" si="2520">AV303*(1+BB304)</f>
        <v>37.74</v>
      </c>
      <c r="BC303" s="443">
        <f>AW303*(1+BC304)</f>
        <v>-65.28</v>
      </c>
      <c r="BD303" s="443">
        <f>SUM(AZ303:BC303)</f>
        <v>301.91999999999996</v>
      </c>
      <c r="BE303" s="437"/>
      <c r="BF303" s="443">
        <f t="shared" ref="BF303" si="2521">AZ303*(1+BF304)</f>
        <v>299.6352</v>
      </c>
      <c r="BG303" s="443">
        <f t="shared" ref="BG303" si="2522">BA303*(1+BG304)</f>
        <v>36.414000000000001</v>
      </c>
      <c r="BH303" s="443">
        <f t="shared" ref="BH303" si="2523">BB303*(1+BH304)</f>
        <v>38.494800000000005</v>
      </c>
      <c r="BI303" s="443">
        <f>BC303*(1+BI304)</f>
        <v>-66.585599999999999</v>
      </c>
      <c r="BJ303" s="443">
        <f>SUM(BF303:BI303)</f>
        <v>307.95839999999998</v>
      </c>
      <c r="BK303" s="437"/>
      <c r="BL303" s="443">
        <f t="shared" ref="BL303" si="2524">BF303*(1+BL304)</f>
        <v>305.627904</v>
      </c>
      <c r="BM303" s="443">
        <f t="shared" ref="BM303" si="2525">BG303*(1+BM304)</f>
        <v>37.14228</v>
      </c>
      <c r="BN303" s="443">
        <f t="shared" ref="BN303" si="2526">BH303*(1+BN304)</f>
        <v>39.264696000000008</v>
      </c>
      <c r="BO303" s="443">
        <f>BI303*(1+BO304)</f>
        <v>-67.917311999999995</v>
      </c>
      <c r="BP303" s="443">
        <f>SUM(BL303:BO303)</f>
        <v>314.11756800000001</v>
      </c>
      <c r="BQ303" s="437"/>
      <c r="BR303" s="443">
        <f t="shared" ref="BR303" si="2527">BL303*(1+BR304)</f>
        <v>311.74046207999999</v>
      </c>
      <c r="BS303" s="443">
        <f t="shared" ref="BS303" si="2528">BM303*(1+BS304)</f>
        <v>37.885125600000002</v>
      </c>
      <c r="BT303" s="443">
        <f t="shared" ref="BT303" si="2529">BN303*(1+BT304)</f>
        <v>40.049989920000009</v>
      </c>
      <c r="BU303" s="443">
        <f>BO303*(1+BU304)</f>
        <v>-69.275658239999999</v>
      </c>
      <c r="BV303" s="443">
        <f>SUM(BR303:BU303)</f>
        <v>320.39991936000001</v>
      </c>
      <c r="BW303" s="437"/>
      <c r="BX303" s="443">
        <f t="shared" ref="BX303" si="2530">BR303*(1+BX304)</f>
        <v>317.97527132160002</v>
      </c>
      <c r="BY303" s="443">
        <f t="shared" ref="BY303" si="2531">BS303*(1+BY304)</f>
        <v>38.642828112000004</v>
      </c>
      <c r="BZ303" s="443">
        <f t="shared" ref="BZ303" si="2532">BT303*(1+BZ304)</f>
        <v>40.850989718400008</v>
      </c>
      <c r="CA303" s="443">
        <f>BU303*(1+CA304)</f>
        <v>-70.661171404800001</v>
      </c>
      <c r="CB303" s="443">
        <f>SUM(BX303:CA303)</f>
        <v>326.80791774720001</v>
      </c>
      <c r="CC303" s="437"/>
      <c r="CD303" s="443">
        <f t="shared" ref="CD303" si="2533">BX303*(1+CD304)</f>
        <v>324.33477674803203</v>
      </c>
      <c r="CE303" s="443">
        <f t="shared" ref="CE303" si="2534">BY303*(1+CE304)</f>
        <v>39.415684674240005</v>
      </c>
      <c r="CF303" s="443">
        <f t="shared" ref="CF303" si="2535">BZ303*(1+CF304)</f>
        <v>41.668009512768009</v>
      </c>
      <c r="CG303" s="443">
        <f>CA303*(1+CG304)</f>
        <v>-72.074394832896004</v>
      </c>
      <c r="CH303" s="443">
        <f>SUM(CD303:CG303)</f>
        <v>333.34407610214407</v>
      </c>
      <c r="CI303" s="437"/>
      <c r="CJ303" s="443">
        <f t="shared" ref="CJ303" si="2536">CD303*(1+CJ304)</f>
        <v>330.82147228299266</v>
      </c>
      <c r="CK303" s="443">
        <f t="shared" ref="CK303" si="2537">CE303*(1+CK304)</f>
        <v>40.203998367724807</v>
      </c>
      <c r="CL303" s="443">
        <f t="shared" ref="CL303" si="2538">CF303*(1+CL304)</f>
        <v>42.501369703023371</v>
      </c>
      <c r="CM303" s="443">
        <f>CG303*(1+CM304)</f>
        <v>-73.515882729553923</v>
      </c>
      <c r="CN303" s="443">
        <f>SUM(CJ303:CM303)</f>
        <v>340.01095762418691</v>
      </c>
      <c r="CO303" s="447"/>
    </row>
    <row r="304" spans="1:93" ht="18" customHeight="1" x14ac:dyDescent="0.25">
      <c r="AV304" s="184"/>
      <c r="AW304" s="539">
        <v>0</v>
      </c>
      <c r="AX304" s="445"/>
      <c r="AY304" s="437"/>
      <c r="AZ304" s="454">
        <v>0.02</v>
      </c>
      <c r="BA304" s="454">
        <v>0.02</v>
      </c>
      <c r="BB304" s="454">
        <v>0.02</v>
      </c>
      <c r="BC304" s="454">
        <v>0.02</v>
      </c>
      <c r="BD304" s="445"/>
      <c r="BE304" s="437"/>
      <c r="BF304" s="454">
        <v>0.02</v>
      </c>
      <c r="BG304" s="454">
        <v>0.02</v>
      </c>
      <c r="BH304" s="454">
        <v>0.02</v>
      </c>
      <c r="BI304" s="454">
        <v>0.02</v>
      </c>
      <c r="BJ304" s="445"/>
      <c r="BK304" s="437"/>
      <c r="BL304" s="454">
        <v>0.02</v>
      </c>
      <c r="BM304" s="454">
        <v>0.02</v>
      </c>
      <c r="BN304" s="454">
        <v>0.02</v>
      </c>
      <c r="BO304" s="454">
        <v>0.02</v>
      </c>
      <c r="BP304" s="445"/>
      <c r="BQ304" s="437"/>
      <c r="BR304" s="454">
        <v>0.02</v>
      </c>
      <c r="BS304" s="454">
        <v>0.02</v>
      </c>
      <c r="BT304" s="454">
        <v>0.02</v>
      </c>
      <c r="BU304" s="454">
        <v>0.02</v>
      </c>
      <c r="BV304" s="445"/>
      <c r="BW304" s="437"/>
      <c r="BX304" s="454">
        <v>0.02</v>
      </c>
      <c r="BY304" s="454">
        <v>0.02</v>
      </c>
      <c r="BZ304" s="454">
        <v>0.02</v>
      </c>
      <c r="CA304" s="454">
        <v>0.02</v>
      </c>
      <c r="CB304" s="445"/>
      <c r="CC304" s="437"/>
      <c r="CD304" s="454">
        <v>0.02</v>
      </c>
      <c r="CE304" s="454">
        <v>0.02</v>
      </c>
      <c r="CF304" s="454">
        <v>0.02</v>
      </c>
      <c r="CG304" s="454">
        <v>0.02</v>
      </c>
      <c r="CH304" s="445"/>
      <c r="CI304" s="437"/>
      <c r="CJ304" s="454">
        <v>0.02</v>
      </c>
      <c r="CK304" s="454">
        <v>0.02</v>
      </c>
      <c r="CL304" s="454">
        <v>0.02</v>
      </c>
      <c r="CM304" s="454">
        <v>0.02</v>
      </c>
    </row>
    <row r="306" spans="48:48" ht="18" customHeight="1" x14ac:dyDescent="0.25">
      <c r="AV306" s="27"/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024A-2B7B-4678-AF3D-D1F0FD04D6E3}">
  <dimension ref="A1:CP431"/>
  <sheetViews>
    <sheetView showGridLines="0" topLeftCell="A3" zoomScaleNormal="100" workbookViewId="0">
      <pane xSplit="3" ySplit="3" topLeftCell="D6" activePane="bottomRight" state="frozen"/>
      <selection activeCell="A3" sqref="A3"/>
      <selection pane="topRight" activeCell="D3" sqref="D3"/>
      <selection pane="bottomLeft" activeCell="A6" sqref="A6"/>
      <selection pane="bottomRight" activeCell="H6" sqref="H6"/>
    </sheetView>
  </sheetViews>
  <sheetFormatPr defaultColWidth="9.140625" defaultRowHeight="12.95" customHeight="1" outlineLevelRow="1" outlineLevelCol="1" x14ac:dyDescent="0.25"/>
  <cols>
    <col min="1" max="1" width="3.7109375" style="1" customWidth="1"/>
    <col min="2" max="2" width="32.42578125" style="2" customWidth="1"/>
    <col min="3" max="3" width="3.7109375" style="2" customWidth="1"/>
    <col min="4" max="7" width="9.140625" style="2" hidden="1" customWidth="1" outlineLevel="1"/>
    <col min="8" max="8" width="9.140625" style="2" customWidth="1" collapsed="1"/>
    <col min="9" max="9" width="3.7109375" style="2" hidden="1" customWidth="1" outlineLevel="1"/>
    <col min="10" max="13" width="9.140625" style="2" hidden="1" customWidth="1" outlineLevel="1"/>
    <col min="14" max="14" width="9.140625" style="2" customWidth="1" collapsed="1"/>
    <col min="15" max="15" width="3.7109375" style="2" hidden="1" customWidth="1" outlineLevel="1"/>
    <col min="16" max="19" width="9.140625" style="2" hidden="1" customWidth="1" outlineLevel="1"/>
    <col min="20" max="20" width="9.140625" style="2" customWidth="1" collapsed="1"/>
    <col min="21" max="21" width="3.7109375" style="2" hidden="1" customWidth="1" outlineLevel="1"/>
    <col min="22" max="25" width="9.140625" style="2" hidden="1" customWidth="1" outlineLevel="1"/>
    <col min="26" max="26" width="9.140625" style="2" collapsed="1"/>
    <col min="27" max="27" width="3.7109375" style="2" hidden="1" customWidth="1" outlineLevel="1"/>
    <col min="28" max="29" width="10.28515625" style="2" hidden="1" customWidth="1" outlineLevel="1"/>
    <col min="30" max="31" width="9.140625" style="2" hidden="1" customWidth="1" outlineLevel="1"/>
    <col min="32" max="32" width="9.140625" style="2" collapsed="1"/>
    <col min="33" max="33" width="3.7109375" style="2" hidden="1" customWidth="1" outlineLevel="1"/>
    <col min="34" max="37" width="9.140625" style="2" hidden="1" customWidth="1" outlineLevel="1"/>
    <col min="38" max="38" width="9.7109375" style="2" customWidth="1" collapsed="1"/>
    <col min="39" max="39" width="3.7109375" style="2" hidden="1" customWidth="1" outlineLevel="1"/>
    <col min="40" max="43" width="9.140625" style="2" hidden="1" customWidth="1" outlineLevel="1"/>
    <col min="44" max="44" width="9.7109375" style="2" customWidth="1" collapsed="1"/>
    <col min="45" max="45" width="3.7109375" style="2" customWidth="1" outlineLevel="1"/>
    <col min="46" max="49" width="9.140625" style="2" customWidth="1" outlineLevel="1"/>
    <col min="50" max="50" width="9.7109375" style="2" customWidth="1"/>
    <col min="51" max="51" width="3.7109375" style="2" hidden="1" customWidth="1" outlineLevel="1"/>
    <col min="52" max="55" width="9.140625" style="2" hidden="1" customWidth="1" outlineLevel="1"/>
    <col min="56" max="56" width="9.140625" style="2" collapsed="1"/>
    <col min="57" max="57" width="4.7109375" style="2" hidden="1" customWidth="1" outlineLevel="1"/>
    <col min="58" max="61" width="9.140625" style="2" hidden="1" customWidth="1" outlineLevel="1"/>
    <col min="62" max="62" width="9.140625" style="2" collapsed="1"/>
    <col min="63" max="63" width="4.7109375" style="2" hidden="1" customWidth="1" outlineLevel="1"/>
    <col min="64" max="67" width="9.140625" style="2" hidden="1" customWidth="1" outlineLevel="1"/>
    <col min="68" max="68" width="9.140625" style="2" collapsed="1"/>
    <col min="69" max="69" width="4.7109375" style="2" hidden="1" customWidth="1" outlineLevel="1"/>
    <col min="70" max="73" width="9.140625" style="2" hidden="1" customWidth="1" outlineLevel="1"/>
    <col min="74" max="74" width="9.140625" style="2" collapsed="1"/>
    <col min="75" max="75" width="4.7109375" style="2" hidden="1" customWidth="1" outlineLevel="1"/>
    <col min="76" max="79" width="9.140625" style="2" hidden="1" customWidth="1" outlineLevel="1"/>
    <col min="80" max="80" width="9.140625" style="2" customWidth="1" collapsed="1"/>
    <col min="81" max="81" width="4.7109375" style="2" hidden="1" customWidth="1" outlineLevel="1"/>
    <col min="82" max="85" width="9.140625" style="2" hidden="1" customWidth="1" outlineLevel="1"/>
    <col min="86" max="86" width="9.140625" style="2" collapsed="1"/>
    <col min="87" max="87" width="4.7109375" style="2" hidden="1" customWidth="1" outlineLevel="1"/>
    <col min="88" max="91" width="9.140625" style="2" hidden="1" customWidth="1" outlineLevel="1"/>
    <col min="92" max="92" width="9.140625" style="2" collapsed="1"/>
    <col min="93" max="16384" width="9.140625" style="2"/>
  </cols>
  <sheetData>
    <row r="1" spans="1:93" ht="12.95" customHeight="1" outlineLevel="1" x14ac:dyDescent="0.25"/>
    <row r="2" spans="1:93" ht="12.95" customHeight="1" outlineLevel="1" x14ac:dyDescent="0.25">
      <c r="C2" s="373">
        <v>42735</v>
      </c>
      <c r="D2" s="372">
        <f>EOMONTH(C2,3)</f>
        <v>42825</v>
      </c>
      <c r="E2" s="372">
        <f>EOMONTH(D2,3)</f>
        <v>42916</v>
      </c>
      <c r="F2" s="372">
        <f t="shared" ref="F2:G2" si="0">EOMONTH(E2,3)</f>
        <v>43008</v>
      </c>
      <c r="G2" s="372">
        <f t="shared" si="0"/>
        <v>43100</v>
      </c>
      <c r="J2" s="372">
        <f>EOMONTH(G2,3)</f>
        <v>43190</v>
      </c>
      <c r="K2" s="372">
        <f>EOMONTH(J2,3)</f>
        <v>43281</v>
      </c>
      <c r="L2" s="372">
        <f t="shared" ref="L2:M2" si="1">EOMONTH(K2,3)</f>
        <v>43373</v>
      </c>
      <c r="M2" s="372">
        <f t="shared" si="1"/>
        <v>43465</v>
      </c>
      <c r="N2" s="27"/>
      <c r="O2" s="27"/>
      <c r="P2" s="372">
        <f>EOMONTH(M2,3)</f>
        <v>43555</v>
      </c>
      <c r="Q2" s="372">
        <f>EOMONTH(P2,3)</f>
        <v>43646</v>
      </c>
      <c r="R2" s="372">
        <f t="shared" ref="R2:S2" si="2">EOMONTH(Q2,3)</f>
        <v>43738</v>
      </c>
      <c r="S2" s="372">
        <f t="shared" si="2"/>
        <v>43830</v>
      </c>
      <c r="T2" s="27"/>
      <c r="U2" s="27"/>
      <c r="V2" s="372">
        <f>EOMONTH(S2,3)</f>
        <v>43921</v>
      </c>
      <c r="W2" s="372">
        <f>EOMONTH(V2,3)</f>
        <v>44012</v>
      </c>
      <c r="X2" s="372">
        <f t="shared" ref="X2:Y2" si="3">EOMONTH(W2,3)</f>
        <v>44104</v>
      </c>
      <c r="Y2" s="372">
        <f t="shared" si="3"/>
        <v>44196</v>
      </c>
      <c r="Z2" s="27"/>
      <c r="AA2" s="27"/>
      <c r="AB2" s="372">
        <f>EOMONTH(Y2,3)</f>
        <v>44286</v>
      </c>
      <c r="AC2" s="372">
        <f>EOMONTH(AB2,3)</f>
        <v>44377</v>
      </c>
      <c r="AD2" s="372">
        <f t="shared" ref="AD2:AE2" si="4">EOMONTH(AC2,3)</f>
        <v>44469</v>
      </c>
      <c r="AE2" s="374">
        <f t="shared" si="4"/>
        <v>44561</v>
      </c>
      <c r="AF2" s="235"/>
      <c r="AH2" s="372">
        <f>EOMONTH(AE2,3)</f>
        <v>44651</v>
      </c>
      <c r="AI2" s="372">
        <f>EOMONTH(AH2,3)</f>
        <v>44742</v>
      </c>
      <c r="AJ2" s="372">
        <f t="shared" ref="AJ2:AK2" si="5">EOMONTH(AI2,3)</f>
        <v>44834</v>
      </c>
      <c r="AK2" s="372">
        <f t="shared" si="5"/>
        <v>44926</v>
      </c>
      <c r="AL2" s="27"/>
      <c r="AN2" s="372">
        <f>EOMONTH(AK2,3)</f>
        <v>45016</v>
      </c>
      <c r="AO2" s="372">
        <f>EOMONTH(AN2,3)</f>
        <v>45107</v>
      </c>
      <c r="AP2" s="372">
        <f t="shared" ref="AP2:AQ2" si="6">EOMONTH(AO2,3)</f>
        <v>45199</v>
      </c>
      <c r="AQ2" s="372">
        <f t="shared" si="6"/>
        <v>45291</v>
      </c>
      <c r="AR2" s="27"/>
      <c r="AT2" s="372">
        <f>EOMONTH(AQ2,3)</f>
        <v>45382</v>
      </c>
      <c r="AU2" s="372">
        <f>EOMONTH(AT2,3)</f>
        <v>45473</v>
      </c>
      <c r="AV2" s="375">
        <f t="shared" ref="AV2:AW2" si="7">EOMONTH(AU2,3)</f>
        <v>45565</v>
      </c>
      <c r="AW2" s="372">
        <f t="shared" si="7"/>
        <v>45657</v>
      </c>
      <c r="AX2" s="27"/>
      <c r="AZ2" s="372">
        <f>EOMONTH(AW2,3)</f>
        <v>45747</v>
      </c>
      <c r="BA2" s="372">
        <f>EOMONTH(AZ2,3)</f>
        <v>45838</v>
      </c>
      <c r="BB2" s="372">
        <f t="shared" ref="BB2:BC2" si="8">EOMONTH(BA2,3)</f>
        <v>45930</v>
      </c>
      <c r="BC2" s="372">
        <f t="shared" si="8"/>
        <v>46022</v>
      </c>
      <c r="BD2" s="27"/>
      <c r="BF2" s="372">
        <f>EOMONTH(BC2,3)</f>
        <v>46112</v>
      </c>
      <c r="BG2" s="372">
        <f>EOMONTH(BF2,3)</f>
        <v>46203</v>
      </c>
      <c r="BH2" s="372">
        <f t="shared" ref="BH2:BI2" si="9">EOMONTH(BG2,3)</f>
        <v>46295</v>
      </c>
      <c r="BI2" s="372">
        <f t="shared" si="9"/>
        <v>46387</v>
      </c>
      <c r="BJ2" s="27"/>
      <c r="BL2" s="372">
        <f>EOMONTH(BI2,3)</f>
        <v>46477</v>
      </c>
      <c r="BM2" s="372">
        <f>EOMONTH(BL2,3)</f>
        <v>46568</v>
      </c>
      <c r="BN2" s="372">
        <f t="shared" ref="BN2:BO2" si="10">EOMONTH(BM2,3)</f>
        <v>46660</v>
      </c>
      <c r="BO2" s="372">
        <f t="shared" si="10"/>
        <v>46752</v>
      </c>
      <c r="BP2" s="27"/>
      <c r="BR2" s="372">
        <f>EOMONTH(BO2,3)</f>
        <v>46843</v>
      </c>
      <c r="BS2" s="372">
        <f>EOMONTH(BR2,3)</f>
        <v>46934</v>
      </c>
      <c r="BT2" s="372">
        <f t="shared" ref="BT2:BU2" si="11">EOMONTH(BS2,3)</f>
        <v>47026</v>
      </c>
      <c r="BU2" s="372">
        <f t="shared" si="11"/>
        <v>47118</v>
      </c>
      <c r="BV2" s="27"/>
      <c r="BX2" s="372">
        <f>EOMONTH(BU2,3)</f>
        <v>47208</v>
      </c>
      <c r="BY2" s="372">
        <f>EOMONTH(BX2,3)</f>
        <v>47299</v>
      </c>
      <c r="BZ2" s="372">
        <f t="shared" ref="BZ2:CA2" si="12">EOMONTH(BY2,3)</f>
        <v>47391</v>
      </c>
      <c r="CA2" s="372">
        <f t="shared" si="12"/>
        <v>47483</v>
      </c>
      <c r="CB2" s="27"/>
      <c r="CD2" s="372">
        <f>EOMONTH(CA2,3)</f>
        <v>47573</v>
      </c>
      <c r="CE2" s="372">
        <f>EOMONTH(CD2,3)</f>
        <v>47664</v>
      </c>
      <c r="CF2" s="372">
        <f t="shared" ref="CF2:CG2" si="13">EOMONTH(CE2,3)</f>
        <v>47756</v>
      </c>
      <c r="CG2" s="372">
        <f t="shared" si="13"/>
        <v>47848</v>
      </c>
      <c r="CH2" s="27"/>
      <c r="CJ2" s="372">
        <f>EOMONTH(CG2,3)</f>
        <v>47938</v>
      </c>
      <c r="CK2" s="372">
        <f>EOMONTH(CJ2,3)</f>
        <v>48029</v>
      </c>
      <c r="CL2" s="372">
        <f t="shared" ref="CL2:CM2" si="14">EOMONTH(CK2,3)</f>
        <v>48121</v>
      </c>
      <c r="CM2" s="372">
        <f t="shared" si="14"/>
        <v>48213</v>
      </c>
    </row>
    <row r="3" spans="1:93" ht="12.95" customHeight="1" x14ac:dyDescent="0.25">
      <c r="D3" s="175" t="s">
        <v>201</v>
      </c>
      <c r="E3" s="175" t="s">
        <v>206</v>
      </c>
      <c r="F3" s="175" t="s">
        <v>207</v>
      </c>
      <c r="G3" s="175" t="s">
        <v>208</v>
      </c>
      <c r="J3" s="175" t="s">
        <v>202</v>
      </c>
      <c r="K3" s="175" t="s">
        <v>203</v>
      </c>
      <c r="L3" s="175" t="s">
        <v>204</v>
      </c>
      <c r="M3" s="175" t="s">
        <v>205</v>
      </c>
      <c r="N3" s="27"/>
      <c r="O3" s="27"/>
      <c r="P3" s="175" t="s">
        <v>209</v>
      </c>
      <c r="Q3" s="175" t="s">
        <v>210</v>
      </c>
      <c r="R3" s="175" t="s">
        <v>211</v>
      </c>
      <c r="S3" s="175" t="s">
        <v>212</v>
      </c>
      <c r="T3" s="27"/>
      <c r="U3" s="27"/>
      <c r="V3" s="175" t="s">
        <v>213</v>
      </c>
      <c r="W3" s="175" t="s">
        <v>214</v>
      </c>
      <c r="X3" s="175" t="s">
        <v>215</v>
      </c>
      <c r="Y3" s="175" t="s">
        <v>216</v>
      </c>
      <c r="Z3" s="27"/>
      <c r="AA3" s="27"/>
      <c r="AB3" s="175" t="s">
        <v>217</v>
      </c>
      <c r="AC3" s="175" t="s">
        <v>218</v>
      </c>
      <c r="AD3" s="175" t="s">
        <v>219</v>
      </c>
      <c r="AE3" s="175" t="s">
        <v>220</v>
      </c>
      <c r="AF3" s="27"/>
      <c r="AH3" s="175" t="s">
        <v>231</v>
      </c>
      <c r="AI3" s="175" t="s">
        <v>239</v>
      </c>
      <c r="AJ3" s="175" t="s">
        <v>406</v>
      </c>
      <c r="AK3" s="175" t="s">
        <v>407</v>
      </c>
      <c r="AL3" s="27"/>
      <c r="AN3" s="175" t="s">
        <v>408</v>
      </c>
      <c r="AO3" s="175" t="s">
        <v>409</v>
      </c>
      <c r="AP3" s="175" t="s">
        <v>410</v>
      </c>
      <c r="AQ3" s="175" t="s">
        <v>411</v>
      </c>
      <c r="AR3" s="235"/>
      <c r="AT3" s="175" t="s">
        <v>412</v>
      </c>
      <c r="AU3" s="175" t="s">
        <v>413</v>
      </c>
      <c r="AV3" s="175" t="s">
        <v>414</v>
      </c>
      <c r="AW3" s="175" t="s">
        <v>535</v>
      </c>
      <c r="AX3" s="27"/>
      <c r="AZ3" s="175" t="s">
        <v>536</v>
      </c>
      <c r="BA3" s="175" t="str">
        <f>CONCATENATE(RIGHT(BA4,1),"-",RIGHT(AZ3,4))</f>
        <v>2-2025</v>
      </c>
      <c r="BB3" s="175" t="str">
        <f t="shared" ref="BB3:BC3" si="15">CONCATENATE(RIGHT(BB4,1),"-",RIGHT(BA3,4))</f>
        <v>3-2025</v>
      </c>
      <c r="BC3" s="175" t="str">
        <f t="shared" si="15"/>
        <v>4-2025</v>
      </c>
      <c r="BD3" s="27"/>
      <c r="BF3" s="175" t="str">
        <f>CONCATENATE(RIGHT(BF4,1),"-",RIGHT(BC3,4)+1)</f>
        <v>1-2026</v>
      </c>
      <c r="BG3" s="175" t="str">
        <f>CONCATENATE(RIGHT(BG4,1),"-",RIGHT(BF3,4))</f>
        <v>2-2026</v>
      </c>
      <c r="BH3" s="175" t="str">
        <f t="shared" ref="BH3:BI3" si="16">CONCATENATE(RIGHT(BH4,1),"-",RIGHT(BG3,4))</f>
        <v>3-2026</v>
      </c>
      <c r="BI3" s="175" t="str">
        <f t="shared" si="16"/>
        <v>4-2026</v>
      </c>
      <c r="BJ3" s="27"/>
      <c r="BL3" s="175" t="str">
        <f>CONCATENATE(RIGHT(BL4,1),"-",RIGHT(BI3,4)+1)</f>
        <v>1-2027</v>
      </c>
      <c r="BM3" s="175" t="str">
        <f>CONCATENATE(RIGHT(BM4,1),"-",RIGHT(BL3,4))</f>
        <v>2-2027</v>
      </c>
      <c r="BN3" s="175" t="str">
        <f t="shared" ref="BN3:BO3" si="17">CONCATENATE(RIGHT(BN4,1),"-",RIGHT(BM3,4))</f>
        <v>3-2027</v>
      </c>
      <c r="BO3" s="175" t="str">
        <f t="shared" si="17"/>
        <v>4-2027</v>
      </c>
      <c r="BP3" s="27"/>
      <c r="BR3" s="175" t="str">
        <f>CONCATENATE(RIGHT(BR4,1),"-",RIGHT(BO3,4)+1)</f>
        <v>1-2028</v>
      </c>
      <c r="BS3" s="175" t="str">
        <f>CONCATENATE(RIGHT(BS4,1),"-",RIGHT(BR3,4))</f>
        <v>2-2028</v>
      </c>
      <c r="BT3" s="175" t="str">
        <f t="shared" ref="BT3:BU3" si="18">CONCATENATE(RIGHT(BT4,1),"-",RIGHT(BS3,4))</f>
        <v>3-2028</v>
      </c>
      <c r="BU3" s="175" t="str">
        <f t="shared" si="18"/>
        <v>4-2028</v>
      </c>
      <c r="BV3" s="27"/>
      <c r="BX3" s="175" t="str">
        <f>CONCATENATE(RIGHT(BX4,1),"-",RIGHT(BU3,4)+1)</f>
        <v>1-2029</v>
      </c>
      <c r="BY3" s="175" t="str">
        <f>CONCATENATE(RIGHT(BY4,1),"-",RIGHT(BX3,4))</f>
        <v>2-2029</v>
      </c>
      <c r="BZ3" s="175" t="str">
        <f t="shared" ref="BZ3:CA3" si="19">CONCATENATE(RIGHT(BZ4,1),"-",RIGHT(BY3,4))</f>
        <v>3-2029</v>
      </c>
      <c r="CA3" s="175" t="str">
        <f t="shared" si="19"/>
        <v>4-2029</v>
      </c>
      <c r="CB3" s="27"/>
      <c r="CD3" s="175" t="str">
        <f>CONCATENATE(RIGHT(CD4,1),"-",RIGHT(CA3,4)+1)</f>
        <v>1-2030</v>
      </c>
      <c r="CE3" s="175" t="str">
        <f>CONCATENATE(RIGHT(CE4,1),"-",RIGHT(CD3,4))</f>
        <v>2-2030</v>
      </c>
      <c r="CF3" s="175" t="str">
        <f t="shared" ref="CF3:CG3" si="20">CONCATENATE(RIGHT(CF4,1),"-",RIGHT(CE3,4))</f>
        <v>3-2030</v>
      </c>
      <c r="CG3" s="175" t="str">
        <f t="shared" si="20"/>
        <v>4-2030</v>
      </c>
      <c r="CH3" s="27"/>
      <c r="CJ3" s="175" t="str">
        <f>CONCATENATE(RIGHT(CJ4,1),"-",RIGHT(CG3,4)+1)</f>
        <v>1-2031</v>
      </c>
      <c r="CK3" s="175" t="str">
        <f>CONCATENATE(RIGHT(CK4,1),"-",RIGHT(CJ3,4))</f>
        <v>2-2031</v>
      </c>
      <c r="CL3" s="175" t="str">
        <f t="shared" ref="CL3:CM3" si="21">CONCATENATE(RIGHT(CL4,1),"-",RIGHT(CK3,4))</f>
        <v>3-2031</v>
      </c>
      <c r="CM3" s="175" t="str">
        <f t="shared" si="21"/>
        <v>4-2031</v>
      </c>
      <c r="CN3" s="27"/>
    </row>
    <row r="4" spans="1:93" ht="12.95" customHeight="1" x14ac:dyDescent="0.25">
      <c r="A4" s="448"/>
      <c r="B4" s="449"/>
      <c r="C4" s="449"/>
      <c r="D4" s="450" t="s">
        <v>0</v>
      </c>
      <c r="E4" s="450" t="s">
        <v>1</v>
      </c>
      <c r="F4" s="450" t="s">
        <v>2</v>
      </c>
      <c r="G4" s="450" t="s">
        <v>3</v>
      </c>
      <c r="H4" s="450">
        <v>2017</v>
      </c>
      <c r="I4" s="450"/>
      <c r="J4" s="450" t="s">
        <v>0</v>
      </c>
      <c r="K4" s="450" t="s">
        <v>1</v>
      </c>
      <c r="L4" s="450" t="s">
        <v>2</v>
      </c>
      <c r="M4" s="450" t="s">
        <v>3</v>
      </c>
      <c r="N4" s="450">
        <f>H4+1</f>
        <v>2018</v>
      </c>
      <c r="O4" s="450"/>
      <c r="P4" s="450" t="s">
        <v>0</v>
      </c>
      <c r="Q4" s="450" t="s">
        <v>1</v>
      </c>
      <c r="R4" s="450" t="s">
        <v>2</v>
      </c>
      <c r="S4" s="450" t="s">
        <v>3</v>
      </c>
      <c r="T4" s="450">
        <f>N4+1</f>
        <v>2019</v>
      </c>
      <c r="U4" s="450"/>
      <c r="V4" s="450" t="s">
        <v>0</v>
      </c>
      <c r="W4" s="450" t="s">
        <v>1</v>
      </c>
      <c r="X4" s="450" t="s">
        <v>2</v>
      </c>
      <c r="Y4" s="450" t="s">
        <v>3</v>
      </c>
      <c r="Z4" s="450">
        <f>T4+1</f>
        <v>2020</v>
      </c>
      <c r="AA4" s="450"/>
      <c r="AB4" s="450" t="s">
        <v>0</v>
      </c>
      <c r="AC4" s="450" t="s">
        <v>1</v>
      </c>
      <c r="AD4" s="450" t="s">
        <v>2</v>
      </c>
      <c r="AE4" s="450" t="s">
        <v>3</v>
      </c>
      <c r="AF4" s="450">
        <f>Z4+1</f>
        <v>2021</v>
      </c>
      <c r="AG4" s="450"/>
      <c r="AH4" s="450" t="s">
        <v>0</v>
      </c>
      <c r="AI4" s="450" t="s">
        <v>1</v>
      </c>
      <c r="AJ4" s="450" t="s">
        <v>2</v>
      </c>
      <c r="AK4" s="450" t="s">
        <v>3</v>
      </c>
      <c r="AL4" s="450">
        <f>AF4+1</f>
        <v>2022</v>
      </c>
      <c r="AM4" s="449"/>
      <c r="AN4" s="450" t="s">
        <v>0</v>
      </c>
      <c r="AO4" s="450" t="s">
        <v>1</v>
      </c>
      <c r="AP4" s="450" t="s">
        <v>2</v>
      </c>
      <c r="AQ4" s="450" t="s">
        <v>3</v>
      </c>
      <c r="AR4" s="450">
        <f>AL4+1</f>
        <v>2023</v>
      </c>
      <c r="AS4" s="449"/>
      <c r="AT4" s="450" t="s">
        <v>0</v>
      </c>
      <c r="AU4" s="450" t="s">
        <v>1</v>
      </c>
      <c r="AV4" s="450" t="s">
        <v>2</v>
      </c>
      <c r="AW4" s="451" t="s">
        <v>3</v>
      </c>
      <c r="AX4" s="450">
        <f>AR4+1</f>
        <v>2024</v>
      </c>
      <c r="AY4" s="452"/>
      <c r="AZ4" s="450" t="s">
        <v>0</v>
      </c>
      <c r="BA4" s="450" t="s">
        <v>1</v>
      </c>
      <c r="BB4" s="450" t="s">
        <v>2</v>
      </c>
      <c r="BC4" s="450" t="s">
        <v>3</v>
      </c>
      <c r="BD4" s="450">
        <f>AX4+1</f>
        <v>2025</v>
      </c>
      <c r="BE4" s="452"/>
      <c r="BF4" s="450" t="s">
        <v>0</v>
      </c>
      <c r="BG4" s="450" t="s">
        <v>1</v>
      </c>
      <c r="BH4" s="450" t="s">
        <v>2</v>
      </c>
      <c r="BI4" s="450" t="s">
        <v>3</v>
      </c>
      <c r="BJ4" s="450">
        <f>BD4+1</f>
        <v>2026</v>
      </c>
      <c r="BK4" s="452"/>
      <c r="BL4" s="450" t="s">
        <v>0</v>
      </c>
      <c r="BM4" s="450" t="s">
        <v>1</v>
      </c>
      <c r="BN4" s="450" t="s">
        <v>2</v>
      </c>
      <c r="BO4" s="450" t="s">
        <v>3</v>
      </c>
      <c r="BP4" s="450">
        <f>BJ4+1</f>
        <v>2027</v>
      </c>
      <c r="BQ4" s="452"/>
      <c r="BR4" s="450" t="s">
        <v>0</v>
      </c>
      <c r="BS4" s="450" t="s">
        <v>1</v>
      </c>
      <c r="BT4" s="450" t="s">
        <v>2</v>
      </c>
      <c r="BU4" s="450" t="s">
        <v>3</v>
      </c>
      <c r="BV4" s="450">
        <f>BP4+1</f>
        <v>2028</v>
      </c>
      <c r="BW4" s="452"/>
      <c r="BX4" s="450" t="s">
        <v>0</v>
      </c>
      <c r="BY4" s="450" t="s">
        <v>1</v>
      </c>
      <c r="BZ4" s="450" t="s">
        <v>2</v>
      </c>
      <c r="CA4" s="450" t="s">
        <v>3</v>
      </c>
      <c r="CB4" s="450">
        <f>BV4+1</f>
        <v>2029</v>
      </c>
      <c r="CC4" s="452"/>
      <c r="CD4" s="450" t="s">
        <v>0</v>
      </c>
      <c r="CE4" s="450" t="s">
        <v>1</v>
      </c>
      <c r="CF4" s="450" t="s">
        <v>2</v>
      </c>
      <c r="CG4" s="450" t="s">
        <v>3</v>
      </c>
      <c r="CH4" s="450">
        <f>CB4+1</f>
        <v>2030</v>
      </c>
      <c r="CI4" s="452"/>
      <c r="CJ4" s="450" t="s">
        <v>0</v>
      </c>
      <c r="CK4" s="450" t="s">
        <v>1</v>
      </c>
      <c r="CL4" s="450" t="s">
        <v>2</v>
      </c>
      <c r="CM4" s="450" t="s">
        <v>3</v>
      </c>
      <c r="CN4" s="450">
        <f>CH4+1</f>
        <v>2031</v>
      </c>
    </row>
    <row r="5" spans="1:93" ht="18" customHeight="1" x14ac:dyDescent="0.25">
      <c r="A5" s="2"/>
      <c r="B5" s="2" t="s">
        <v>71</v>
      </c>
      <c r="D5" s="153">
        <f>D2-C2</f>
        <v>90</v>
      </c>
      <c r="E5" s="153">
        <f>E2-D2</f>
        <v>91</v>
      </c>
      <c r="F5" s="153">
        <f t="shared" ref="F5:G5" si="22">F2-E2</f>
        <v>92</v>
      </c>
      <c r="G5" s="153">
        <f t="shared" si="22"/>
        <v>92</v>
      </c>
      <c r="H5" s="71">
        <f>SUM(D5:G5)</f>
        <v>365</v>
      </c>
      <c r="I5" s="71"/>
      <c r="J5" s="153">
        <f>J2-G2</f>
        <v>90</v>
      </c>
      <c r="K5" s="153">
        <f t="shared" ref="K5:M5" si="23">K2-J2</f>
        <v>91</v>
      </c>
      <c r="L5" s="153">
        <f t="shared" si="23"/>
        <v>92</v>
      </c>
      <c r="M5" s="153">
        <f t="shared" si="23"/>
        <v>92</v>
      </c>
      <c r="N5" s="71">
        <f>SUM(J5:M5)</f>
        <v>365</v>
      </c>
      <c r="O5" s="71"/>
      <c r="P5" s="153">
        <f>P2-M2</f>
        <v>90</v>
      </c>
      <c r="Q5" s="153">
        <f t="shared" ref="Q5:S5" si="24">Q2-P2</f>
        <v>91</v>
      </c>
      <c r="R5" s="153">
        <f t="shared" si="24"/>
        <v>92</v>
      </c>
      <c r="S5" s="153">
        <f t="shared" si="24"/>
        <v>92</v>
      </c>
      <c r="T5" s="71">
        <f>SUM(P5:S5)</f>
        <v>365</v>
      </c>
      <c r="U5" s="71"/>
      <c r="V5" s="153">
        <f>V2-S2</f>
        <v>91</v>
      </c>
      <c r="W5" s="153">
        <f t="shared" ref="W5:Y5" si="25">W2-V2</f>
        <v>91</v>
      </c>
      <c r="X5" s="153">
        <f t="shared" si="25"/>
        <v>92</v>
      </c>
      <c r="Y5" s="153">
        <f t="shared" si="25"/>
        <v>92</v>
      </c>
      <c r="Z5" s="71">
        <f>SUM(V5:Y5)</f>
        <v>366</v>
      </c>
      <c r="AA5" s="71"/>
      <c r="AB5" s="153">
        <f>AB2-Y2</f>
        <v>90</v>
      </c>
      <c r="AC5" s="153">
        <f t="shared" ref="AC5:AE5" si="26">AC2-AB2</f>
        <v>91</v>
      </c>
      <c r="AD5" s="153">
        <f t="shared" si="26"/>
        <v>92</v>
      </c>
      <c r="AE5" s="153">
        <f t="shared" si="26"/>
        <v>92</v>
      </c>
      <c r="AF5" s="71">
        <f>SUM(AB5:AE5)</f>
        <v>365</v>
      </c>
      <c r="AG5" s="71"/>
      <c r="AH5" s="153">
        <f>AH2-AE2</f>
        <v>90</v>
      </c>
      <c r="AI5" s="153">
        <f t="shared" ref="AI5:AK5" si="27">AI2-AH2</f>
        <v>91</v>
      </c>
      <c r="AJ5" s="153">
        <f t="shared" si="27"/>
        <v>92</v>
      </c>
      <c r="AK5" s="153">
        <f t="shared" si="27"/>
        <v>92</v>
      </c>
      <c r="AL5" s="71">
        <f>SUM(AH5:AK5)</f>
        <v>365</v>
      </c>
      <c r="AM5" s="71"/>
      <c r="AN5" s="153">
        <f>AN2-AK2</f>
        <v>90</v>
      </c>
      <c r="AO5" s="153">
        <f t="shared" ref="AO5:AQ5" si="28">AO2-AN2</f>
        <v>91</v>
      </c>
      <c r="AP5" s="153">
        <f t="shared" si="28"/>
        <v>92</v>
      </c>
      <c r="AQ5" s="153">
        <f t="shared" si="28"/>
        <v>92</v>
      </c>
      <c r="AR5" s="236">
        <f>SUM(AN5:AQ5)</f>
        <v>365</v>
      </c>
      <c r="AS5" s="71"/>
      <c r="AT5" s="71">
        <f>AT2-AQ2</f>
        <v>91</v>
      </c>
      <c r="AU5" s="236">
        <f t="shared" ref="AU5:AW5" si="29">AU2-AT2</f>
        <v>91</v>
      </c>
      <c r="AV5" s="236">
        <f t="shared" si="29"/>
        <v>92</v>
      </c>
      <c r="AW5" s="595">
        <f t="shared" si="29"/>
        <v>92</v>
      </c>
      <c r="AX5" s="71">
        <f>SUM(AT5:AW5)</f>
        <v>366</v>
      </c>
      <c r="AY5" s="71"/>
      <c r="AZ5" s="71">
        <f>AZ2-AW2</f>
        <v>90</v>
      </c>
      <c r="BA5" s="71">
        <f t="shared" ref="BA5:BC5" si="30">BA2-AZ2</f>
        <v>91</v>
      </c>
      <c r="BB5" s="71">
        <f t="shared" si="30"/>
        <v>92</v>
      </c>
      <c r="BC5" s="71">
        <f t="shared" si="30"/>
        <v>92</v>
      </c>
      <c r="BD5" s="71">
        <f>SUM(AZ5:BC5)</f>
        <v>365</v>
      </c>
      <c r="BE5" s="71"/>
      <c r="BF5" s="71">
        <f>BF2-BC2</f>
        <v>90</v>
      </c>
      <c r="BG5" s="71">
        <f t="shared" ref="BG5:BI5" si="31">BG2-BF2</f>
        <v>91</v>
      </c>
      <c r="BH5" s="71">
        <f t="shared" si="31"/>
        <v>92</v>
      </c>
      <c r="BI5" s="71">
        <f t="shared" si="31"/>
        <v>92</v>
      </c>
      <c r="BJ5" s="71">
        <f>SUM(BF5:BI5)</f>
        <v>365</v>
      </c>
      <c r="BK5" s="71"/>
      <c r="BL5" s="71">
        <f>BL2-BI2</f>
        <v>90</v>
      </c>
      <c r="BM5" s="71">
        <f t="shared" ref="BM5:BO5" si="32">BM2-BL2</f>
        <v>91</v>
      </c>
      <c r="BN5" s="71">
        <f t="shared" si="32"/>
        <v>92</v>
      </c>
      <c r="BO5" s="71">
        <f t="shared" si="32"/>
        <v>92</v>
      </c>
      <c r="BP5" s="71">
        <f>SUM(BL5:BO5)</f>
        <v>365</v>
      </c>
      <c r="BQ5" s="71"/>
      <c r="BR5" s="71">
        <f>BR2-BO2</f>
        <v>91</v>
      </c>
      <c r="BS5" s="71">
        <f t="shared" ref="BS5:BU5" si="33">BS2-BR2</f>
        <v>91</v>
      </c>
      <c r="BT5" s="71">
        <f t="shared" si="33"/>
        <v>92</v>
      </c>
      <c r="BU5" s="71">
        <f t="shared" si="33"/>
        <v>92</v>
      </c>
      <c r="BV5" s="71">
        <f>SUM(BR5:BU5)</f>
        <v>366</v>
      </c>
      <c r="BW5" s="71"/>
      <c r="BX5" s="71">
        <f>BX2-BU2</f>
        <v>90</v>
      </c>
      <c r="BY5" s="71">
        <f t="shared" ref="BY5:CA5" si="34">BY2-BX2</f>
        <v>91</v>
      </c>
      <c r="BZ5" s="71">
        <f t="shared" si="34"/>
        <v>92</v>
      </c>
      <c r="CA5" s="71">
        <f t="shared" si="34"/>
        <v>92</v>
      </c>
      <c r="CB5" s="71">
        <f>SUM(BX5:CA5)</f>
        <v>365</v>
      </c>
      <c r="CC5" s="71"/>
      <c r="CD5" s="71">
        <f>CD2-CA2</f>
        <v>90</v>
      </c>
      <c r="CE5" s="71">
        <f t="shared" ref="CE5:CG5" si="35">CE2-CD2</f>
        <v>91</v>
      </c>
      <c r="CF5" s="71">
        <f t="shared" si="35"/>
        <v>92</v>
      </c>
      <c r="CG5" s="71">
        <f t="shared" si="35"/>
        <v>92</v>
      </c>
      <c r="CH5" s="71">
        <f>SUM(CD5:CG5)</f>
        <v>365</v>
      </c>
      <c r="CI5" s="71"/>
      <c r="CJ5" s="71">
        <f>CJ2-CG2</f>
        <v>90</v>
      </c>
      <c r="CK5" s="71">
        <f t="shared" ref="CK5:CM5" si="36">CK2-CJ2</f>
        <v>91</v>
      </c>
      <c r="CL5" s="71">
        <f t="shared" si="36"/>
        <v>92</v>
      </c>
      <c r="CM5" s="71">
        <f t="shared" si="36"/>
        <v>92</v>
      </c>
      <c r="CN5" s="71">
        <f>SUM(CJ5:CM5)</f>
        <v>365</v>
      </c>
      <c r="CO5" s="251"/>
    </row>
    <row r="6" spans="1:93" ht="12.95" customHeight="1" x14ac:dyDescent="0.25">
      <c r="B6" s="29" t="s">
        <v>132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N6" s="1"/>
      <c r="AO6" s="252"/>
      <c r="AP6" s="1"/>
      <c r="AQ6" s="252"/>
      <c r="AR6" s="252"/>
      <c r="AT6" s="1"/>
      <c r="AU6" s="252"/>
      <c r="AV6" s="252"/>
      <c r="AW6" s="349"/>
      <c r="AX6" s="1"/>
    </row>
    <row r="7" spans="1:93" ht="12.95" customHeight="1" x14ac:dyDescent="0.25">
      <c r="B7" s="2" t="str">
        <f>'Business Build-up'!B7</f>
        <v>ME&amp;T</v>
      </c>
      <c r="D7" s="71">
        <f>'Business Build-up'!D7</f>
        <v>9130</v>
      </c>
      <c r="E7" s="71">
        <f>'Business Build-up'!E7</f>
        <v>10639</v>
      </c>
      <c r="F7" s="71">
        <f>'Business Build-up'!F7</f>
        <v>10713</v>
      </c>
      <c r="G7" s="71">
        <f>'Business Build-up'!G7</f>
        <v>12194</v>
      </c>
      <c r="H7" s="71">
        <f>'Business Build-up'!H7</f>
        <v>42676</v>
      </c>
      <c r="I7" s="181"/>
      <c r="J7" s="71">
        <f>'Business Build-up'!J7</f>
        <v>12150</v>
      </c>
      <c r="K7" s="71">
        <f>'Business Build-up'!K7</f>
        <v>13279</v>
      </c>
      <c r="L7" s="71">
        <f>'Business Build-up'!L7</f>
        <v>12763</v>
      </c>
      <c r="M7" s="71">
        <f>'Business Build-up'!M7</f>
        <v>13630</v>
      </c>
      <c r="N7" s="71">
        <f>'Business Build-up'!N7</f>
        <v>51822</v>
      </c>
      <c r="O7" s="27"/>
      <c r="P7" s="71">
        <f>'Business Build-up'!P7</f>
        <v>12724</v>
      </c>
      <c r="Q7" s="71">
        <f>'Business Build-up'!Q7</f>
        <v>13671</v>
      </c>
      <c r="R7" s="71">
        <f>'Business Build-up'!R7</f>
        <v>11974</v>
      </c>
      <c r="S7" s="71">
        <f>'Business Build-up'!S7</f>
        <v>12386</v>
      </c>
      <c r="T7" s="71">
        <f>'Business Build-up'!T7</f>
        <v>50755</v>
      </c>
      <c r="U7" s="27"/>
      <c r="V7" s="71">
        <f>'Business Build-up'!V7</f>
        <v>9914</v>
      </c>
      <c r="W7" s="71">
        <f>'Business Build-up'!W7</f>
        <v>9310</v>
      </c>
      <c r="X7" s="71">
        <f>'Business Build-up'!X7</f>
        <v>9228</v>
      </c>
      <c r="Y7" s="71">
        <f>'Business Build-up'!Y7</f>
        <v>10570</v>
      </c>
      <c r="Z7" s="71">
        <f>'Business Build-up'!Z7</f>
        <v>39022</v>
      </c>
      <c r="AA7" s="27"/>
      <c r="AB7" s="71">
        <f>'Business Build-up'!AB7</f>
        <v>11191</v>
      </c>
      <c r="AC7" s="71">
        <f>'Business Build-up'!AC7</f>
        <v>12193</v>
      </c>
      <c r="AD7" s="71">
        <f>'Business Build-up'!AD7</f>
        <v>11707</v>
      </c>
      <c r="AE7" s="71">
        <f>'Business Build-up'!AE7</f>
        <v>13097</v>
      </c>
      <c r="AF7" s="71">
        <f>'Business Build-up'!AF7</f>
        <v>48188</v>
      </c>
      <c r="AH7" s="71">
        <f>'Business Build-up'!AH7</f>
        <v>12886</v>
      </c>
      <c r="AI7" s="71">
        <f>'Business Build-up'!AI7</f>
        <v>13539</v>
      </c>
      <c r="AJ7" s="71">
        <f>'Business Build-up'!AJ7</f>
        <v>14278</v>
      </c>
      <c r="AK7" s="71">
        <f>'Business Build-up'!AK7</f>
        <v>15871</v>
      </c>
      <c r="AL7" s="71">
        <f>'Business Build-up'!AL7</f>
        <v>56574</v>
      </c>
      <c r="AN7" s="71">
        <f>'Business Build-up'!AN7</f>
        <v>15099</v>
      </c>
      <c r="AO7" s="236">
        <f>'Business Build-up'!AO7</f>
        <v>16545</v>
      </c>
      <c r="AP7" s="71">
        <f>'Business Build-up'!AP7</f>
        <v>15988</v>
      </c>
      <c r="AQ7" s="236">
        <f>'Business Build-up'!AQ7</f>
        <v>16237</v>
      </c>
      <c r="AR7" s="236">
        <f>'Business Build-up'!AR7</f>
        <v>63869</v>
      </c>
      <c r="AT7" s="71">
        <f>'Business Build-up'!AT7</f>
        <v>14960</v>
      </c>
      <c r="AU7" s="236">
        <f>'Business Build-up'!AU7</f>
        <v>15840</v>
      </c>
      <c r="AV7" s="236">
        <f>'Business Build-up'!AV7</f>
        <v>15231</v>
      </c>
      <c r="AW7" s="595">
        <f>'Business Build-up'!AW7</f>
        <v>15812.6</v>
      </c>
      <c r="AX7" s="236">
        <f>'Business Build-up'!AX7</f>
        <v>61843.6</v>
      </c>
      <c r="AZ7" s="71">
        <f>'Business Build-up'!AZ7</f>
        <v>14513.100000000002</v>
      </c>
      <c r="BA7" s="236">
        <f>'Business Build-up'!BA7</f>
        <v>15556.750000000002</v>
      </c>
      <c r="BB7" s="71">
        <f>'Business Build-up'!BB7</f>
        <v>15263.14</v>
      </c>
      <c r="BC7" s="236">
        <f>'Business Build-up'!BC7</f>
        <v>16035.201999999999</v>
      </c>
      <c r="BD7" s="236">
        <f>'Business Build-up'!BD7</f>
        <v>61368.192000000003</v>
      </c>
      <c r="BF7" s="71">
        <f>'Business Build-up'!BF7</f>
        <v>15199.025000000001</v>
      </c>
      <c r="BG7" s="236">
        <f>'Business Build-up'!BG7</f>
        <v>16291.806</v>
      </c>
      <c r="BH7" s="71">
        <f>'Business Build-up'!BH7</f>
        <v>15982.658600000001</v>
      </c>
      <c r="BI7" s="236">
        <f>'Business Build-up'!BI7</f>
        <v>16787.549480000001</v>
      </c>
      <c r="BJ7" s="236">
        <f>'Business Build-up'!BJ7</f>
        <v>64261.039080000002</v>
      </c>
      <c r="BL7" s="71">
        <f>'Business Build-up'!BL7</f>
        <v>15820.402360000002</v>
      </c>
      <c r="BM7" s="236">
        <f>'Business Build-up'!BM7</f>
        <v>16961.505495000001</v>
      </c>
      <c r="BN7" s="71">
        <f>'Business Build-up'!BN7</f>
        <v>16637.860969000001</v>
      </c>
      <c r="BO7" s="236">
        <f>'Business Build-up'!BO7</f>
        <v>17479.690799199998</v>
      </c>
      <c r="BP7" s="236">
        <f>'Business Build-up'!BP7</f>
        <v>66899.459623200004</v>
      </c>
      <c r="BR7" s="71">
        <f>'Business Build-up'!BR7</f>
        <v>16468.267280600001</v>
      </c>
      <c r="BS7" s="236">
        <f>'Business Build-up'!BS7</f>
        <v>17659.897440150002</v>
      </c>
      <c r="BT7" s="71">
        <f>'Business Build-up'!BT7</f>
        <v>17321.065007510006</v>
      </c>
      <c r="BU7" s="236">
        <f>'Business Build-up'!BU7</f>
        <v>18201.644636768004</v>
      </c>
      <c r="BV7" s="236">
        <f>'Business Build-up'!BV7</f>
        <v>69650.874365028023</v>
      </c>
      <c r="BX7" s="71">
        <f>'Business Build-up'!BX7</f>
        <v>17143.787364868003</v>
      </c>
      <c r="BY7" s="236">
        <f>'Business Build-up'!BY7</f>
        <v>18388.252297855506</v>
      </c>
      <c r="BZ7" s="71">
        <f>'Business Build-up'!BZ7</f>
        <v>18033.507676372901</v>
      </c>
      <c r="CA7" s="236">
        <f>'Business Build-up'!CA7</f>
        <v>18954.738706900724</v>
      </c>
      <c r="CB7" s="236">
        <f>'Business Build-up'!CB7</f>
        <v>72520.286045997142</v>
      </c>
      <c r="CD7" s="71">
        <f>'Business Build-up'!CD7</f>
        <v>17848.183071904703</v>
      </c>
      <c r="CE7" s="236">
        <f>'Business Build-up'!CE7</f>
        <v>19147.898262417741</v>
      </c>
      <c r="CF7" s="71">
        <f>'Business Build-up'!CF7</f>
        <v>18776.482021070595</v>
      </c>
      <c r="CG7" s="236">
        <f>'Business Build-up'!CG7</f>
        <v>19740.361379605791</v>
      </c>
      <c r="CH7" s="236">
        <f>'Business Build-up'!CH7</f>
        <v>75512.924734998829</v>
      </c>
      <c r="CJ7" s="71">
        <f>'Business Build-up'!CJ7</f>
        <v>18582.730160137799</v>
      </c>
      <c r="CK7" s="236">
        <f>'Business Build-up'!CK7</f>
        <v>19940.22393721393</v>
      </c>
      <c r="CL7" s="71">
        <f>'Business Build-up'!CL7</f>
        <v>19551.339767165697</v>
      </c>
      <c r="CM7" s="236">
        <f>'Business Build-up'!CM7</f>
        <v>20559.964506302727</v>
      </c>
      <c r="CN7" s="236">
        <f>'Business Build-up'!CN7</f>
        <v>78634.258370820156</v>
      </c>
    </row>
    <row r="8" spans="1:93" ht="12.95" customHeight="1" x14ac:dyDescent="0.25">
      <c r="B8" s="2" t="str">
        <f>'Business Build-up'!B8</f>
        <v>Financial Products</v>
      </c>
      <c r="D8" s="71">
        <f>'Business Build-up'!D8</f>
        <v>692</v>
      </c>
      <c r="E8" s="71">
        <f>'Business Build-up'!E8</f>
        <v>692</v>
      </c>
      <c r="F8" s="71">
        <f>'Business Build-up'!F8</f>
        <v>700</v>
      </c>
      <c r="G8" s="71">
        <f>'Business Build-up'!G8</f>
        <v>702</v>
      </c>
      <c r="H8" s="71">
        <f>'Business Build-up'!H8</f>
        <v>2786</v>
      </c>
      <c r="I8" s="181"/>
      <c r="J8" s="71">
        <f>'Business Build-up'!J8</f>
        <v>709</v>
      </c>
      <c r="K8" s="71">
        <f>'Business Build-up'!K8</f>
        <v>732</v>
      </c>
      <c r="L8" s="71">
        <f>'Business Build-up'!L8</f>
        <v>747</v>
      </c>
      <c r="M8" s="71">
        <f>'Business Build-up'!M8</f>
        <v>712</v>
      </c>
      <c r="N8" s="71">
        <f>'Business Build-up'!N8</f>
        <v>2900</v>
      </c>
      <c r="O8" s="27"/>
      <c r="P8" s="71">
        <f>'Business Build-up'!P8</f>
        <v>742</v>
      </c>
      <c r="Q8" s="71">
        <f>'Business Build-up'!Q8</f>
        <v>761</v>
      </c>
      <c r="R8" s="71">
        <f>'Business Build-up'!R8</f>
        <v>784</v>
      </c>
      <c r="S8" s="71">
        <f>'Business Build-up'!S8</f>
        <v>758</v>
      </c>
      <c r="T8" s="71">
        <f>'Business Build-up'!T8</f>
        <v>3045</v>
      </c>
      <c r="U8" s="27"/>
      <c r="V8" s="71">
        <f>'Business Build-up'!V8</f>
        <v>721</v>
      </c>
      <c r="W8" s="71">
        <f>'Business Build-up'!W8</f>
        <v>687</v>
      </c>
      <c r="X8" s="71">
        <f>'Business Build-up'!X8</f>
        <v>653</v>
      </c>
      <c r="Y8" s="71">
        <f>'Business Build-up'!Y8</f>
        <v>665</v>
      </c>
      <c r="Z8" s="71">
        <f>'Business Build-up'!Z8</f>
        <v>2726</v>
      </c>
      <c r="AA8" s="27"/>
      <c r="AB8" s="71">
        <f>'Business Build-up'!AB8</f>
        <v>696</v>
      </c>
      <c r="AC8" s="71">
        <f>'Business Build-up'!AC8</f>
        <v>696</v>
      </c>
      <c r="AD8" s="71">
        <f>'Business Build-up'!AD8</f>
        <v>690</v>
      </c>
      <c r="AE8" s="71">
        <f>'Business Build-up'!AE8</f>
        <v>701</v>
      </c>
      <c r="AF8" s="71">
        <f>'Business Build-up'!AF8</f>
        <v>2783</v>
      </c>
      <c r="AH8" s="71">
        <f>'Business Build-up'!AH8</f>
        <v>703</v>
      </c>
      <c r="AI8" s="71">
        <f>'Business Build-up'!AI8</f>
        <v>708</v>
      </c>
      <c r="AJ8" s="71">
        <f>'Business Build-up'!AJ8</f>
        <v>716</v>
      </c>
      <c r="AK8" s="71">
        <f>'Business Build-up'!AK8</f>
        <v>726</v>
      </c>
      <c r="AL8" s="71">
        <f>'Business Build-up'!AL8</f>
        <v>2853</v>
      </c>
      <c r="AN8" s="71">
        <f>'Business Build-up'!AN8</f>
        <v>763</v>
      </c>
      <c r="AO8" s="236">
        <f>'Business Build-up'!AO8</f>
        <v>773</v>
      </c>
      <c r="AP8" s="71">
        <f>'Business Build-up'!AP8</f>
        <v>822</v>
      </c>
      <c r="AQ8" s="236">
        <f>'Business Build-up'!AQ8</f>
        <v>833</v>
      </c>
      <c r="AR8" s="236">
        <f>'Business Build-up'!AR8</f>
        <v>3191</v>
      </c>
      <c r="AT8" s="71">
        <f>'Business Build-up'!AT8</f>
        <v>839</v>
      </c>
      <c r="AU8" s="236">
        <f>'Business Build-up'!AU8</f>
        <v>849</v>
      </c>
      <c r="AV8" s="236">
        <f>'Business Build-up'!AV8</f>
        <v>875</v>
      </c>
      <c r="AW8" s="595">
        <f>'Business Build-up'!AW8</f>
        <v>874.65000000000009</v>
      </c>
      <c r="AX8" s="236">
        <f>'Business Build-up'!AX8</f>
        <v>3437.65</v>
      </c>
      <c r="AZ8" s="71">
        <f>'Business Build-up'!AZ8</f>
        <v>880.95</v>
      </c>
      <c r="BA8" s="236">
        <f>'Business Build-up'!BA8</f>
        <v>891.45</v>
      </c>
      <c r="BB8" s="71">
        <f>'Business Build-up'!BB8</f>
        <v>918.75</v>
      </c>
      <c r="BC8" s="236">
        <f>'Business Build-up'!BC8</f>
        <v>918.38250000000016</v>
      </c>
      <c r="BD8" s="236">
        <f>'Business Build-up'!BD8</f>
        <v>3609.5325000000003</v>
      </c>
      <c r="BF8" s="71">
        <f>'Business Build-up'!BF8</f>
        <v>922.58587577774551</v>
      </c>
      <c r="BG8" s="236">
        <f>'Business Build-up'!BG8</f>
        <v>933.57098742989365</v>
      </c>
      <c r="BH8" s="71">
        <f>'Business Build-up'!BH8</f>
        <v>962.06072857550953</v>
      </c>
      <c r="BI8" s="236">
        <f>'Business Build-up'!BI8</f>
        <v>961.47162101956076</v>
      </c>
      <c r="BJ8" s="236">
        <f>'Business Build-up'!BJ8</f>
        <v>3779.6892128027093</v>
      </c>
      <c r="BL8" s="71">
        <f>'Business Build-up'!BL8</f>
        <v>960.30368832585725</v>
      </c>
      <c r="BM8" s="236">
        <f>'Business Build-up'!BM8</f>
        <v>971.94684452200795</v>
      </c>
      <c r="BN8" s="71">
        <f>'Business Build-up'!BN8</f>
        <v>1001.5000036210605</v>
      </c>
      <c r="BO8" s="236">
        <f>'Business Build-up'!BO8</f>
        <v>1001.1125606896809</v>
      </c>
      <c r="BP8" s="236">
        <f>'Business Build-up'!BP8</f>
        <v>3934.8630971586063</v>
      </c>
      <c r="BR8" s="71">
        <f>'Business Build-up'!BR8</f>
        <v>999.62930461752273</v>
      </c>
      <c r="BS8" s="236">
        <f>'Business Build-up'!BS8</f>
        <v>1011.9668679526068</v>
      </c>
      <c r="BT8" s="71">
        <f>'Business Build-up'!BT8</f>
        <v>1042.6248121716646</v>
      </c>
      <c r="BU8" s="236">
        <f>'Business Build-up'!BU8</f>
        <v>1042.4609497046931</v>
      </c>
      <c r="BV8" s="236">
        <f>'Business Build-up'!BV8</f>
        <v>4096.6819344464875</v>
      </c>
      <c r="BX8" s="71">
        <f>'Business Build-up'!BX8</f>
        <v>1040.6335985475512</v>
      </c>
      <c r="BY8" s="236">
        <f>'Business Build-up'!BY8</f>
        <v>1053.7038591558833</v>
      </c>
      <c r="BZ8" s="71">
        <f>'Business Build-up'!BZ8</f>
        <v>1085.5096118929398</v>
      </c>
      <c r="CA8" s="236">
        <f>'Business Build-up'!CA8</f>
        <v>1085.5928301053057</v>
      </c>
      <c r="CB8" s="236">
        <f>'Business Build-up'!CB8</f>
        <v>4265.4398997016797</v>
      </c>
      <c r="CD8" s="71">
        <f>'Business Build-up'!CD8</f>
        <v>1083.3906523895271</v>
      </c>
      <c r="CE8" s="236">
        <f>'Business Build-up'!CE8</f>
        <v>1097.2339277826211</v>
      </c>
      <c r="CF8" s="71">
        <f>'Business Build-up'!CF8</f>
        <v>1130.2322364112895</v>
      </c>
      <c r="CG8" s="236">
        <f>'Business Build-up'!CG8</f>
        <v>1130.5877178663432</v>
      </c>
      <c r="CH8" s="236">
        <f>'Business Build-up'!CH8</f>
        <v>4441.4445344497808</v>
      </c>
      <c r="CJ8" s="71">
        <f>'Business Build-up'!CJ8</f>
        <v>1127.9779051045875</v>
      </c>
      <c r="CK8" s="236">
        <f>'Business Build-up'!CK8</f>
        <v>1142.6366451109232</v>
      </c>
      <c r="CL8" s="71">
        <f>'Business Build-up'!CL8</f>
        <v>1176.8740515440127</v>
      </c>
      <c r="CM8" s="236">
        <f>'Business Build-up'!CM8</f>
        <v>1177.5287647271032</v>
      </c>
      <c r="CN8" s="236">
        <f>'Business Build-up'!CN8</f>
        <v>4625.0173664866261</v>
      </c>
    </row>
    <row r="9" spans="1:93" ht="12.95" customHeight="1" x14ac:dyDescent="0.25">
      <c r="B9" s="13" t="s">
        <v>131</v>
      </c>
      <c r="C9" s="4"/>
      <c r="D9" s="46">
        <f>SUM(D7:D8)</f>
        <v>9822</v>
      </c>
      <c r="E9" s="46">
        <f>SUM(E7:E8)</f>
        <v>11331</v>
      </c>
      <c r="F9" s="46">
        <f>SUM(F7:F8)</f>
        <v>11413</v>
      </c>
      <c r="G9" s="46">
        <f>SUM(G7:G8)</f>
        <v>12896</v>
      </c>
      <c r="H9" s="46">
        <f>SUM(H7:H8)</f>
        <v>45462</v>
      </c>
      <c r="I9" s="5"/>
      <c r="J9" s="46">
        <f>SUM(J7:J8)</f>
        <v>12859</v>
      </c>
      <c r="K9" s="46">
        <f>SUM(K7:K8)</f>
        <v>14011</v>
      </c>
      <c r="L9" s="46">
        <f>SUM(L7:L8)</f>
        <v>13510</v>
      </c>
      <c r="M9" s="46">
        <f>SUM(M7:M8)</f>
        <v>14342</v>
      </c>
      <c r="N9" s="46">
        <f>SUM(N7:N8)</f>
        <v>54722</v>
      </c>
      <c r="O9" s="13"/>
      <c r="P9" s="46">
        <f>SUM(P7:P8)</f>
        <v>13466</v>
      </c>
      <c r="Q9" s="46">
        <f>SUM(Q7:Q8)</f>
        <v>14432</v>
      </c>
      <c r="R9" s="46">
        <f>SUM(R7:R8)</f>
        <v>12758</v>
      </c>
      <c r="S9" s="46">
        <f>SUM(S7:S8)</f>
        <v>13144</v>
      </c>
      <c r="T9" s="46">
        <f>SUM(T7:T8)</f>
        <v>53800</v>
      </c>
      <c r="U9" s="13"/>
      <c r="V9" s="46">
        <f>SUM(V7:V8)</f>
        <v>10635</v>
      </c>
      <c r="W9" s="46">
        <f>SUM(W7:W8)</f>
        <v>9997</v>
      </c>
      <c r="X9" s="46">
        <f>SUM(X7:X8)</f>
        <v>9881</v>
      </c>
      <c r="Y9" s="46">
        <f>SUM(Y7:Y8)</f>
        <v>11235</v>
      </c>
      <c r="Z9" s="46">
        <f>SUM(Z7:Z8)</f>
        <v>41748</v>
      </c>
      <c r="AA9" s="13"/>
      <c r="AB9" s="46">
        <f>SUM(AB7:AB8)</f>
        <v>11887</v>
      </c>
      <c r="AC9" s="46">
        <f>SUM(AC7:AC8)</f>
        <v>12889</v>
      </c>
      <c r="AD9" s="46">
        <f>SUM(AD7:AD8)</f>
        <v>12397</v>
      </c>
      <c r="AE9" s="46">
        <f>SUM(AE7:AE8)</f>
        <v>13798</v>
      </c>
      <c r="AF9" s="46">
        <f>SUM(AF7:AF8)</f>
        <v>50971</v>
      </c>
      <c r="AG9" s="13"/>
      <c r="AH9" s="46">
        <f>SUM(AH7:AH8)</f>
        <v>13589</v>
      </c>
      <c r="AI9" s="46">
        <f>SUM(AI7:AI8)</f>
        <v>14247</v>
      </c>
      <c r="AJ9" s="46">
        <f>SUM(AJ7:AJ8)</f>
        <v>14994</v>
      </c>
      <c r="AK9" s="46">
        <f>SUM(AK7:AK8)</f>
        <v>16597</v>
      </c>
      <c r="AL9" s="46">
        <f>SUM(AL7:AL8)</f>
        <v>59427</v>
      </c>
      <c r="AM9" s="13"/>
      <c r="AN9" s="46">
        <f>SUM(AN7:AN8)</f>
        <v>15862</v>
      </c>
      <c r="AO9" s="46">
        <f>SUM(AO7:AO8)</f>
        <v>17318</v>
      </c>
      <c r="AP9" s="46">
        <f>SUM(AP7:AP8)</f>
        <v>16810</v>
      </c>
      <c r="AQ9" s="46">
        <f>SUM(AQ7:AQ8)</f>
        <v>17070</v>
      </c>
      <c r="AR9" s="46">
        <f>SUM(AR7:AR8)</f>
        <v>67060</v>
      </c>
      <c r="AS9" s="13"/>
      <c r="AT9" s="46">
        <f>SUM(AT7:AT8)</f>
        <v>15799</v>
      </c>
      <c r="AU9" s="46">
        <f>SUM(AU7:AU8)</f>
        <v>16689</v>
      </c>
      <c r="AV9" s="46">
        <f>SUM(AV7:AV8)</f>
        <v>16106</v>
      </c>
      <c r="AW9" s="596">
        <f>SUM(AW7:AW8)</f>
        <v>16687.25</v>
      </c>
      <c r="AX9" s="46">
        <f>SUM(AX7:AX8)</f>
        <v>65281.25</v>
      </c>
      <c r="AY9" s="13"/>
      <c r="AZ9" s="46">
        <f>SUM(AZ7:AZ8)</f>
        <v>15394.050000000003</v>
      </c>
      <c r="BA9" s="46">
        <f>SUM(BA7:BA8)</f>
        <v>16448.2</v>
      </c>
      <c r="BB9" s="46">
        <f>SUM(BB7:BB8)</f>
        <v>16181.89</v>
      </c>
      <c r="BC9" s="46">
        <f>SUM(BC7:BC8)</f>
        <v>16953.584500000001</v>
      </c>
      <c r="BD9" s="46">
        <f>SUM(BD7:BD8)</f>
        <v>64977.724500000004</v>
      </c>
      <c r="BE9" s="13"/>
      <c r="BF9" s="46">
        <f>SUM(BF7:BF8)</f>
        <v>16121.610875777747</v>
      </c>
      <c r="BG9" s="46">
        <f>SUM(BG7:BG8)</f>
        <v>17225.376987429896</v>
      </c>
      <c r="BH9" s="46">
        <f>SUM(BH7:BH8)</f>
        <v>16944.719328575509</v>
      </c>
      <c r="BI9" s="46">
        <f>SUM(BI7:BI8)</f>
        <v>17749.021101019564</v>
      </c>
      <c r="BJ9" s="46">
        <f>SUM(BJ7:BJ8)</f>
        <v>68040.728292802713</v>
      </c>
      <c r="BK9" s="13"/>
      <c r="BL9" s="46">
        <f>SUM(BL7:BL8)</f>
        <v>16780.706048325857</v>
      </c>
      <c r="BM9" s="46">
        <f>SUM(BM7:BM8)</f>
        <v>17933.452339522009</v>
      </c>
      <c r="BN9" s="46">
        <f>SUM(BN7:BN8)</f>
        <v>17639.360972621063</v>
      </c>
      <c r="BO9" s="46">
        <f>SUM(BO7:BO8)</f>
        <v>18480.80335988968</v>
      </c>
      <c r="BP9" s="46">
        <f>SUM(BP7:BP8)</f>
        <v>70834.322720358614</v>
      </c>
      <c r="BQ9" s="13"/>
      <c r="BR9" s="46">
        <f>SUM(BR7:BR8)</f>
        <v>17467.896585217524</v>
      </c>
      <c r="BS9" s="46">
        <f>SUM(BS7:BS8)</f>
        <v>18671.864308102609</v>
      </c>
      <c r="BT9" s="46">
        <f>SUM(BT7:BT8)</f>
        <v>18363.689819681669</v>
      </c>
      <c r="BU9" s="46">
        <f>SUM(BU7:BU8)</f>
        <v>19244.105586472695</v>
      </c>
      <c r="BV9" s="46">
        <f>SUM(BV7:BV8)</f>
        <v>73747.556299474512</v>
      </c>
      <c r="BW9" s="13"/>
      <c r="BX9" s="46">
        <f>SUM(BX7:BX8)</f>
        <v>18184.420963415556</v>
      </c>
      <c r="BY9" s="46">
        <f>SUM(BY7:BY8)</f>
        <v>19441.956157011391</v>
      </c>
      <c r="BZ9" s="46">
        <f>SUM(BZ7:BZ8)</f>
        <v>19119.017288265841</v>
      </c>
      <c r="CA9" s="46">
        <f>SUM(CA7:CA8)</f>
        <v>20040.33153700603</v>
      </c>
      <c r="CB9" s="46">
        <f>SUM(CB7:CB8)</f>
        <v>76785.725945698825</v>
      </c>
      <c r="CC9" s="13"/>
      <c r="CD9" s="46">
        <f>SUM(CD7:CD8)</f>
        <v>18931.57372429423</v>
      </c>
      <c r="CE9" s="46">
        <f>SUM(CE7:CE8)</f>
        <v>20245.132190200362</v>
      </c>
      <c r="CF9" s="46">
        <f>SUM(CF7:CF8)</f>
        <v>19906.714257481883</v>
      </c>
      <c r="CG9" s="46">
        <f>SUM(CG7:CG8)</f>
        <v>20870.949097472134</v>
      </c>
      <c r="CH9" s="46">
        <f>SUM(CH7:CH8)</f>
        <v>79954.369269448609</v>
      </c>
      <c r="CI9" s="13"/>
      <c r="CJ9" s="46">
        <f>SUM(CJ7:CJ8)</f>
        <v>19710.708065242387</v>
      </c>
      <c r="CK9" s="46">
        <f>SUM(CK7:CK8)</f>
        <v>21082.860582324854</v>
      </c>
      <c r="CL9" s="46">
        <f>SUM(CL7:CL8)</f>
        <v>20728.213818709708</v>
      </c>
      <c r="CM9" s="46">
        <f>SUM(CM7:CM8)</f>
        <v>21737.493271029831</v>
      </c>
      <c r="CN9" s="46">
        <f>SUM(CN7:CN8)</f>
        <v>83259.275737306787</v>
      </c>
    </row>
    <row r="10" spans="1:93" ht="12.95" customHeight="1" x14ac:dyDescent="0.25">
      <c r="B10" s="69" t="s">
        <v>138</v>
      </c>
      <c r="D10" s="1"/>
      <c r="E10" s="1"/>
      <c r="F10" s="1"/>
      <c r="G10" s="1"/>
      <c r="H10" s="1"/>
      <c r="I10" s="1"/>
      <c r="J10" s="27"/>
      <c r="K10" s="27"/>
      <c r="L10" s="27"/>
      <c r="M10" s="27"/>
      <c r="N10" s="27"/>
      <c r="AD10" s="111"/>
      <c r="AE10" s="111"/>
      <c r="AF10" s="111"/>
      <c r="AI10" s="165"/>
      <c r="AJ10" s="223"/>
      <c r="AO10" s="251"/>
      <c r="AQ10" s="251"/>
      <c r="AR10" s="251"/>
      <c r="AU10" s="251"/>
      <c r="AV10" s="251"/>
      <c r="AW10" s="652" t="s">
        <v>628</v>
      </c>
      <c r="AX10" s="251"/>
      <c r="BA10" s="251"/>
      <c r="BC10" s="251"/>
      <c r="BD10" s="251"/>
      <c r="BG10" s="251"/>
      <c r="BI10" s="251"/>
      <c r="BJ10" s="251"/>
      <c r="BM10" s="251"/>
      <c r="BO10" s="251"/>
      <c r="BP10" s="251"/>
      <c r="BS10" s="251"/>
      <c r="BU10" s="251"/>
      <c r="BV10" s="251"/>
      <c r="BY10" s="251"/>
      <c r="CA10" s="251"/>
      <c r="CB10" s="251"/>
      <c r="CE10" s="251"/>
      <c r="CG10" s="251"/>
      <c r="CH10" s="251"/>
      <c r="CK10" s="251"/>
      <c r="CM10" s="251"/>
      <c r="CN10" s="251"/>
    </row>
    <row r="11" spans="1:93" ht="12.95" customHeight="1" x14ac:dyDescent="0.25">
      <c r="B11" s="3" t="s">
        <v>133</v>
      </c>
      <c r="D11" s="1"/>
      <c r="E11" s="1"/>
      <c r="F11" s="1"/>
      <c r="G11" s="1"/>
      <c r="H11" s="1"/>
      <c r="I11" s="1"/>
      <c r="Z11" s="8"/>
      <c r="AF11" s="8"/>
      <c r="AL11" s="8"/>
      <c r="AO11" s="251"/>
      <c r="AQ11" s="251"/>
      <c r="AR11" s="253"/>
      <c r="AU11" s="251"/>
      <c r="AV11" s="251"/>
      <c r="AW11" s="220"/>
      <c r="AX11" s="253"/>
      <c r="BA11" s="251"/>
      <c r="BC11" s="251"/>
      <c r="BD11" s="253"/>
      <c r="BG11" s="251"/>
      <c r="BI11" s="251"/>
      <c r="BJ11" s="253"/>
      <c r="BM11" s="251"/>
      <c r="BO11" s="251"/>
      <c r="BP11" s="253"/>
      <c r="BS11" s="251"/>
      <c r="BU11" s="251"/>
      <c r="BV11" s="253"/>
      <c r="BY11" s="251"/>
      <c r="CA11" s="251"/>
      <c r="CB11" s="253"/>
      <c r="CE11" s="251"/>
      <c r="CG11" s="251"/>
      <c r="CH11" s="253"/>
      <c r="CK11" s="251"/>
      <c r="CM11" s="251"/>
      <c r="CN11" s="253"/>
    </row>
    <row r="12" spans="1:93" ht="12.95" customHeight="1" x14ac:dyDescent="0.25">
      <c r="B12" s="2" t="str">
        <f>B7</f>
        <v>ME&amp;T</v>
      </c>
      <c r="D12" s="8">
        <f t="shared" ref="D12:H13" si="37">D7/D$9</f>
        <v>0.92954591732844638</v>
      </c>
      <c r="E12" s="8">
        <f t="shared" si="37"/>
        <v>0.93892860294766567</v>
      </c>
      <c r="F12" s="8">
        <f t="shared" si="37"/>
        <v>0.93866643301498287</v>
      </c>
      <c r="G12" s="8">
        <f t="shared" si="37"/>
        <v>0.94556451612903225</v>
      </c>
      <c r="H12" s="8">
        <f t="shared" si="37"/>
        <v>0.93871805023976063</v>
      </c>
      <c r="I12" s="1"/>
      <c r="J12" s="8">
        <f t="shared" ref="J12:N13" si="38">J7/J$9</f>
        <v>0.9448635197138191</v>
      </c>
      <c r="K12" s="8">
        <f t="shared" si="38"/>
        <v>0.94775533509385479</v>
      </c>
      <c r="L12" s="8">
        <f t="shared" si="38"/>
        <v>0.9447076239822354</v>
      </c>
      <c r="M12" s="8">
        <f t="shared" si="38"/>
        <v>0.95035559894017574</v>
      </c>
      <c r="N12" s="8">
        <f t="shared" si="38"/>
        <v>0.94700486093344538</v>
      </c>
      <c r="P12" s="8">
        <f t="shared" ref="P12:T13" si="39">P7/P$9</f>
        <v>0.94489826229021234</v>
      </c>
      <c r="Q12" s="8">
        <f t="shared" si="39"/>
        <v>0.94726995565410199</v>
      </c>
      <c r="R12" s="8">
        <f t="shared" si="39"/>
        <v>0.93854836181219625</v>
      </c>
      <c r="S12" s="8">
        <f t="shared" si="39"/>
        <v>0.94233110164333533</v>
      </c>
      <c r="T12" s="8">
        <f t="shared" si="39"/>
        <v>0.94340148698884763</v>
      </c>
      <c r="U12" s="10"/>
      <c r="V12" s="8">
        <f t="shared" ref="V12:Z13" si="40">V7/V$9</f>
        <v>0.93220498354489889</v>
      </c>
      <c r="W12" s="8">
        <f t="shared" si="40"/>
        <v>0.93127938381514452</v>
      </c>
      <c r="X12" s="8">
        <f t="shared" si="40"/>
        <v>0.93391357150086018</v>
      </c>
      <c r="Y12" s="8">
        <f t="shared" si="40"/>
        <v>0.94080996884735202</v>
      </c>
      <c r="Z12" s="8">
        <f t="shared" si="40"/>
        <v>0.93470345884832806</v>
      </c>
      <c r="AA12" s="10"/>
      <c r="AB12" s="8">
        <f t="shared" ref="AB12:AF13" si="41">AB7/AB$9</f>
        <v>0.94144864137292839</v>
      </c>
      <c r="AC12" s="8">
        <f t="shared" si="41"/>
        <v>0.94600046551322836</v>
      </c>
      <c r="AD12" s="8">
        <f t="shared" si="41"/>
        <v>0.94434137291280151</v>
      </c>
      <c r="AE12" s="8">
        <f t="shared" si="41"/>
        <v>0.94919553558486736</v>
      </c>
      <c r="AF12" s="8">
        <f t="shared" si="41"/>
        <v>0.94540032567538401</v>
      </c>
      <c r="AG12" s="10"/>
      <c r="AH12" s="8">
        <f t="shared" ref="AH12:AL13" si="42">AH7/AH$9</f>
        <v>0.94826698064611081</v>
      </c>
      <c r="AI12" s="8">
        <f t="shared" si="42"/>
        <v>0.95030532743735519</v>
      </c>
      <c r="AJ12" s="8">
        <f t="shared" si="42"/>
        <v>0.95224756569294389</v>
      </c>
      <c r="AK12" s="8">
        <f t="shared" si="42"/>
        <v>0.9562571549075134</v>
      </c>
      <c r="AL12" s="8">
        <f t="shared" si="42"/>
        <v>0.95199151900651224</v>
      </c>
      <c r="AM12" s="10"/>
      <c r="AN12" s="8">
        <f t="shared" ref="AN12:AR13" si="43">AN7/AN$9</f>
        <v>0.9518976169461606</v>
      </c>
      <c r="AO12" s="253">
        <f t="shared" si="43"/>
        <v>0.95536436078069065</v>
      </c>
      <c r="AP12" s="8">
        <f t="shared" si="43"/>
        <v>0.95110053539559791</v>
      </c>
      <c r="AQ12" s="253">
        <f t="shared" si="43"/>
        <v>0.95120093731693034</v>
      </c>
      <c r="AR12" s="253">
        <f t="shared" si="43"/>
        <v>0.95241574709215626</v>
      </c>
      <c r="AS12" s="10"/>
      <c r="AT12" s="8">
        <f t="shared" ref="AT12:AX13" si="44">AT7/AT$9</f>
        <v>0.94689537312488137</v>
      </c>
      <c r="AU12" s="253">
        <f t="shared" si="44"/>
        <v>0.94912816825453894</v>
      </c>
      <c r="AV12" s="253">
        <f t="shared" si="44"/>
        <v>0.94567242021606857</v>
      </c>
      <c r="AW12" s="350">
        <f t="shared" si="44"/>
        <v>0.94758573162144755</v>
      </c>
      <c r="AX12" s="253">
        <f t="shared" si="44"/>
        <v>0.94734092867400665</v>
      </c>
      <c r="AY12" s="10"/>
      <c r="AZ12" s="8">
        <f t="shared" ref="AZ12:BD13" si="45">AZ7/AZ$9</f>
        <v>0.94277334424664072</v>
      </c>
      <c r="BA12" s="253">
        <f t="shared" si="45"/>
        <v>0.94580258022154406</v>
      </c>
      <c r="BB12" s="8">
        <f t="shared" si="45"/>
        <v>0.94322356659203588</v>
      </c>
      <c r="BC12" s="253">
        <f t="shared" si="45"/>
        <v>0.94582959727484173</v>
      </c>
      <c r="BD12" s="253">
        <f t="shared" si="45"/>
        <v>0.94444969367925469</v>
      </c>
      <c r="BE12" s="10"/>
      <c r="BF12" s="8">
        <f t="shared" ref="BF12:BJ13" si="46">BF7/BF$9</f>
        <v>0.94277334424664072</v>
      </c>
      <c r="BG12" s="253">
        <f t="shared" si="46"/>
        <v>0.94580258022154395</v>
      </c>
      <c r="BH12" s="8">
        <f t="shared" si="46"/>
        <v>0.94322356659203599</v>
      </c>
      <c r="BI12" s="253">
        <f t="shared" si="46"/>
        <v>0.94582959727484173</v>
      </c>
      <c r="BJ12" s="253">
        <f t="shared" si="46"/>
        <v>0.944449606762917</v>
      </c>
      <c r="BK12" s="10"/>
      <c r="BL12" s="8">
        <f t="shared" ref="BL12:BP13" si="47">BL7/BL$9</f>
        <v>0.94277334424664083</v>
      </c>
      <c r="BM12" s="253">
        <f t="shared" si="47"/>
        <v>0.94580258022154395</v>
      </c>
      <c r="BN12" s="8">
        <f t="shared" si="47"/>
        <v>0.94322356659203577</v>
      </c>
      <c r="BO12" s="253">
        <f t="shared" si="47"/>
        <v>0.94582959727484173</v>
      </c>
      <c r="BP12" s="253">
        <f t="shared" si="47"/>
        <v>0.94444976748499798</v>
      </c>
      <c r="BQ12" s="10"/>
      <c r="BR12" s="8">
        <f t="shared" ref="BR12:BV13" si="48">BR7/BR$9</f>
        <v>0.94277334424664072</v>
      </c>
      <c r="BS12" s="253">
        <f t="shared" si="48"/>
        <v>0.94580258022154395</v>
      </c>
      <c r="BT12" s="8">
        <f t="shared" si="48"/>
        <v>0.94322356659203599</v>
      </c>
      <c r="BU12" s="253">
        <f t="shared" si="48"/>
        <v>0.94582959727484184</v>
      </c>
      <c r="BV12" s="253">
        <f t="shared" si="48"/>
        <v>0.94444992973312014</v>
      </c>
      <c r="BW12" s="10"/>
      <c r="BX12" s="8">
        <f t="shared" ref="BX12:CB13" si="49">BX7/BX$9</f>
        <v>0.94277334424664072</v>
      </c>
      <c r="BY12" s="253">
        <f t="shared" si="49"/>
        <v>0.94580258022154395</v>
      </c>
      <c r="BZ12" s="8">
        <f t="shared" si="49"/>
        <v>0.94322356659203588</v>
      </c>
      <c r="CA12" s="253">
        <f t="shared" si="49"/>
        <v>0.94582959727484173</v>
      </c>
      <c r="CB12" s="253">
        <f t="shared" si="49"/>
        <v>0.94445009346244757</v>
      </c>
      <c r="CC12" s="10"/>
      <c r="CD12" s="8">
        <f t="shared" ref="CD12:CH13" si="50">CD7/CD$9</f>
        <v>0.94277334424664072</v>
      </c>
      <c r="CE12" s="253">
        <f t="shared" si="50"/>
        <v>0.94580258022154395</v>
      </c>
      <c r="CF12" s="8">
        <f t="shared" si="50"/>
        <v>0.94322356659203599</v>
      </c>
      <c r="CG12" s="253">
        <f t="shared" si="50"/>
        <v>0.94582959727484173</v>
      </c>
      <c r="CH12" s="253">
        <f t="shared" si="50"/>
        <v>0.94445025862836862</v>
      </c>
      <c r="CI12" s="10"/>
      <c r="CJ12" s="8">
        <f t="shared" ref="CJ12:CN13" si="51">CJ7/CJ$9</f>
        <v>0.94277334424664072</v>
      </c>
      <c r="CK12" s="253">
        <f t="shared" si="51"/>
        <v>0.94580258022154395</v>
      </c>
      <c r="CL12" s="8">
        <f t="shared" si="51"/>
        <v>0.94322356659203599</v>
      </c>
      <c r="CM12" s="253">
        <f t="shared" si="51"/>
        <v>0.94582959727484173</v>
      </c>
      <c r="CN12" s="253">
        <f t="shared" si="51"/>
        <v>0.94445042518650868</v>
      </c>
    </row>
    <row r="13" spans="1:93" ht="12.95" customHeight="1" x14ac:dyDescent="0.25">
      <c r="B13" s="2" t="str">
        <f>B8</f>
        <v>Financial Products</v>
      </c>
      <c r="D13" s="8">
        <f t="shared" si="37"/>
        <v>7.0454082671553661E-2</v>
      </c>
      <c r="E13" s="8">
        <f t="shared" si="37"/>
        <v>6.1071397052334303E-2</v>
      </c>
      <c r="F13" s="8">
        <f t="shared" si="37"/>
        <v>6.1333566985017088E-2</v>
      </c>
      <c r="G13" s="8">
        <f t="shared" si="37"/>
        <v>5.4435483870967742E-2</v>
      </c>
      <c r="H13" s="8">
        <f t="shared" si="37"/>
        <v>6.1281949760239318E-2</v>
      </c>
      <c r="I13" s="1"/>
      <c r="J13" s="8">
        <f t="shared" si="38"/>
        <v>5.5136480286180886E-2</v>
      </c>
      <c r="K13" s="8">
        <f t="shared" si="38"/>
        <v>5.2244664906145169E-2</v>
      </c>
      <c r="L13" s="8">
        <f t="shared" si="38"/>
        <v>5.529237601776462E-2</v>
      </c>
      <c r="M13" s="8">
        <f t="shared" si="38"/>
        <v>4.9644401059824289E-2</v>
      </c>
      <c r="N13" s="8">
        <f t="shared" si="38"/>
        <v>5.2995139066554585E-2</v>
      </c>
      <c r="P13" s="8">
        <f t="shared" si="39"/>
        <v>5.5101737709787615E-2</v>
      </c>
      <c r="Q13" s="8">
        <f t="shared" si="39"/>
        <v>5.2730044345898001E-2</v>
      </c>
      <c r="R13" s="8">
        <f t="shared" si="39"/>
        <v>6.1451638187803734E-2</v>
      </c>
      <c r="S13" s="8">
        <f t="shared" si="39"/>
        <v>5.7668898356664638E-2</v>
      </c>
      <c r="T13" s="8">
        <f t="shared" si="39"/>
        <v>5.6598513011152415E-2</v>
      </c>
      <c r="U13" s="10"/>
      <c r="V13" s="8">
        <f t="shared" si="40"/>
        <v>6.7795016455101081E-2</v>
      </c>
      <c r="W13" s="8">
        <f t="shared" si="40"/>
        <v>6.8720616184855463E-2</v>
      </c>
      <c r="X13" s="8">
        <f t="shared" si="40"/>
        <v>6.608642849913976E-2</v>
      </c>
      <c r="Y13" s="8">
        <f t="shared" si="40"/>
        <v>5.9190031152647975E-2</v>
      </c>
      <c r="Z13" s="8">
        <f t="shared" si="40"/>
        <v>6.5296541151671939E-2</v>
      </c>
      <c r="AA13" s="10"/>
      <c r="AB13" s="8">
        <f t="shared" si="41"/>
        <v>5.8551358627071594E-2</v>
      </c>
      <c r="AC13" s="8">
        <f t="shared" si="41"/>
        <v>5.3999534486771666E-2</v>
      </c>
      <c r="AD13" s="8">
        <f t="shared" si="41"/>
        <v>5.5658627087198514E-2</v>
      </c>
      <c r="AE13" s="8">
        <f t="shared" si="41"/>
        <v>5.080446441513263E-2</v>
      </c>
      <c r="AF13" s="8">
        <f t="shared" si="41"/>
        <v>5.459967432461596E-2</v>
      </c>
      <c r="AG13" s="10"/>
      <c r="AH13" s="8">
        <f t="shared" si="42"/>
        <v>5.1733019353889173E-2</v>
      </c>
      <c r="AI13" s="8">
        <f t="shared" si="42"/>
        <v>4.9694672562644766E-2</v>
      </c>
      <c r="AJ13" s="8">
        <f t="shared" si="42"/>
        <v>4.7752434307056155E-2</v>
      </c>
      <c r="AK13" s="8">
        <f t="shared" si="42"/>
        <v>4.3742845092486597E-2</v>
      </c>
      <c r="AL13" s="8">
        <f t="shared" si="42"/>
        <v>4.8008480993487805E-2</v>
      </c>
      <c r="AM13" s="10"/>
      <c r="AN13" s="8">
        <f t="shared" si="43"/>
        <v>4.8102383053839362E-2</v>
      </c>
      <c r="AO13" s="253">
        <f t="shared" si="43"/>
        <v>4.4635639219309388E-2</v>
      </c>
      <c r="AP13" s="8">
        <f t="shared" si="43"/>
        <v>4.8899464604402143E-2</v>
      </c>
      <c r="AQ13" s="253">
        <f t="shared" si="43"/>
        <v>4.8799062683069716E-2</v>
      </c>
      <c r="AR13" s="253">
        <f t="shared" si="43"/>
        <v>4.7584252907843724E-2</v>
      </c>
      <c r="AS13" s="10"/>
      <c r="AT13" s="8">
        <f t="shared" si="44"/>
        <v>5.3104626875118681E-2</v>
      </c>
      <c r="AU13" s="253">
        <f t="shared" si="44"/>
        <v>5.0871831745461081E-2</v>
      </c>
      <c r="AV13" s="253">
        <f t="shared" si="44"/>
        <v>5.4327579783931455E-2</v>
      </c>
      <c r="AW13" s="350">
        <f t="shared" si="44"/>
        <v>5.2414268378552495E-2</v>
      </c>
      <c r="AX13" s="253">
        <f t="shared" si="44"/>
        <v>5.2659071325993297E-2</v>
      </c>
      <c r="AY13" s="10"/>
      <c r="AZ13" s="8">
        <f t="shared" si="45"/>
        <v>5.7226655753359244E-2</v>
      </c>
      <c r="BA13" s="253">
        <f t="shared" si="45"/>
        <v>5.4197419778456005E-2</v>
      </c>
      <c r="BB13" s="8">
        <f t="shared" si="45"/>
        <v>5.6776433407964087E-2</v>
      </c>
      <c r="BC13" s="253">
        <f t="shared" si="45"/>
        <v>5.4170402725158218E-2</v>
      </c>
      <c r="BD13" s="253">
        <f t="shared" si="45"/>
        <v>5.5550306320745348E-2</v>
      </c>
      <c r="BE13" s="10"/>
      <c r="BF13" s="8">
        <f t="shared" si="46"/>
        <v>5.7226655753359237E-2</v>
      </c>
      <c r="BG13" s="253">
        <f t="shared" si="46"/>
        <v>5.4197419778455984E-2</v>
      </c>
      <c r="BH13" s="8">
        <f t="shared" si="46"/>
        <v>5.6776433407964101E-2</v>
      </c>
      <c r="BI13" s="253">
        <f t="shared" si="46"/>
        <v>5.4170402725158211E-2</v>
      </c>
      <c r="BJ13" s="253">
        <f t="shared" si="46"/>
        <v>5.5550393237082996E-2</v>
      </c>
      <c r="BK13" s="10"/>
      <c r="BL13" s="8">
        <f t="shared" si="47"/>
        <v>5.7226655753359244E-2</v>
      </c>
      <c r="BM13" s="253">
        <f t="shared" si="47"/>
        <v>5.4197419778455984E-2</v>
      </c>
      <c r="BN13" s="8">
        <f t="shared" si="47"/>
        <v>5.6776433407964087E-2</v>
      </c>
      <c r="BO13" s="253">
        <f t="shared" si="47"/>
        <v>5.4170402725158211E-2</v>
      </c>
      <c r="BP13" s="253">
        <f t="shared" si="47"/>
        <v>5.5550232515001949E-2</v>
      </c>
      <c r="BQ13" s="10"/>
      <c r="BR13" s="8">
        <f t="shared" si="48"/>
        <v>5.7226655753359244E-2</v>
      </c>
      <c r="BS13" s="253">
        <f t="shared" si="48"/>
        <v>5.4197419778455984E-2</v>
      </c>
      <c r="BT13" s="8">
        <f t="shared" si="48"/>
        <v>5.6776433407964101E-2</v>
      </c>
      <c r="BU13" s="253">
        <f t="shared" si="48"/>
        <v>5.4170402725158225E-2</v>
      </c>
      <c r="BV13" s="253">
        <f t="shared" si="48"/>
        <v>5.5550070266879858E-2</v>
      </c>
      <c r="BW13" s="10"/>
      <c r="BX13" s="8">
        <f t="shared" si="49"/>
        <v>5.7226655753359237E-2</v>
      </c>
      <c r="BY13" s="253">
        <f t="shared" si="49"/>
        <v>5.4197419778455984E-2</v>
      </c>
      <c r="BZ13" s="8">
        <f t="shared" si="49"/>
        <v>5.6776433407964094E-2</v>
      </c>
      <c r="CA13" s="253">
        <f t="shared" si="49"/>
        <v>5.4170402725158218E-2</v>
      </c>
      <c r="CB13" s="253">
        <f t="shared" si="49"/>
        <v>5.5549906537552367E-2</v>
      </c>
      <c r="CC13" s="10"/>
      <c r="CD13" s="8">
        <f t="shared" si="50"/>
        <v>5.7226655753359244E-2</v>
      </c>
      <c r="CE13" s="253">
        <f t="shared" si="50"/>
        <v>5.4197419778455991E-2</v>
      </c>
      <c r="CF13" s="8">
        <f t="shared" si="50"/>
        <v>5.6776433407964094E-2</v>
      </c>
      <c r="CG13" s="253">
        <f t="shared" si="50"/>
        <v>5.4170402725158232E-2</v>
      </c>
      <c r="CH13" s="253">
        <f t="shared" si="50"/>
        <v>5.5549741371631364E-2</v>
      </c>
      <c r="CI13" s="10"/>
      <c r="CJ13" s="8">
        <f t="shared" si="51"/>
        <v>5.7226655753359237E-2</v>
      </c>
      <c r="CK13" s="253">
        <f t="shared" si="51"/>
        <v>5.4197419778455984E-2</v>
      </c>
      <c r="CL13" s="8">
        <f t="shared" si="51"/>
        <v>5.6776433407964087E-2</v>
      </c>
      <c r="CM13" s="253">
        <f t="shared" si="51"/>
        <v>5.4170402725158238E-2</v>
      </c>
      <c r="CN13" s="253">
        <f t="shared" si="51"/>
        <v>5.554957481349132E-2</v>
      </c>
    </row>
    <row r="14" spans="1:93" ht="12.95" customHeight="1" x14ac:dyDescent="0.25">
      <c r="B14" s="16" t="s">
        <v>5</v>
      </c>
      <c r="C14" s="16"/>
      <c r="D14" s="106">
        <f>SUM(D12:D13)</f>
        <v>1</v>
      </c>
      <c r="E14" s="106">
        <f>SUM(E12:E13)</f>
        <v>1</v>
      </c>
      <c r="F14" s="106">
        <f>SUM(F12:F13)</f>
        <v>1</v>
      </c>
      <c r="G14" s="106">
        <f>SUM(G12:G13)</f>
        <v>1</v>
      </c>
      <c r="H14" s="106">
        <f>SUM(H12:H13)</f>
        <v>1</v>
      </c>
      <c r="I14" s="110"/>
      <c r="J14" s="106">
        <f>SUM(J12:J13)</f>
        <v>1</v>
      </c>
      <c r="K14" s="106">
        <f>SUM(K12:K13)</f>
        <v>1</v>
      </c>
      <c r="L14" s="106">
        <f>SUM(L12:L13)</f>
        <v>1</v>
      </c>
      <c r="M14" s="106">
        <f>SUM(M12:M13)</f>
        <v>1</v>
      </c>
      <c r="N14" s="106">
        <f>SUM(N12:N13)</f>
        <v>1</v>
      </c>
      <c r="O14" s="16"/>
      <c r="P14" s="106">
        <f>SUM(P12:P13)</f>
        <v>1</v>
      </c>
      <c r="Q14" s="106">
        <f>SUM(Q12:Q13)</f>
        <v>1</v>
      </c>
      <c r="R14" s="106">
        <f>SUM(R12:R13)</f>
        <v>1</v>
      </c>
      <c r="S14" s="106">
        <f>SUM(S12:S13)</f>
        <v>1</v>
      </c>
      <c r="T14" s="106">
        <f>SUM(T12:T13)</f>
        <v>1</v>
      </c>
      <c r="U14" s="108"/>
      <c r="V14" s="106">
        <f>SUM(V12:V13)</f>
        <v>1</v>
      </c>
      <c r="W14" s="106">
        <f>SUM(W12:W13)</f>
        <v>1</v>
      </c>
      <c r="X14" s="106">
        <f>SUM(X12:X13)</f>
        <v>1</v>
      </c>
      <c r="Y14" s="106">
        <f>SUM(Y12:Y13)</f>
        <v>1</v>
      </c>
      <c r="Z14" s="106">
        <f>SUM(Z12:Z13)</f>
        <v>1</v>
      </c>
      <c r="AA14" s="108"/>
      <c r="AB14" s="106">
        <f>SUM(AB12:AB13)</f>
        <v>1</v>
      </c>
      <c r="AC14" s="106">
        <f>SUM(AC12:AC13)</f>
        <v>1</v>
      </c>
      <c r="AD14" s="106">
        <f>SUM(AD12:AD13)</f>
        <v>1</v>
      </c>
      <c r="AE14" s="106">
        <f>SUM(AE12:AE13)</f>
        <v>1</v>
      </c>
      <c r="AF14" s="106">
        <f>SUM(AF12:AF13)</f>
        <v>1</v>
      </c>
      <c r="AG14" s="108"/>
      <c r="AH14" s="106">
        <f>SUM(AH12:AH13)</f>
        <v>1</v>
      </c>
      <c r="AI14" s="106">
        <f>SUM(AI12:AI13)</f>
        <v>1</v>
      </c>
      <c r="AJ14" s="106">
        <f>SUM(AJ12:AJ13)</f>
        <v>1</v>
      </c>
      <c r="AK14" s="106">
        <f>SUM(AK12:AK13)</f>
        <v>1</v>
      </c>
      <c r="AL14" s="106">
        <f>SUM(AL12:AL13)</f>
        <v>1</v>
      </c>
      <c r="AM14" s="108"/>
      <c r="AN14" s="106">
        <f>SUM(AN12:AN13)</f>
        <v>1</v>
      </c>
      <c r="AO14" s="106">
        <f>SUM(AO12:AO13)</f>
        <v>1</v>
      </c>
      <c r="AP14" s="106">
        <f>SUM(AP12:AP13)</f>
        <v>1</v>
      </c>
      <c r="AQ14" s="106">
        <f>SUM(AQ12:AQ13)</f>
        <v>1</v>
      </c>
      <c r="AR14" s="106">
        <f>SUM(AR12:AR13)</f>
        <v>1</v>
      </c>
      <c r="AS14" s="108"/>
      <c r="AT14" s="106">
        <f>SUM(AT12:AT13)</f>
        <v>1</v>
      </c>
      <c r="AU14" s="106">
        <f>SUM(AU12:AU13)</f>
        <v>1</v>
      </c>
      <c r="AV14" s="106">
        <f>SUM(AV12:AV13)</f>
        <v>1</v>
      </c>
      <c r="AW14" s="597">
        <f>SUM(AW12:AW13)</f>
        <v>1</v>
      </c>
      <c r="AX14" s="106">
        <f>SUM(AX12:AX13)</f>
        <v>1</v>
      </c>
      <c r="AY14" s="108"/>
      <c r="AZ14" s="106">
        <f>SUM(AZ12:AZ13)</f>
        <v>1</v>
      </c>
      <c r="BA14" s="106">
        <f>SUM(BA12:BA13)</f>
        <v>1</v>
      </c>
      <c r="BB14" s="106">
        <f>SUM(BB12:BB13)</f>
        <v>1</v>
      </c>
      <c r="BC14" s="106">
        <f>SUM(BC12:BC13)</f>
        <v>1</v>
      </c>
      <c r="BD14" s="106">
        <f>SUM(BD12:BD13)</f>
        <v>1</v>
      </c>
      <c r="BE14" s="108"/>
      <c r="BF14" s="106">
        <f>SUM(BF12:BF13)</f>
        <v>1</v>
      </c>
      <c r="BG14" s="106">
        <f>SUM(BG12:BG13)</f>
        <v>0.99999999999999989</v>
      </c>
      <c r="BH14" s="106">
        <f>SUM(BH12:BH13)</f>
        <v>1</v>
      </c>
      <c r="BI14" s="106">
        <f>SUM(BI12:BI13)</f>
        <v>0.99999999999999989</v>
      </c>
      <c r="BJ14" s="106">
        <f>SUM(BJ12:BJ13)</f>
        <v>1</v>
      </c>
      <c r="BK14" s="108"/>
      <c r="BL14" s="106">
        <f>SUM(BL12:BL13)</f>
        <v>1</v>
      </c>
      <c r="BM14" s="106">
        <f>SUM(BM12:BM13)</f>
        <v>0.99999999999999989</v>
      </c>
      <c r="BN14" s="106">
        <f>SUM(BN12:BN13)</f>
        <v>0.99999999999999989</v>
      </c>
      <c r="BO14" s="106">
        <f>SUM(BO12:BO13)</f>
        <v>0.99999999999999989</v>
      </c>
      <c r="BP14" s="106">
        <f>SUM(BP12:BP13)</f>
        <v>0.99999999999999989</v>
      </c>
      <c r="BQ14" s="108"/>
      <c r="BR14" s="106">
        <f>SUM(BR12:BR13)</f>
        <v>1</v>
      </c>
      <c r="BS14" s="106">
        <f>SUM(BS12:BS13)</f>
        <v>0.99999999999999989</v>
      </c>
      <c r="BT14" s="106">
        <f>SUM(BT12:BT13)</f>
        <v>1</v>
      </c>
      <c r="BU14" s="106">
        <f>SUM(BU12:BU13)</f>
        <v>1</v>
      </c>
      <c r="BV14" s="106">
        <f>SUM(BV12:BV13)</f>
        <v>1</v>
      </c>
      <c r="BW14" s="108"/>
      <c r="BX14" s="106">
        <f>SUM(BX12:BX13)</f>
        <v>1</v>
      </c>
      <c r="BY14" s="106">
        <f>SUM(BY12:BY13)</f>
        <v>0.99999999999999989</v>
      </c>
      <c r="BZ14" s="106">
        <f>SUM(BZ12:BZ13)</f>
        <v>1</v>
      </c>
      <c r="CA14" s="106">
        <f>SUM(CA12:CA13)</f>
        <v>1</v>
      </c>
      <c r="CB14" s="106">
        <f>SUM(CB12:CB13)</f>
        <v>0.99999999999999989</v>
      </c>
      <c r="CC14" s="108"/>
      <c r="CD14" s="106">
        <f>SUM(CD12:CD13)</f>
        <v>1</v>
      </c>
      <c r="CE14" s="106">
        <f>SUM(CE12:CE13)</f>
        <v>1</v>
      </c>
      <c r="CF14" s="106">
        <f>SUM(CF12:CF13)</f>
        <v>1</v>
      </c>
      <c r="CG14" s="106">
        <f>SUM(CG12:CG13)</f>
        <v>1</v>
      </c>
      <c r="CH14" s="106">
        <f>SUM(CH12:CH13)</f>
        <v>1</v>
      </c>
      <c r="CI14" s="108"/>
      <c r="CJ14" s="106">
        <f>SUM(CJ12:CJ13)</f>
        <v>1</v>
      </c>
      <c r="CK14" s="106">
        <f>SUM(CK12:CK13)</f>
        <v>0.99999999999999989</v>
      </c>
      <c r="CL14" s="106">
        <f>SUM(CL12:CL13)</f>
        <v>1</v>
      </c>
      <c r="CM14" s="106">
        <f>SUM(CM12:CM13)</f>
        <v>1</v>
      </c>
      <c r="CN14" s="106">
        <f>SUM(CN12:CN13)</f>
        <v>1</v>
      </c>
    </row>
    <row r="15" spans="1:93" ht="12.95" customHeight="1" x14ac:dyDescent="0.25">
      <c r="D15" s="1"/>
      <c r="E15" s="1"/>
      <c r="F15" s="1"/>
      <c r="G15" s="1"/>
      <c r="H15" s="1"/>
      <c r="I15" s="1"/>
      <c r="AO15" s="251"/>
      <c r="AQ15" s="251"/>
      <c r="AR15" s="251"/>
      <c r="AU15" s="251"/>
      <c r="AV15" s="251"/>
      <c r="AW15" s="220"/>
      <c r="AX15" s="251"/>
      <c r="BA15" s="251"/>
      <c r="BC15" s="251"/>
      <c r="BD15" s="251"/>
      <c r="BG15" s="251"/>
      <c r="BI15" s="251"/>
      <c r="BJ15" s="251"/>
      <c r="BM15" s="251"/>
      <c r="BO15" s="251"/>
      <c r="BP15" s="251"/>
      <c r="BS15" s="251"/>
      <c r="BU15" s="251"/>
      <c r="BV15" s="251"/>
      <c r="BY15" s="251"/>
      <c r="CA15" s="251"/>
      <c r="CB15" s="251"/>
      <c r="CE15" s="251"/>
      <c r="CG15" s="251"/>
      <c r="CH15" s="251"/>
      <c r="CK15" s="251"/>
      <c r="CM15" s="251"/>
      <c r="CN15" s="251"/>
    </row>
    <row r="16" spans="1:93" ht="12.95" customHeight="1" x14ac:dyDescent="0.25">
      <c r="B16" s="29" t="s">
        <v>134</v>
      </c>
      <c r="C16" s="1"/>
      <c r="D16" s="1"/>
      <c r="E16" s="1"/>
      <c r="F16" s="1"/>
      <c r="G16" s="1"/>
      <c r="H16" s="1"/>
      <c r="I16" s="1"/>
      <c r="T16" s="78">
        <f>(T25+T27+T29+T33+T31)-(N25+N27+N29+N33+N31)</f>
        <v>-552</v>
      </c>
      <c r="Z16" s="78">
        <f>(Z25+Z27+Z29+Z33+Z31)-(T25+T27+T29+T33+T31)</f>
        <v>-767</v>
      </c>
      <c r="AE16" s="27"/>
      <c r="AF16" s="78">
        <f>(AF25+AF27+AF29+AF33+AF31)-(Z25+Z27+Z29+Z33+Z31)</f>
        <v>467</v>
      </c>
      <c r="AH16" s="27"/>
      <c r="AI16" s="78"/>
      <c r="AJ16" s="78"/>
      <c r="AK16" s="78"/>
      <c r="AL16" s="78">
        <f>(AL25+AL27+AL29+AL33+AL31)-(AF25+AF27+AF29+AF33+AF31)</f>
        <v>1593</v>
      </c>
      <c r="AO16" s="251"/>
      <c r="AQ16" s="251"/>
      <c r="AR16" s="276">
        <f>(AR25+AR27+AR29+AR33+AR31)-(AL25+AL27+AL29+AL33+AL31)</f>
        <v>1154</v>
      </c>
      <c r="AU16" s="251"/>
      <c r="AV16" s="251"/>
      <c r="AW16" s="220"/>
      <c r="AX16" s="276">
        <f>(AX25+AX27+AX29+AX33+AX31)-(AR25+AR27+AR29+AR33+AR31)</f>
        <v>177.95600000000013</v>
      </c>
      <c r="BA16" s="251"/>
      <c r="BC16" s="251"/>
      <c r="BD16" s="276">
        <f>(BD25+BD27+BD29+BD33+BD31)-(AX25+AX27+AX29+AX33+AX31)</f>
        <v>-102.89382712420593</v>
      </c>
      <c r="BG16" s="251"/>
      <c r="BI16" s="251"/>
      <c r="BJ16" s="276">
        <f>(BJ25+BJ27+BJ29+BJ33+BJ31)-(BD25+BD27+BD29+BD33+BD31)</f>
        <v>523.87270248170535</v>
      </c>
      <c r="BM16" s="251"/>
      <c r="BO16" s="251"/>
      <c r="BP16" s="276">
        <f>(BP25+BP27+BP29+BP33+BP31)-(BJ25+BJ27+BJ29+BJ33+BJ31)</f>
        <v>475.51975862842301</v>
      </c>
      <c r="BS16" s="251"/>
      <c r="BU16" s="251"/>
      <c r="BV16" s="276">
        <f>(BV25+BV27+BV29+BV33+BV31)-(BP25+BP27+BP29+BP33+BP31)</f>
        <v>495.32733139127777</v>
      </c>
      <c r="BY16" s="251"/>
      <c r="CA16" s="251"/>
      <c r="CB16" s="276">
        <f>(CB25+CB27+CB29+CB33+CB31)-(BV25+BV27+BV29+BV33+BV31)</f>
        <v>515.9885531824184</v>
      </c>
      <c r="CE16" s="251"/>
      <c r="CG16" s="251"/>
      <c r="CH16" s="276">
        <f>(CH25+CH27+CH29+CH33+CH31)-(CB25+CB27+CB29+CB33+CB31)</f>
        <v>537.54119267524038</v>
      </c>
      <c r="CK16" s="251"/>
      <c r="CM16" s="251"/>
      <c r="CN16" s="276">
        <f>(CN25+CN27+CN29+CN33+CN31)-(CH25+CH27+CH29+CH33+CH31)</f>
        <v>560.02472357532679</v>
      </c>
    </row>
    <row r="17" spans="2:92" ht="12.95" customHeight="1" x14ac:dyDescent="0.25">
      <c r="B17" s="2" t="str">
        <f>B12</f>
        <v>ME&amp;T</v>
      </c>
      <c r="C17" s="1"/>
      <c r="D17" s="1"/>
      <c r="E17" s="1"/>
      <c r="F17" s="1"/>
      <c r="G17" s="1"/>
      <c r="H17" s="1"/>
      <c r="I17" s="1"/>
      <c r="J17" s="9">
        <f>J7/D7-1</f>
        <v>0.33077765607886089</v>
      </c>
      <c r="K17" s="9">
        <f>K7/E7-1</f>
        <v>0.24814362252091371</v>
      </c>
      <c r="L17" s="9">
        <f>L7/F7-1</f>
        <v>0.19135629608886395</v>
      </c>
      <c r="M17" s="9">
        <f>M7/G7-1</f>
        <v>0.11776283418074462</v>
      </c>
      <c r="N17" s="9">
        <f>N7/H7-1</f>
        <v>0.21431249414190656</v>
      </c>
      <c r="P17" s="9">
        <f>P7/J7-1</f>
        <v>4.7242798353909432E-2</v>
      </c>
      <c r="Q17" s="9">
        <f>Q7/K7-1</f>
        <v>2.9520295202952074E-2</v>
      </c>
      <c r="R17" s="9">
        <f>R7/L7-1</f>
        <v>-6.1819321476141997E-2</v>
      </c>
      <c r="S17" s="9">
        <f>S7/M7-1</f>
        <v>-9.1269258987527468E-2</v>
      </c>
      <c r="T17" s="9">
        <f>T7/N7-1</f>
        <v>-2.0589710933580307E-2</v>
      </c>
      <c r="V17" s="9">
        <f>V7/P7-1</f>
        <v>-0.22084250235774916</v>
      </c>
      <c r="W17" s="9">
        <f>W7/Q7-1</f>
        <v>-0.31899641577060933</v>
      </c>
      <c r="X17" s="9">
        <f>X7/R7-1</f>
        <v>-0.22933021546684484</v>
      </c>
      <c r="Y17" s="9">
        <f>Y7/S7-1</f>
        <v>-0.14661714839334727</v>
      </c>
      <c r="Z17" s="9">
        <f>Z7/T7-1</f>
        <v>-0.23116934292187963</v>
      </c>
      <c r="AA17" s="10"/>
      <c r="AB17" s="9">
        <f>AB7/V7-1</f>
        <v>0.12880774662094008</v>
      </c>
      <c r="AC17" s="9">
        <f>AC7/W7-1</f>
        <v>0.30966702470461871</v>
      </c>
      <c r="AD17" s="9">
        <f>AD7/X7-1</f>
        <v>0.26863892501083653</v>
      </c>
      <c r="AE17" s="9">
        <f>AE7/Y7-1</f>
        <v>0.23907284768211912</v>
      </c>
      <c r="AF17" s="9">
        <f>AF7/Z7-1</f>
        <v>0.23489313720465388</v>
      </c>
      <c r="AG17" s="9"/>
      <c r="AH17" s="9">
        <f>AH7/AB7-1</f>
        <v>0.15146099544276659</v>
      </c>
      <c r="AI17" s="9">
        <f>AI7/AC7-1</f>
        <v>0.11039120807020431</v>
      </c>
      <c r="AJ17" s="9">
        <f>AJ7/AD7-1</f>
        <v>0.21961219783035801</v>
      </c>
      <c r="AK17" s="9">
        <f>AK7/AE7-1</f>
        <v>0.21180422997633053</v>
      </c>
      <c r="AL17" s="9">
        <f>AL7/AF7-1</f>
        <v>0.17402672864613589</v>
      </c>
      <c r="AM17" s="9"/>
      <c r="AN17" s="9">
        <f>AN7/AH7-1</f>
        <v>0.17173676858606246</v>
      </c>
      <c r="AO17" s="241">
        <f>AO7/AI7-1</f>
        <v>0.22202526035896297</v>
      </c>
      <c r="AP17" s="9">
        <f>AP7/AJ7-1</f>
        <v>0.11976467292337856</v>
      </c>
      <c r="AQ17" s="241">
        <f>AQ7/AK7-1</f>
        <v>2.3060928737949737E-2</v>
      </c>
      <c r="AR17" s="241">
        <f>AR7/AL7-1</f>
        <v>0.12894615901297413</v>
      </c>
      <c r="AS17" s="9"/>
      <c r="AT17" s="9">
        <f>AT7/AN7-1</f>
        <v>-9.2059076760050429E-3</v>
      </c>
      <c r="AU17" s="241">
        <f>AU7/AO7-1</f>
        <v>-4.2611060743427021E-2</v>
      </c>
      <c r="AV17" s="241">
        <f>AV7/AP7-1</f>
        <v>-4.7348011008256141E-2</v>
      </c>
      <c r="AW17" s="160">
        <f>AW7/AQ7-1</f>
        <v>-2.6137833343597983E-2</v>
      </c>
      <c r="AX17" s="241">
        <f>AX7/AR7-1</f>
        <v>-3.1711785060044795E-2</v>
      </c>
      <c r="AY17" s="9"/>
      <c r="AZ17" s="9">
        <f>AZ7/AT7-1</f>
        <v>-2.9872994652406226E-2</v>
      </c>
      <c r="BA17" s="241">
        <f>BA7/AU7-1</f>
        <v>-1.7881944444444353E-2</v>
      </c>
      <c r="BB17" s="9">
        <f>BB7/AV7-1</f>
        <v>2.1101700479284613E-3</v>
      </c>
      <c r="BC17" s="241">
        <f>BC7/AW7-1</f>
        <v>1.4077507810227319E-2</v>
      </c>
      <c r="BD17" s="241">
        <f>BD7/AX7-1</f>
        <v>-7.6872627078630185E-3</v>
      </c>
      <c r="BE17" s="9"/>
      <c r="BF17" s="9">
        <f>BF7/AZ7-1</f>
        <v>4.7262473213854905E-2</v>
      </c>
      <c r="BG17" s="241">
        <f>BG7/BA7-1</f>
        <v>4.7249971877159291E-2</v>
      </c>
      <c r="BH17" s="9">
        <f>BH7/BB7-1</f>
        <v>4.7140929061779024E-2</v>
      </c>
      <c r="BI17" s="241">
        <f>BI7/BC7-1</f>
        <v>4.6918490955087488E-2</v>
      </c>
      <c r="BJ17" s="241">
        <f>BJ7/BD7-1</f>
        <v>4.7139193541827051E-2</v>
      </c>
      <c r="BK17" s="9"/>
      <c r="BL17" s="9">
        <f>BL7/BF7-1</f>
        <v>4.088271188447945E-2</v>
      </c>
      <c r="BM17" s="241">
        <f>BM7/BG7-1</f>
        <v>4.1106522812756285E-2</v>
      </c>
      <c r="BN17" s="9">
        <f>BN7/BH7-1</f>
        <v>4.0994579525086117E-2</v>
      </c>
      <c r="BO17" s="241">
        <f>BO7/BI7-1</f>
        <v>4.1229443286203482E-2</v>
      </c>
      <c r="BP17" s="241">
        <f>BP7/BJ7-1</f>
        <v>4.1057856844103791E-2</v>
      </c>
      <c r="BQ17" s="9"/>
      <c r="BR17" s="9">
        <f>BR7/BL7-1</f>
        <v>4.0951229043203696E-2</v>
      </c>
      <c r="BS17" s="241">
        <f>BS7/BM7-1</f>
        <v>4.1175115343144331E-2</v>
      </c>
      <c r="BT17" s="9">
        <f>BT7/BN7-1</f>
        <v>4.1063213581539415E-2</v>
      </c>
      <c r="BU17" s="241">
        <f>BU7/BO7-1</f>
        <v>4.1302437546609783E-2</v>
      </c>
      <c r="BV17" s="241">
        <f>BV7/BP7-1</f>
        <v>4.1127607865966365E-2</v>
      </c>
      <c r="BW17" s="9"/>
      <c r="BX17" s="9">
        <f>BX7/BR7-1</f>
        <v>4.1019499669147308E-2</v>
      </c>
      <c r="BY17" s="241">
        <f>BY7/BS7-1</f>
        <v>4.1243436445422388E-2</v>
      </c>
      <c r="BZ17" s="9">
        <f>BZ7/BT7-1</f>
        <v>4.1131574100899515E-2</v>
      </c>
      <c r="CA17" s="241">
        <f>CA7/BU7-1</f>
        <v>4.1375056219449702E-2</v>
      </c>
      <c r="CB17" s="241">
        <f>CB7/BV7-1</f>
        <v>4.1197066183706887E-2</v>
      </c>
      <c r="CC17" s="9"/>
      <c r="CD17" s="9">
        <f>CD7/BX7-1</f>
        <v>4.1087520047068837E-2</v>
      </c>
      <c r="CE17" s="241">
        <f>CE7/BY7-1</f>
        <v>4.1311482584499126E-2</v>
      </c>
      <c r="CF17" s="9">
        <f>CF7/BZ7-1</f>
        <v>4.1199657772132747E-2</v>
      </c>
      <c r="CG17" s="241">
        <f>CG7/CA7-1</f>
        <v>4.144729636494815E-2</v>
      </c>
      <c r="CH17" s="241">
        <f>CH7/CB7-1</f>
        <v>4.1266228419225559E-2</v>
      </c>
      <c r="CI17" s="9"/>
      <c r="CJ17" s="9">
        <f>CJ7/CD7-1</f>
        <v>4.1155286522658097E-2</v>
      </c>
      <c r="CK17" s="241">
        <f>CK7/CE7-1</f>
        <v>4.1379250293559044E-2</v>
      </c>
      <c r="CL17" s="9">
        <f>CL7/CF7-1</f>
        <v>4.1267461350085188E-2</v>
      </c>
      <c r="CM17" s="241">
        <f>CM7/CG7-1</f>
        <v>4.1519155142908826E-2</v>
      </c>
      <c r="CN17" s="241">
        <f>CN7/CH7-1</f>
        <v>4.1335091267821644E-2</v>
      </c>
    </row>
    <row r="18" spans="2:92" ht="12.95" customHeight="1" x14ac:dyDescent="0.25">
      <c r="B18" s="2" t="str">
        <f>B13</f>
        <v>Financial Products</v>
      </c>
      <c r="C18" s="1"/>
      <c r="D18" s="1"/>
      <c r="E18" s="1"/>
      <c r="F18" s="1"/>
      <c r="G18" s="1"/>
      <c r="H18" s="1"/>
      <c r="I18" s="1"/>
      <c r="J18" s="9">
        <f>IFERROR(J8/D8-1,"")</f>
        <v>2.4566473988439252E-2</v>
      </c>
      <c r="K18" s="9">
        <f>IFERROR(K8/E8-1,"")</f>
        <v>5.7803468208092568E-2</v>
      </c>
      <c r="L18" s="9">
        <f>IFERROR(L8/F8-1,"")</f>
        <v>6.7142857142857171E-2</v>
      </c>
      <c r="M18" s="9">
        <f>IFERROR(M8/G8-1,"")</f>
        <v>1.4245014245014342E-2</v>
      </c>
      <c r="N18" s="9">
        <f>IFERROR(N8/H8-1,"")</f>
        <v>4.0918880114860112E-2</v>
      </c>
      <c r="P18" s="9">
        <f>IFERROR(P8/J8-1,"")</f>
        <v>4.6544428772919533E-2</v>
      </c>
      <c r="Q18" s="9">
        <f>IFERROR(Q8/K8-1,"")</f>
        <v>3.9617486338797914E-2</v>
      </c>
      <c r="R18" s="9">
        <f>IFERROR(R8/L8-1,"")</f>
        <v>4.9531459170013337E-2</v>
      </c>
      <c r="S18" s="9">
        <f>IFERROR(S8/M8-1,"")</f>
        <v>6.460674157303381E-2</v>
      </c>
      <c r="T18" s="9">
        <f>IFERROR(T8/N8-1,"")</f>
        <v>5.0000000000000044E-2</v>
      </c>
      <c r="V18" s="9">
        <f>IFERROR(V8/P8-1,"")</f>
        <v>-2.8301886792452824E-2</v>
      </c>
      <c r="W18" s="9">
        <f>IFERROR(W8/Q8-1,"")</f>
        <v>-9.7240473061760868E-2</v>
      </c>
      <c r="X18" s="9">
        <f>IFERROR(X8/R8-1,"")</f>
        <v>-0.16709183673469385</v>
      </c>
      <c r="Y18" s="9">
        <f>IFERROR(Y8/S8-1,"")</f>
        <v>-0.12269129287598945</v>
      </c>
      <c r="Z18" s="9">
        <f>IFERROR(Z8/T8-1,"")</f>
        <v>-0.10476190476190472</v>
      </c>
      <c r="AA18" s="10"/>
      <c r="AB18" s="9">
        <f>IFERROR(AB8/V8-1,"")</f>
        <v>-3.4674063800277377E-2</v>
      </c>
      <c r="AC18" s="9">
        <f>IFERROR(AC8/W8-1,"")</f>
        <v>1.3100436681222627E-2</v>
      </c>
      <c r="AD18" s="9">
        <f>IFERROR(AD8/X8-1,"")</f>
        <v>5.666156202143946E-2</v>
      </c>
      <c r="AE18" s="9">
        <f>IFERROR(AE8/Y8-1,"")</f>
        <v>5.4135338345864703E-2</v>
      </c>
      <c r="AF18" s="9">
        <f>IFERROR(AF8/Z8-1,"")</f>
        <v>2.090975788701388E-2</v>
      </c>
      <c r="AG18" s="9"/>
      <c r="AH18" s="9">
        <f>IFERROR(AH8/AB8-1,"")</f>
        <v>1.0057471264367734E-2</v>
      </c>
      <c r="AI18" s="9">
        <f>IFERROR(AI8/AC8-1,"")</f>
        <v>1.7241379310344751E-2</v>
      </c>
      <c r="AJ18" s="9">
        <f>IFERROR(AJ8/AD8-1,"")</f>
        <v>3.7681159420289934E-2</v>
      </c>
      <c r="AK18" s="9">
        <f>IFERROR(AK8/AE8-1,"")</f>
        <v>3.5663338088445018E-2</v>
      </c>
      <c r="AL18" s="9">
        <f>IFERROR(AL8/AF8-1,"")</f>
        <v>2.5152712899748408E-2</v>
      </c>
      <c r="AM18" s="9"/>
      <c r="AN18" s="9">
        <f>IFERROR(AN8/AH8-1,"")</f>
        <v>8.5348506401137891E-2</v>
      </c>
      <c r="AO18" s="241">
        <f>IFERROR(AO8/AI8-1,"")</f>
        <v>9.1807909604519677E-2</v>
      </c>
      <c r="AP18" s="9">
        <f>IFERROR(AP8/AJ8-1,"")</f>
        <v>0.14804469273743015</v>
      </c>
      <c r="AQ18" s="241">
        <f>IFERROR(AQ8/AK8-1,"")</f>
        <v>0.14738292011019283</v>
      </c>
      <c r="AR18" s="241">
        <f>IFERROR(AR8/AL8-1,"")</f>
        <v>0.11847178408692605</v>
      </c>
      <c r="AS18" s="9"/>
      <c r="AT18" s="9">
        <f>IFERROR(AT8/AN8-1,"")</f>
        <v>9.9606815203145516E-2</v>
      </c>
      <c r="AU18" s="241">
        <f>IFERROR(AU8/AO8-1,"")</f>
        <v>9.8318240620957287E-2</v>
      </c>
      <c r="AV18" s="241">
        <f>IFERROR(AV8/AP8-1,"")</f>
        <v>6.4476885644768833E-2</v>
      </c>
      <c r="AW18" s="160">
        <f>IFERROR(AW8/AQ8-1,"")</f>
        <v>5.0000000000000044E-2</v>
      </c>
      <c r="AX18" s="241">
        <f>IFERROR(AX8/AR8-1,"")</f>
        <v>7.7295518646192551E-2</v>
      </c>
      <c r="AY18" s="9"/>
      <c r="AZ18" s="9">
        <f>IFERROR(AZ8/AT8-1,"")</f>
        <v>5.0000000000000044E-2</v>
      </c>
      <c r="BA18" s="241">
        <f>IFERROR(BA8/AU8-1,"")</f>
        <v>5.0000000000000044E-2</v>
      </c>
      <c r="BB18" s="9">
        <f>IFERROR(BB8/AV8-1,"")</f>
        <v>5.0000000000000044E-2</v>
      </c>
      <c r="BC18" s="241">
        <f>IFERROR(BC8/AW8-1,"")</f>
        <v>5.0000000000000044E-2</v>
      </c>
      <c r="BD18" s="241">
        <f>IFERROR(BD8/AX8-1,"")</f>
        <v>5.0000000000000044E-2</v>
      </c>
      <c r="BE18" s="9"/>
      <c r="BF18" s="9">
        <f>IFERROR(BF8/AZ8-1,"")</f>
        <v>4.7262473213854905E-2</v>
      </c>
      <c r="BG18" s="241">
        <f>IFERROR(BG8/BA8-1,"")</f>
        <v>4.7249971877159291E-2</v>
      </c>
      <c r="BH18" s="9">
        <f>IFERROR(BH8/BB8-1,"")</f>
        <v>4.7140929061779024E-2</v>
      </c>
      <c r="BI18" s="241">
        <f>IFERROR(BI8/BC8-1,"")</f>
        <v>4.6918490955087488E-2</v>
      </c>
      <c r="BJ18" s="241">
        <f>IFERROR(BJ8/BD8-1,"")</f>
        <v>4.7140928306562913E-2</v>
      </c>
      <c r="BK18" s="9"/>
      <c r="BL18" s="9">
        <f>IFERROR(BL8/BF8-1,"")</f>
        <v>4.088271188447945E-2</v>
      </c>
      <c r="BM18" s="241">
        <f>IFERROR(BM8/BG8-1,"")</f>
        <v>4.1106522812756285E-2</v>
      </c>
      <c r="BN18" s="9">
        <f>IFERROR(BN8/BH8-1,"")</f>
        <v>4.0994579525086117E-2</v>
      </c>
      <c r="BO18" s="241">
        <f>IFERROR(BO8/BI8-1,"")</f>
        <v>4.1229443286203482E-2</v>
      </c>
      <c r="BP18" s="241">
        <f>IFERROR(BP8/BJ8-1,"")</f>
        <v>4.1054667624598862E-2</v>
      </c>
      <c r="BQ18" s="9"/>
      <c r="BR18" s="9">
        <f>IFERROR(BR8/BL8-1,"")</f>
        <v>4.0951229043203696E-2</v>
      </c>
      <c r="BS18" s="241">
        <f>IFERROR(BS8/BM8-1,"")</f>
        <v>4.1175115343144331E-2</v>
      </c>
      <c r="BT18" s="9">
        <f>IFERROR(BT8/BN8-1,"")</f>
        <v>4.1063213581539415E-2</v>
      </c>
      <c r="BU18" s="241">
        <f>IFERROR(BU8/BO8-1,"")</f>
        <v>4.1302437546609783E-2</v>
      </c>
      <c r="BV18" s="241">
        <f>IFERROR(BV8/BP8-1,"")</f>
        <v>4.1124388140652668E-2</v>
      </c>
      <c r="BW18" s="9"/>
      <c r="BX18" s="9">
        <f>IFERROR(BX8/BR8-1,"")</f>
        <v>4.1019499669147308E-2</v>
      </c>
      <c r="BY18" s="241">
        <f>IFERROR(BY8/BS8-1,"")</f>
        <v>4.1243436445422388E-2</v>
      </c>
      <c r="BZ18" s="9">
        <f>IFERROR(BZ8/BT8-1,"")</f>
        <v>4.1131574100899515E-2</v>
      </c>
      <c r="CA18" s="241">
        <f>IFERROR(CA8/BU8-1,"")</f>
        <v>4.1375056219449702E-2</v>
      </c>
      <c r="CB18" s="241">
        <f>IFERROR(CB8/BV8-1,"")</f>
        <v>4.1193816838991149E-2</v>
      </c>
      <c r="CC18" s="9"/>
      <c r="CD18" s="9">
        <f>IFERROR(CD8/BX8-1,"")</f>
        <v>4.1087520047068837E-2</v>
      </c>
      <c r="CE18" s="241">
        <f>IFERROR(CE8/BY8-1,"")</f>
        <v>4.1311482584499126E-2</v>
      </c>
      <c r="CF18" s="9">
        <f>IFERROR(CF8/BZ8-1,"")</f>
        <v>4.1199657772132747E-2</v>
      </c>
      <c r="CG18" s="241">
        <f>IFERROR(CG8/CA8-1,"")</f>
        <v>4.144729636494815E-2</v>
      </c>
      <c r="CH18" s="241">
        <f>IFERROR(CH8/CB8-1,"")</f>
        <v>4.1262950337293658E-2</v>
      </c>
      <c r="CI18" s="9"/>
      <c r="CJ18" s="9">
        <f>IFERROR(CJ8/CD8-1,"")</f>
        <v>4.1155286522658097E-2</v>
      </c>
      <c r="CK18" s="241">
        <f>IFERROR(CK8/CE8-1,"")</f>
        <v>4.1379250293559044E-2</v>
      </c>
      <c r="CL18" s="9">
        <f>IFERROR(CL8/CF8-1,"")</f>
        <v>4.1267461350085188E-2</v>
      </c>
      <c r="CM18" s="241">
        <f>IFERROR(CM8/CG8-1,"")</f>
        <v>4.1519155142908826E-2</v>
      </c>
      <c r="CN18" s="241">
        <f>IFERROR(CN8/CH8-1,"")</f>
        <v>4.1331785326367276E-2</v>
      </c>
    </row>
    <row r="19" spans="2:92" ht="12.95" customHeight="1" x14ac:dyDescent="0.25">
      <c r="B19" s="16" t="str">
        <f>B14</f>
        <v>Total</v>
      </c>
      <c r="C19" s="16"/>
      <c r="D19" s="110"/>
      <c r="E19" s="110"/>
      <c r="F19" s="110"/>
      <c r="G19" s="110"/>
      <c r="H19" s="110"/>
      <c r="I19" s="110"/>
      <c r="J19" s="107">
        <f>J9/D9-1</f>
        <v>0.30920382814090819</v>
      </c>
      <c r="K19" s="107">
        <f>K9/E9-1</f>
        <v>0.23651928338187278</v>
      </c>
      <c r="L19" s="107">
        <f>L9/F9-1</f>
        <v>0.18373784281082983</v>
      </c>
      <c r="M19" s="107">
        <f>M9/G9-1</f>
        <v>0.11212779156327546</v>
      </c>
      <c r="N19" s="107">
        <f>N9/H9-1</f>
        <v>0.20368659539835465</v>
      </c>
      <c r="O19" s="16"/>
      <c r="P19" s="107">
        <f>P9/J9-1</f>
        <v>4.7204292713274754E-2</v>
      </c>
      <c r="Q19" s="107">
        <f>Q9/K9-1</f>
        <v>3.0047819570337531E-2</v>
      </c>
      <c r="R19" s="107">
        <f>R9/L9-1</f>
        <v>-5.566247224278309E-2</v>
      </c>
      <c r="S19" s="107">
        <f>S9/M9-1</f>
        <v>-8.3530888300097583E-2</v>
      </c>
      <c r="T19" s="107">
        <f>T9/N9-1</f>
        <v>-1.6848799385987379E-2</v>
      </c>
      <c r="U19" s="16"/>
      <c r="V19" s="107">
        <f>V9/P9-1</f>
        <v>-0.21023317986038914</v>
      </c>
      <c r="W19" s="107">
        <f>W9/Q9-1</f>
        <v>-0.30730321507760527</v>
      </c>
      <c r="X19" s="107">
        <f>X9/R9-1</f>
        <v>-0.22550556513560116</v>
      </c>
      <c r="Y19" s="107">
        <f>Y9/S9-1</f>
        <v>-0.14523737066342057</v>
      </c>
      <c r="Z19" s="107">
        <f>Z9/T9-1</f>
        <v>-0.22401486988847585</v>
      </c>
      <c r="AA19" s="108"/>
      <c r="AB19" s="107">
        <f>AB9/V9-1</f>
        <v>0.11772449459332401</v>
      </c>
      <c r="AC19" s="107">
        <f>AC9/W9-1</f>
        <v>0.28928678603581082</v>
      </c>
      <c r="AD19" s="107">
        <f>AD9/X9-1</f>
        <v>0.2546300981682017</v>
      </c>
      <c r="AE19" s="107">
        <f>AE9/Y9-1</f>
        <v>0.22812639074321317</v>
      </c>
      <c r="AF19" s="107">
        <f>AF9/Z9-1</f>
        <v>0.2209207626712657</v>
      </c>
      <c r="AG19" s="16"/>
      <c r="AH19" s="107">
        <f>AH9/AB9-1</f>
        <v>0.14318162698746528</v>
      </c>
      <c r="AI19" s="107">
        <f>AI9/AC9-1</f>
        <v>0.1053611606796494</v>
      </c>
      <c r="AJ19" s="107">
        <f>AJ9/AD9-1</f>
        <v>0.20948616600790504</v>
      </c>
      <c r="AK19" s="107">
        <f>AK9/AE9-1</f>
        <v>0.20285548630236261</v>
      </c>
      <c r="AL19" s="107">
        <f>AL9/AF9-1</f>
        <v>0.16589825587098539</v>
      </c>
      <c r="AM19" s="16"/>
      <c r="AN19" s="107">
        <f>AN9/AH9-1</f>
        <v>0.16726764294650076</v>
      </c>
      <c r="AO19" s="107">
        <f>AO9/AI9-1</f>
        <v>0.21555415175124581</v>
      </c>
      <c r="AP19" s="107">
        <f>AP9/AJ9-1</f>
        <v>0.12111511271175135</v>
      </c>
      <c r="AQ19" s="107">
        <f>AQ9/AK9-1</f>
        <v>2.8499126348135118E-2</v>
      </c>
      <c r="AR19" s="107">
        <f>AR9/AL9-1</f>
        <v>0.12844330018341821</v>
      </c>
      <c r="AS19" s="16"/>
      <c r="AT19" s="107">
        <f>AT9/AN9-1</f>
        <v>-3.9717563989408733E-3</v>
      </c>
      <c r="AU19" s="107">
        <f>AU9/AO9-1</f>
        <v>-3.6320591292297033E-2</v>
      </c>
      <c r="AV19" s="107">
        <f>AV9/AP9-1</f>
        <v>-4.1879833432480695E-2</v>
      </c>
      <c r="AW19" s="598">
        <f>AW9/AQ9-1</f>
        <v>-2.2422378441710578E-2</v>
      </c>
      <c r="AX19" s="107">
        <f>AX9/AR9-1</f>
        <v>-2.6524753951685076E-2</v>
      </c>
      <c r="AY19" s="16"/>
      <c r="AZ19" s="107">
        <f>AZ9/AT9-1</f>
        <v>-2.5631369073991883E-2</v>
      </c>
      <c r="BA19" s="107">
        <f>BA9/AU9-1</f>
        <v>-1.4428665588111844E-2</v>
      </c>
      <c r="BB19" s="107">
        <f>BB9/AV9-1</f>
        <v>4.7119086054885351E-3</v>
      </c>
      <c r="BC19" s="107">
        <f>BC9/AW9-1</f>
        <v>1.596035895668857E-2</v>
      </c>
      <c r="BD19" s="107">
        <f>BD9/AX9-1</f>
        <v>-4.6495050263283266E-3</v>
      </c>
      <c r="BE19" s="16"/>
      <c r="BF19" s="107">
        <f>BF9/AZ9-1</f>
        <v>4.7262473213854905E-2</v>
      </c>
      <c r="BG19" s="107">
        <f>BG9/BA9-1</f>
        <v>4.7249971877159513E-2</v>
      </c>
      <c r="BH19" s="107">
        <f>BH9/BB9-1</f>
        <v>4.7140929061779024E-2</v>
      </c>
      <c r="BI19" s="107">
        <f>BI9/BC9-1</f>
        <v>4.6918490955087488E-2</v>
      </c>
      <c r="BJ19" s="107">
        <f>BJ9/BD9-1</f>
        <v>4.7139289908539439E-2</v>
      </c>
      <c r="BK19" s="16"/>
      <c r="BL19" s="107">
        <f>BL9/BF9-1</f>
        <v>4.0882711884479228E-2</v>
      </c>
      <c r="BM19" s="107">
        <f>BM9/BG9-1</f>
        <v>4.1106522812756285E-2</v>
      </c>
      <c r="BN19" s="107">
        <f>BN9/BH9-1</f>
        <v>4.0994579525086117E-2</v>
      </c>
      <c r="BO19" s="107">
        <f>BO9/BI9-1</f>
        <v>4.1229443286203482E-2</v>
      </c>
      <c r="BP19" s="107">
        <f>BP9/BJ9-1</f>
        <v>4.105767968170615E-2</v>
      </c>
      <c r="BQ19" s="16"/>
      <c r="BR19" s="107">
        <f>BR9/BL9-1</f>
        <v>4.0951229043203696E-2</v>
      </c>
      <c r="BS19" s="107">
        <f>BS9/BM9-1</f>
        <v>4.1175115343144331E-2</v>
      </c>
      <c r="BT19" s="107">
        <f>BT9/BN9-1</f>
        <v>4.1063213581539193E-2</v>
      </c>
      <c r="BU19" s="107">
        <f>BU9/BO9-1</f>
        <v>4.1302437546609561E-2</v>
      </c>
      <c r="BV19" s="107">
        <f>BV9/BP9-1</f>
        <v>4.1127429009476524E-2</v>
      </c>
      <c r="BW19" s="16"/>
      <c r="BX19" s="107">
        <f>BX9/BR9-1</f>
        <v>4.101949966914753E-2</v>
      </c>
      <c r="BY19" s="107">
        <f>BY9/BS9-1</f>
        <v>4.1243436445422388E-2</v>
      </c>
      <c r="BZ19" s="107">
        <f>BZ9/BT9-1</f>
        <v>4.1131574100899515E-2</v>
      </c>
      <c r="CA19" s="107">
        <f>CA9/BU9-1</f>
        <v>4.1375056219449702E-2</v>
      </c>
      <c r="CB19" s="107">
        <f>CB9/BV9-1</f>
        <v>4.1196885682379669E-2</v>
      </c>
      <c r="CC19" s="16"/>
      <c r="CD19" s="107">
        <f>CD9/BX9-1</f>
        <v>4.1087520047068837E-2</v>
      </c>
      <c r="CE19" s="107">
        <f>CE9/BY9-1</f>
        <v>4.1311482584499126E-2</v>
      </c>
      <c r="CF19" s="107">
        <f>CF9/BZ9-1</f>
        <v>4.1199657772132747E-2</v>
      </c>
      <c r="CG19" s="107">
        <f>CG9/CA9-1</f>
        <v>4.144729636494815E-2</v>
      </c>
      <c r="CH19" s="107">
        <f>CH9/CB9-1</f>
        <v>4.1266046322080419E-2</v>
      </c>
      <c r="CI19" s="16"/>
      <c r="CJ19" s="107">
        <f>CJ9/CD9-1</f>
        <v>4.1155286522658097E-2</v>
      </c>
      <c r="CK19" s="107">
        <f>CK9/CE9-1</f>
        <v>4.1379250293559267E-2</v>
      </c>
      <c r="CL19" s="107">
        <f>CL9/CF9-1</f>
        <v>4.1267461350085188E-2</v>
      </c>
      <c r="CM19" s="107">
        <f>CM9/CG9-1</f>
        <v>4.1519155142908826E-2</v>
      </c>
      <c r="CN19" s="107">
        <f>CN9/CH9-1</f>
        <v>4.1334907623628903E-2</v>
      </c>
    </row>
    <row r="20" spans="2:92" ht="12.95" customHeight="1" x14ac:dyDescent="0.25">
      <c r="D20" s="1"/>
      <c r="E20" s="1"/>
      <c r="F20" s="1"/>
      <c r="G20" s="1"/>
      <c r="H20" s="1"/>
      <c r="I20" s="1"/>
      <c r="P20" s="9"/>
      <c r="Q20" s="9"/>
      <c r="R20" s="9"/>
      <c r="S20" s="9"/>
      <c r="T20" s="9"/>
      <c r="V20" s="9"/>
      <c r="W20" s="9"/>
      <c r="X20" s="9"/>
      <c r="Y20" s="9"/>
      <c r="Z20" s="9"/>
      <c r="AA20" s="10"/>
      <c r="AB20" s="9"/>
      <c r="AC20" s="9"/>
      <c r="AD20" s="9"/>
      <c r="AE20" s="9"/>
      <c r="AF20" s="9"/>
      <c r="AH20" s="9"/>
      <c r="AI20" s="9"/>
      <c r="AJ20" s="9"/>
      <c r="AK20" s="9"/>
      <c r="AL20" s="9"/>
      <c r="AN20" s="9"/>
      <c r="AO20" s="241"/>
      <c r="AP20" s="9"/>
      <c r="AQ20" s="241"/>
      <c r="AR20" s="241"/>
      <c r="AT20" s="9"/>
      <c r="AU20" s="241"/>
      <c r="AV20" s="241"/>
      <c r="AW20" s="160"/>
      <c r="AX20" s="241"/>
      <c r="AZ20" s="9"/>
      <c r="BA20" s="241"/>
      <c r="BB20" s="9"/>
      <c r="BC20" s="241"/>
      <c r="BD20" s="241"/>
      <c r="BF20" s="9"/>
      <c r="BG20" s="241"/>
      <c r="BH20" s="9"/>
      <c r="BI20" s="241"/>
      <c r="BJ20" s="241"/>
      <c r="BL20" s="9"/>
      <c r="BM20" s="241"/>
      <c r="BN20" s="9"/>
      <c r="BO20" s="241"/>
      <c r="BP20" s="241"/>
      <c r="BR20" s="9"/>
      <c r="BS20" s="241"/>
      <c r="BT20" s="9"/>
      <c r="BU20" s="241"/>
      <c r="BV20" s="241"/>
      <c r="BX20" s="9"/>
      <c r="BY20" s="241"/>
      <c r="BZ20" s="9"/>
      <c r="CA20" s="241"/>
      <c r="CB20" s="241"/>
      <c r="CD20" s="9"/>
      <c r="CE20" s="241"/>
      <c r="CF20" s="9"/>
      <c r="CG20" s="241"/>
      <c r="CH20" s="241"/>
      <c r="CJ20" s="9"/>
      <c r="CK20" s="241"/>
      <c r="CL20" s="9"/>
      <c r="CM20" s="241"/>
      <c r="CN20" s="241"/>
    </row>
    <row r="21" spans="2:92" ht="12.95" customHeight="1" x14ac:dyDescent="0.25">
      <c r="B21" s="2" t="s">
        <v>143</v>
      </c>
      <c r="D21" s="71">
        <f>'Business Build-up'!D15</f>
        <v>6801</v>
      </c>
      <c r="E21" s="71">
        <f>'Business Build-up'!E15</f>
        <v>7816</v>
      </c>
      <c r="F21" s="71">
        <f>'Business Build-up'!F15</f>
        <v>7678</v>
      </c>
      <c r="G21" s="71">
        <f>'Business Build-up'!G15</f>
        <v>8965</v>
      </c>
      <c r="H21" s="71">
        <f>'Business Build-up'!H15</f>
        <v>31260</v>
      </c>
      <c r="I21" s="1"/>
      <c r="J21" s="71">
        <f>'Business Build-up'!J15</f>
        <v>8566</v>
      </c>
      <c r="K21" s="71">
        <f>'Business Build-up'!K15</f>
        <v>9422</v>
      </c>
      <c r="L21" s="71">
        <f>'Business Build-up'!L15</f>
        <v>9022</v>
      </c>
      <c r="M21" s="71">
        <f>'Business Build-up'!M15</f>
        <v>9987</v>
      </c>
      <c r="N21" s="71">
        <f>'Business Build-up'!N15</f>
        <v>36997</v>
      </c>
      <c r="O21" s="1"/>
      <c r="P21" s="71">
        <f>'Business Build-up'!P15</f>
        <v>9003</v>
      </c>
      <c r="Q21" s="71">
        <f>'Business Build-up'!Q15</f>
        <v>9941</v>
      </c>
      <c r="R21" s="71">
        <f>'Business Build-up'!R15</f>
        <v>8569</v>
      </c>
      <c r="S21" s="71">
        <f>'Business Build-up'!S15</f>
        <v>9117</v>
      </c>
      <c r="T21" s="71">
        <f>'Business Build-up'!T15</f>
        <v>36630</v>
      </c>
      <c r="U21" s="71"/>
      <c r="V21" s="71">
        <f>'Business Build-up'!V15</f>
        <v>7266</v>
      </c>
      <c r="W21" s="71">
        <f>'Business Build-up'!W15</f>
        <v>7113</v>
      </c>
      <c r="X21" s="71">
        <f>'Business Build-up'!X15</f>
        <v>6919</v>
      </c>
      <c r="Y21" s="71">
        <f>'Business Build-up'!Y15</f>
        <v>7784</v>
      </c>
      <c r="Z21" s="71">
        <f>'Business Build-up'!Z15</f>
        <v>29082</v>
      </c>
      <c r="AA21" s="71"/>
      <c r="AB21" s="71">
        <f>'Business Build-up'!AB15</f>
        <v>8012</v>
      </c>
      <c r="AC21" s="71">
        <f>'Business Build-up'!AC15</f>
        <v>8881</v>
      </c>
      <c r="AD21" s="71">
        <f>'Business Build-up'!AD15</f>
        <v>8617</v>
      </c>
      <c r="AE21" s="71">
        <f>'Business Build-up'!AE15</f>
        <v>10003</v>
      </c>
      <c r="AF21" s="71">
        <f>'Business Build-up'!AF15</f>
        <v>35513</v>
      </c>
      <c r="AG21" s="1"/>
      <c r="AH21" s="71">
        <f>'Business Build-up'!AH15</f>
        <v>9559</v>
      </c>
      <c r="AI21" s="71">
        <f>'Business Build-up'!AI15</f>
        <v>9975</v>
      </c>
      <c r="AJ21" s="71">
        <f>'Business Build-up'!AJ15</f>
        <v>10202</v>
      </c>
      <c r="AK21" s="71">
        <f>'Business Build-up'!AK15</f>
        <v>11614</v>
      </c>
      <c r="AL21" s="71">
        <f>'Business Build-up'!AL15</f>
        <v>41350</v>
      </c>
      <c r="AN21" s="71">
        <f>'Business Build-up'!AN15</f>
        <v>10103</v>
      </c>
      <c r="AO21" s="236">
        <f>'Business Build-up'!AO15</f>
        <v>11065</v>
      </c>
      <c r="AP21" s="71">
        <f>'Business Build-up'!AP15</f>
        <v>10583</v>
      </c>
      <c r="AQ21" s="236">
        <f>'Business Build-up'!AQ15</f>
        <v>11016</v>
      </c>
      <c r="AR21" s="236">
        <f>'Business Build-up'!AR15</f>
        <v>42767</v>
      </c>
      <c r="AT21" s="71">
        <f>'Business Build-up'!AT15</f>
        <v>9662</v>
      </c>
      <c r="AU21" s="236">
        <f>'Business Build-up'!AU15</f>
        <v>10150</v>
      </c>
      <c r="AV21" s="236">
        <f>'Business Build-up'!AV15</f>
        <v>10066</v>
      </c>
      <c r="AW21" s="595">
        <f>'Business Build-up'!AW15</f>
        <v>10650.102412306773</v>
      </c>
      <c r="AX21" s="236">
        <f>'Business Build-up'!AX15</f>
        <v>40528.102412306769</v>
      </c>
      <c r="AZ21" s="71">
        <f>'Business Build-up'!AZ15</f>
        <v>9611.837298268174</v>
      </c>
      <c r="BA21" s="236">
        <f>'Business Build-up'!BA15</f>
        <v>9971.0437799582924</v>
      </c>
      <c r="BB21" s="71">
        <f>'Business Build-up'!BB15</f>
        <v>10202.696346963145</v>
      </c>
      <c r="BC21" s="236">
        <f>'Business Build-up'!BC15</f>
        <v>10781.065049390449</v>
      </c>
      <c r="BD21" s="236">
        <f>'Business Build-up'!BD15</f>
        <v>40566.642474580061</v>
      </c>
      <c r="BF21" s="71">
        <f>'Business Build-up'!BF15</f>
        <v>9955.9623794386225</v>
      </c>
      <c r="BG21" s="236">
        <f>'Business Build-up'!BG15</f>
        <v>10324.0297321696</v>
      </c>
      <c r="BH21" s="71">
        <f>'Business Build-up'!BH15</f>
        <v>10556.059477375626</v>
      </c>
      <c r="BI21" s="236">
        <f>'Business Build-up'!BI15</f>
        <v>11151.237000587662</v>
      </c>
      <c r="BJ21" s="236">
        <f>'Business Build-up'!BJ15</f>
        <v>41987.288589571508</v>
      </c>
      <c r="BL21" s="71">
        <f>'Business Build-up'!BL15</f>
        <v>10310.133362265897</v>
      </c>
      <c r="BM21" s="236">
        <f>'Business Build-up'!BM15</f>
        <v>10692.062905349954</v>
      </c>
      <c r="BN21" s="71">
        <f>'Business Build-up'!BN15</f>
        <v>10923.020231628063</v>
      </c>
      <c r="BO21" s="236">
        <f>'Business Build-up'!BO15</f>
        <v>11540.477532772316</v>
      </c>
      <c r="BP21" s="236">
        <f>'Business Build-up'!BP15</f>
        <v>43465.694032016239</v>
      </c>
      <c r="BR21" s="71">
        <f>'Business Build-up'!BR15</f>
        <v>10676.276700935532</v>
      </c>
      <c r="BS21" s="236">
        <f>'Business Build-up'!BS15</f>
        <v>11072.537073057392</v>
      </c>
      <c r="BT21" s="71">
        <f>'Business Build-up'!BT15</f>
        <v>11302.234902120617</v>
      </c>
      <c r="BU21" s="236">
        <f>'Business Build-up'!BU15</f>
        <v>11943.128777498107</v>
      </c>
      <c r="BV21" s="236">
        <f>'Business Build-up'!BV15</f>
        <v>44994.177453611665</v>
      </c>
      <c r="BX21" s="71">
        <f>'Business Build-up'!BX15</f>
        <v>11058.352058725262</v>
      </c>
      <c r="BY21" s="236">
        <f>'Business Build-up'!BY15</f>
        <v>11469.660143544217</v>
      </c>
      <c r="BZ21" s="71">
        <f>'Business Build-up'!BZ15</f>
        <v>11697.990410777955</v>
      </c>
      <c r="CA21" s="236">
        <f>'Business Build-up'!CA15</f>
        <v>12363.463542998747</v>
      </c>
      <c r="CB21" s="236">
        <f>'Business Build-up'!CB15</f>
        <v>46589.46615604619</v>
      </c>
      <c r="CD21" s="71">
        <f>'Business Build-up'!CD15</f>
        <v>11457.075195928333</v>
      </c>
      <c r="CE21" s="236">
        <f>'Business Build-up'!CE15</f>
        <v>11884.18375468623</v>
      </c>
      <c r="CF21" s="71">
        <f>'Business Build-up'!CF15</f>
        <v>12111.031387984773</v>
      </c>
      <c r="CG21" s="236">
        <f>'Business Build-up'!CG15</f>
        <v>12802.283591860541</v>
      </c>
      <c r="CH21" s="236">
        <f>'Business Build-up'!CH15</f>
        <v>48254.573930459876</v>
      </c>
      <c r="CJ21" s="71">
        <f>'Business Build-up'!CJ15</f>
        <v>11867.554945661235</v>
      </c>
      <c r="CK21" s="236">
        <f>'Business Build-up'!CK15</f>
        <v>12311.181119409501</v>
      </c>
      <c r="CL21" s="71">
        <f>'Business Build-up'!CL15</f>
        <v>12536.252440166285</v>
      </c>
      <c r="CM21" s="236">
        <f>'Business Build-up'!CM15</f>
        <v>13254.540268574194</v>
      </c>
      <c r="CN21" s="236">
        <f>'Business Build-up'!CN15</f>
        <v>49969.528773811224</v>
      </c>
    </row>
    <row r="22" spans="2:92" ht="12.95" customHeight="1" x14ac:dyDescent="0.25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1"/>
      <c r="AH22" s="71"/>
      <c r="AI22" s="71"/>
      <c r="AJ22" s="71"/>
      <c r="AK22" s="71"/>
      <c r="AL22" s="71"/>
      <c r="AN22" s="71"/>
      <c r="AO22" s="236"/>
      <c r="AP22" s="71"/>
      <c r="AQ22" s="236"/>
      <c r="AR22" s="236"/>
      <c r="AT22" s="71"/>
      <c r="AU22" s="236"/>
      <c r="AV22" s="236"/>
      <c r="AW22" s="595"/>
      <c r="AX22" s="236"/>
      <c r="AZ22" s="71"/>
      <c r="BA22" s="236"/>
      <c r="BB22" s="71"/>
      <c r="BC22" s="236"/>
      <c r="BD22" s="236"/>
      <c r="BF22" s="71"/>
      <c r="BG22" s="236"/>
      <c r="BH22" s="71"/>
      <c r="BI22" s="236"/>
      <c r="BJ22" s="236"/>
      <c r="BL22" s="71"/>
      <c r="BM22" s="236"/>
      <c r="BN22" s="71"/>
      <c r="BO22" s="236"/>
      <c r="BP22" s="236"/>
      <c r="BR22" s="71"/>
      <c r="BS22" s="236"/>
      <c r="BT22" s="71"/>
      <c r="BU22" s="236"/>
      <c r="BV22" s="236"/>
      <c r="BX22" s="71"/>
      <c r="BY22" s="236"/>
      <c r="BZ22" s="71"/>
      <c r="CA22" s="236"/>
      <c r="CB22" s="236"/>
      <c r="CD22" s="71"/>
      <c r="CE22" s="236"/>
      <c r="CF22" s="71"/>
      <c r="CG22" s="236"/>
      <c r="CH22" s="236"/>
      <c r="CJ22" s="71"/>
      <c r="CK22" s="236"/>
      <c r="CL22" s="71"/>
      <c r="CM22" s="236"/>
      <c r="CN22" s="236"/>
    </row>
    <row r="23" spans="2:92" ht="12.95" customHeight="1" x14ac:dyDescent="0.25">
      <c r="B23" s="19" t="s">
        <v>135</v>
      </c>
      <c r="C23" s="19"/>
      <c r="D23" s="113">
        <f>D9-D21</f>
        <v>3021</v>
      </c>
      <c r="E23" s="113">
        <f>E9-E21</f>
        <v>3515</v>
      </c>
      <c r="F23" s="113">
        <f>F9-F21</f>
        <v>3735</v>
      </c>
      <c r="G23" s="113">
        <f>G9-G21</f>
        <v>3931</v>
      </c>
      <c r="H23" s="113">
        <f>H9-H21</f>
        <v>14202</v>
      </c>
      <c r="I23" s="112"/>
      <c r="J23" s="113">
        <f>J9-J21</f>
        <v>4293</v>
      </c>
      <c r="K23" s="113">
        <f>K9-K21</f>
        <v>4589</v>
      </c>
      <c r="L23" s="113">
        <f>L9-L21</f>
        <v>4488</v>
      </c>
      <c r="M23" s="113">
        <f>M9-M21</f>
        <v>4355</v>
      </c>
      <c r="N23" s="113">
        <f>N9-N21</f>
        <v>17725</v>
      </c>
      <c r="O23" s="112"/>
      <c r="P23" s="113">
        <f>P9-P21</f>
        <v>4463</v>
      </c>
      <c r="Q23" s="113">
        <f>Q9-Q21</f>
        <v>4491</v>
      </c>
      <c r="R23" s="113">
        <f>R9-R21</f>
        <v>4189</v>
      </c>
      <c r="S23" s="113">
        <f>S9-S21</f>
        <v>4027</v>
      </c>
      <c r="T23" s="113">
        <f>T9-T21</f>
        <v>17170</v>
      </c>
      <c r="U23" s="113"/>
      <c r="V23" s="113">
        <f>V9-V21</f>
        <v>3369</v>
      </c>
      <c r="W23" s="113">
        <f>W9-W21</f>
        <v>2884</v>
      </c>
      <c r="X23" s="113">
        <f>X9-X21</f>
        <v>2962</v>
      </c>
      <c r="Y23" s="113">
        <f>Y9-Y21</f>
        <v>3451</v>
      </c>
      <c r="Z23" s="113">
        <f>Z9-Z21</f>
        <v>12666</v>
      </c>
      <c r="AA23" s="113"/>
      <c r="AB23" s="113">
        <f>AB9-AB21</f>
        <v>3875</v>
      </c>
      <c r="AC23" s="113">
        <f>AC9-AC21</f>
        <v>4008</v>
      </c>
      <c r="AD23" s="113">
        <f>AD9-AD21</f>
        <v>3780</v>
      </c>
      <c r="AE23" s="113">
        <f>AE9-AE21</f>
        <v>3795</v>
      </c>
      <c r="AF23" s="113">
        <f>AF9-AF21</f>
        <v>15458</v>
      </c>
      <c r="AG23" s="112"/>
      <c r="AH23" s="113">
        <f>AH9-AH21</f>
        <v>4030</v>
      </c>
      <c r="AI23" s="113">
        <f>AI9-AI21</f>
        <v>4272</v>
      </c>
      <c r="AJ23" s="113">
        <f>AJ9-AJ21</f>
        <v>4792</v>
      </c>
      <c r="AK23" s="113">
        <f>AK9-AK21</f>
        <v>4983</v>
      </c>
      <c r="AL23" s="113">
        <f>AL9-AL21</f>
        <v>18077</v>
      </c>
      <c r="AM23" s="19"/>
      <c r="AN23" s="113">
        <f>AN9-AN21</f>
        <v>5759</v>
      </c>
      <c r="AO23" s="113">
        <f>AO9-AO21</f>
        <v>6253</v>
      </c>
      <c r="AP23" s="113">
        <f>AP9-AP21</f>
        <v>6227</v>
      </c>
      <c r="AQ23" s="113">
        <f>AQ9-AQ21</f>
        <v>6054</v>
      </c>
      <c r="AR23" s="113">
        <f>AR9-AR21</f>
        <v>24293</v>
      </c>
      <c r="AS23" s="19"/>
      <c r="AT23" s="113">
        <f>AT9-AT21</f>
        <v>6137</v>
      </c>
      <c r="AU23" s="113">
        <f>AU9-AU21</f>
        <v>6539</v>
      </c>
      <c r="AV23" s="113">
        <f>AV9-AV21</f>
        <v>6040</v>
      </c>
      <c r="AW23" s="599">
        <f>AW9-AW21</f>
        <v>6037.1475876932273</v>
      </c>
      <c r="AX23" s="113">
        <f>AX9-AX21</f>
        <v>24753.147587693231</v>
      </c>
      <c r="AY23" s="19"/>
      <c r="AZ23" s="113">
        <f>AZ9-AZ21</f>
        <v>5782.2127017318289</v>
      </c>
      <c r="BA23" s="113">
        <f>BA9-BA21</f>
        <v>6477.1562200417084</v>
      </c>
      <c r="BB23" s="113">
        <f>BB9-BB21</f>
        <v>5979.1936530368548</v>
      </c>
      <c r="BC23" s="113">
        <f>BC9-BC21</f>
        <v>6172.5194506095522</v>
      </c>
      <c r="BD23" s="113">
        <f>BD9-BD21</f>
        <v>24411.082025419943</v>
      </c>
      <c r="BE23" s="19"/>
      <c r="BF23" s="113">
        <f>BF9-BF21</f>
        <v>6165.6484963391249</v>
      </c>
      <c r="BG23" s="113">
        <f>BG9-BG21</f>
        <v>6901.3472552602962</v>
      </c>
      <c r="BH23" s="113">
        <f>BH9-BH21</f>
        <v>6388.6598511998836</v>
      </c>
      <c r="BI23" s="113">
        <f>BI9-BI21</f>
        <v>6597.7841004319016</v>
      </c>
      <c r="BJ23" s="113">
        <f>BJ9-BJ21</f>
        <v>26053.439703231204</v>
      </c>
      <c r="BK23" s="19"/>
      <c r="BL23" s="113">
        <f>BL9-BL21</f>
        <v>6470.5726860599607</v>
      </c>
      <c r="BM23" s="113">
        <f>BM9-BM21</f>
        <v>7241.3894341720552</v>
      </c>
      <c r="BN23" s="113">
        <f>BN9-BN21</f>
        <v>6716.3407409930005</v>
      </c>
      <c r="BO23" s="113">
        <f>BO9-BO21</f>
        <v>6940.3258271173636</v>
      </c>
      <c r="BP23" s="113">
        <f>BP9-BP21</f>
        <v>27368.628688342375</v>
      </c>
      <c r="BQ23" s="19"/>
      <c r="BR23" s="113">
        <f>BR9-BR21</f>
        <v>6791.6198842819922</v>
      </c>
      <c r="BS23" s="113">
        <f>BS9-BS21</f>
        <v>7599.3272350452171</v>
      </c>
      <c r="BT23" s="113">
        <f>BT9-BT21</f>
        <v>7061.4549175610518</v>
      </c>
      <c r="BU23" s="113">
        <f>BU9-BU21</f>
        <v>7300.9768089745885</v>
      </c>
      <c r="BV23" s="113">
        <f>BV9-BV21</f>
        <v>28753.378845862848</v>
      </c>
      <c r="BW23" s="19"/>
      <c r="BX23" s="113">
        <f>BX9-BX21</f>
        <v>7126.0689046902935</v>
      </c>
      <c r="BY23" s="113">
        <f>BY9-BY21</f>
        <v>7972.2960134671739</v>
      </c>
      <c r="BZ23" s="113">
        <f>BZ9-BZ21</f>
        <v>7421.0268774878859</v>
      </c>
      <c r="CA23" s="113">
        <f>CA9-CA21</f>
        <v>7676.8679940072834</v>
      </c>
      <c r="CB23" s="113">
        <f>CB9-CB21</f>
        <v>30196.259789652635</v>
      </c>
      <c r="CC23" s="19"/>
      <c r="CD23" s="113">
        <f>CD9-CD21</f>
        <v>7474.4985283658971</v>
      </c>
      <c r="CE23" s="113">
        <f>CE9-CE21</f>
        <v>8360.9484355141321</v>
      </c>
      <c r="CF23" s="113">
        <f>CF9-CF21</f>
        <v>7795.68286949711</v>
      </c>
      <c r="CG23" s="113">
        <f>CG9-CG21</f>
        <v>8068.6655056115924</v>
      </c>
      <c r="CH23" s="113">
        <f>CH9-CH21</f>
        <v>31699.795338988733</v>
      </c>
      <c r="CI23" s="19"/>
      <c r="CJ23" s="113">
        <f>CJ9-CJ21</f>
        <v>7843.1531195811513</v>
      </c>
      <c r="CK23" s="113">
        <f>CK9-CK21</f>
        <v>8771.6794629153537</v>
      </c>
      <c r="CL23" s="113">
        <f>CL9-CL21</f>
        <v>8191.9613785434231</v>
      </c>
      <c r="CM23" s="113">
        <f>CM9-CM21</f>
        <v>8482.953002455637</v>
      </c>
      <c r="CN23" s="113">
        <f>CN9-CN21</f>
        <v>33289.746963495563</v>
      </c>
    </row>
    <row r="24" spans="2:92" ht="12.95" customHeight="1" x14ac:dyDescent="0.25">
      <c r="B24" s="14" t="s">
        <v>136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67">
        <f>P23/P9</f>
        <v>0.33142729838110796</v>
      </c>
      <c r="Q24" s="67">
        <f>Q23/Q9</f>
        <v>0.31118348115299332</v>
      </c>
      <c r="R24" s="67">
        <f>R23/R9</f>
        <v>0.32834300047029313</v>
      </c>
      <c r="S24" s="67">
        <f>S23/S9</f>
        <v>0.30637553256238587</v>
      </c>
      <c r="T24" s="67">
        <f>T23/T9</f>
        <v>0.31914498141263942</v>
      </c>
      <c r="U24" s="71"/>
      <c r="V24" s="67">
        <f>V23/V9</f>
        <v>0.3167842031029619</v>
      </c>
      <c r="W24" s="67">
        <f>W23/W9</f>
        <v>0.28848654596378914</v>
      </c>
      <c r="X24" s="67">
        <f>X23/X9</f>
        <v>0.2997672300374456</v>
      </c>
      <c r="Y24" s="67">
        <f>Y23/Y9</f>
        <v>0.30716510903426791</v>
      </c>
      <c r="Z24" s="67">
        <f>Z23/Z9</f>
        <v>0.30339177924691002</v>
      </c>
      <c r="AA24" s="71"/>
      <c r="AB24" s="67">
        <f>AB23/AB9</f>
        <v>0.32598637166652644</v>
      </c>
      <c r="AC24" s="67">
        <f>AC23/AC9</f>
        <v>0.3109628365272713</v>
      </c>
      <c r="AD24" s="67">
        <f>AD23/AD9</f>
        <v>0.3049124788255223</v>
      </c>
      <c r="AE24" s="67">
        <f>AE23/AE9</f>
        <v>0.27503986084939847</v>
      </c>
      <c r="AF24" s="67">
        <f>AF23/AF$9</f>
        <v>0.30327048713974614</v>
      </c>
      <c r="AG24" s="9"/>
      <c r="AH24" s="67">
        <f>AH23/AH9</f>
        <v>0.29656339686511146</v>
      </c>
      <c r="AI24" s="67">
        <f>AI23/AI9</f>
        <v>0.29985260054748369</v>
      </c>
      <c r="AJ24" s="67">
        <f>AJ23/AJ9</f>
        <v>0.31959450446845405</v>
      </c>
      <c r="AK24" s="67">
        <f>AK23/AK9</f>
        <v>0.30023498222570344</v>
      </c>
      <c r="AL24" s="67">
        <f>AL23/AL9</f>
        <v>0.30418833190300704</v>
      </c>
      <c r="AM24" s="9"/>
      <c r="AN24" s="67">
        <f>AN23/AN9</f>
        <v>0.36306896986508636</v>
      </c>
      <c r="AO24" s="239">
        <f>AO23/AO9</f>
        <v>0.36106940755283518</v>
      </c>
      <c r="AP24" s="67">
        <f>AP23/AP9</f>
        <v>0.37043426531826296</v>
      </c>
      <c r="AQ24" s="239">
        <f>AQ23/AQ9</f>
        <v>0.3546572934973638</v>
      </c>
      <c r="AR24" s="239">
        <f>AR23/AR9</f>
        <v>0.36225767968983003</v>
      </c>
      <c r="AS24" s="9"/>
      <c r="AT24" s="67">
        <f>AT23/AT9</f>
        <v>0.38844230647509337</v>
      </c>
      <c r="AU24" s="239">
        <f>AU23/AU9</f>
        <v>0.39181496794295645</v>
      </c>
      <c r="AV24" s="239">
        <f>AV23/AV9</f>
        <v>0.37501552216565254</v>
      </c>
      <c r="AW24" s="351">
        <f>AW23/AW9</f>
        <v>0.36178205442437955</v>
      </c>
      <c r="AX24" s="239">
        <f>AX23/AX9</f>
        <v>0.37917698554628215</v>
      </c>
      <c r="AY24" s="9"/>
      <c r="AZ24" s="67">
        <f>AZ23/AZ9</f>
        <v>0.37561348064556294</v>
      </c>
      <c r="BA24" s="239">
        <f>BA23/BA9</f>
        <v>0.39379118809606573</v>
      </c>
      <c r="BB24" s="67">
        <f>BB23/BB9</f>
        <v>0.36949909145574805</v>
      </c>
      <c r="BC24" s="239">
        <f>BC23/BC9</f>
        <v>0.36408344504429441</v>
      </c>
      <c r="BD24" s="239">
        <f>BD23/BD9</f>
        <v>0.3756838549404718</v>
      </c>
      <c r="BE24" s="9"/>
      <c r="BF24" s="67">
        <f>BF23/BF9</f>
        <v>0.38244618009003262</v>
      </c>
      <c r="BG24" s="239">
        <f>BG23/BG9</f>
        <v>0.4006499979824249</v>
      </c>
      <c r="BH24" s="67">
        <f>BH23/BH9</f>
        <v>0.37702954692356999</v>
      </c>
      <c r="BI24" s="239">
        <f>BI23/BI9</f>
        <v>0.37172664694465335</v>
      </c>
      <c r="BJ24" s="239">
        <f>BJ23/BJ9</f>
        <v>0.38290947726359237</v>
      </c>
      <c r="BK24" s="9"/>
      <c r="BL24" s="67">
        <f>BL23/BL9</f>
        <v>0.38559597357975905</v>
      </c>
      <c r="BM24" s="239">
        <f>BM23/BM9</f>
        <v>0.40379227028213488</v>
      </c>
      <c r="BN24" s="67">
        <f>BN23/BN9</f>
        <v>0.38075873334741378</v>
      </c>
      <c r="BO24" s="239">
        <f>BO23/BO9</f>
        <v>0.37554243135233456</v>
      </c>
      <c r="BP24" s="239">
        <f>BP23/BP9</f>
        <v>0.38637524348738228</v>
      </c>
      <c r="BQ24" s="9"/>
      <c r="BR24" s="67">
        <f>BR23/BR9</f>
        <v>0.3888058216482404</v>
      </c>
      <c r="BS24" s="239">
        <f>BS23/BS9</f>
        <v>0.4069934908292745</v>
      </c>
      <c r="BT24" s="67">
        <f>BT23/BT9</f>
        <v>0.38453355436186848</v>
      </c>
      <c r="BU24" s="239">
        <f>BU23/BU9</f>
        <v>0.37938769230754382</v>
      </c>
      <c r="BV24" s="239">
        <f>BV23/BV9</f>
        <v>0.38988924228351318</v>
      </c>
      <c r="BW24" s="9"/>
      <c r="BX24" s="67">
        <f>BX23/BX9</f>
        <v>0.39187769129558325</v>
      </c>
      <c r="BY24" s="239">
        <f>BY23/BY9</f>
        <v>0.41005626949694096</v>
      </c>
      <c r="BZ24" s="67">
        <f>BZ23/BZ9</f>
        <v>0.38814897050396452</v>
      </c>
      <c r="CA24" s="239">
        <f>CA23/CA9</f>
        <v>0.38307090777571967</v>
      </c>
      <c r="CB24" s="239">
        <f>CB23/CB9</f>
        <v>0.39325355614931301</v>
      </c>
      <c r="CC24" s="9"/>
      <c r="CD24" s="67">
        <f>CD23/CD9</f>
        <v>0.39481654495390062</v>
      </c>
      <c r="CE24" s="239">
        <f>CE23/CE9</f>
        <v>0.41298561831872066</v>
      </c>
      <c r="CF24" s="67">
        <f>CF23/CF9</f>
        <v>0.39161072835348126</v>
      </c>
      <c r="CG24" s="239">
        <f>CG23/CG9</f>
        <v>0.38659791981328057</v>
      </c>
      <c r="CH24" s="239">
        <f>CH23/CH9</f>
        <v>0.39647358397837495</v>
      </c>
      <c r="CI24" s="9"/>
      <c r="CJ24" s="67">
        <f>CJ23/CJ9</f>
        <v>0.39791331156751636</v>
      </c>
      <c r="CK24" s="239">
        <f>CK23/CK9</f>
        <v>0.41605736700973245</v>
      </c>
      <c r="CL24" s="67">
        <f>CL23/CL9</f>
        <v>0.39520826300764961</v>
      </c>
      <c r="CM24" s="239">
        <f>CM23/CM9</f>
        <v>0.39024522729863736</v>
      </c>
      <c r="CN24" s="239">
        <f>CN23/CN9</f>
        <v>0.39983229098135314</v>
      </c>
    </row>
    <row r="25" spans="2:92" ht="12.95" customHeight="1" x14ac:dyDescent="0.25">
      <c r="B25" s="2" t="str">
        <f>'Business Build-up'!B21</f>
        <v>SG&amp;A ($mm)</v>
      </c>
      <c r="D25" s="71">
        <f>'Business Build-up'!D21</f>
        <v>1061</v>
      </c>
      <c r="E25" s="71">
        <f>'Business Build-up'!E21</f>
        <v>1304</v>
      </c>
      <c r="F25" s="71">
        <f>'Business Build-up'!F21</f>
        <v>1254</v>
      </c>
      <c r="G25" s="71">
        <f>'Business Build-up'!G21</f>
        <v>1380</v>
      </c>
      <c r="H25" s="71">
        <f>'Business Build-up'!H21</f>
        <v>4999</v>
      </c>
      <c r="I25" s="1"/>
      <c r="J25" s="71">
        <f>'Business Build-up'!J21</f>
        <v>1276</v>
      </c>
      <c r="K25" s="71">
        <f>'Business Build-up'!K21</f>
        <v>1440</v>
      </c>
      <c r="L25" s="71">
        <f>'Business Build-up'!L21</f>
        <v>1299</v>
      </c>
      <c r="M25" s="71">
        <f>'Business Build-up'!M21</f>
        <v>1463</v>
      </c>
      <c r="N25" s="71">
        <f>'Business Build-up'!N21</f>
        <v>5478</v>
      </c>
      <c r="O25" s="1"/>
      <c r="P25" s="71">
        <f>'Business Build-up'!P21</f>
        <v>1319</v>
      </c>
      <c r="Q25" s="71">
        <f>'Business Build-up'!Q21</f>
        <v>1309</v>
      </c>
      <c r="R25" s="71">
        <f>'Business Build-up'!R21</f>
        <v>1251</v>
      </c>
      <c r="S25" s="71">
        <f>'Business Build-up'!S21</f>
        <v>1283</v>
      </c>
      <c r="T25" s="71">
        <f>'Business Build-up'!T21</f>
        <v>5162</v>
      </c>
      <c r="U25" s="71"/>
      <c r="V25" s="71">
        <f>'Business Build-up'!V21</f>
        <v>1121</v>
      </c>
      <c r="W25" s="71">
        <f>'Business Build-up'!W21</f>
        <v>1179</v>
      </c>
      <c r="X25" s="71">
        <f>'Business Build-up'!X21</f>
        <v>1126</v>
      </c>
      <c r="Y25" s="71">
        <f>'Business Build-up'!Y21</f>
        <v>1216</v>
      </c>
      <c r="Z25" s="71">
        <f>'Business Build-up'!Z21</f>
        <v>4642</v>
      </c>
      <c r="AA25" s="71"/>
      <c r="AB25" s="71">
        <f>'Business Build-up'!AB21</f>
        <v>1239</v>
      </c>
      <c r="AC25" s="71">
        <f>'Business Build-up'!AC21</f>
        <v>1364</v>
      </c>
      <c r="AD25" s="71">
        <f>'Business Build-up'!AD21</f>
        <v>1340</v>
      </c>
      <c r="AE25" s="71">
        <f>'Business Build-up'!AE21</f>
        <v>1422</v>
      </c>
      <c r="AF25" s="71">
        <f>'Business Build-up'!AF21</f>
        <v>5365</v>
      </c>
      <c r="AG25" s="1"/>
      <c r="AH25" s="71">
        <f>'Business Build-up'!AH21</f>
        <v>1346</v>
      </c>
      <c r="AI25" s="71">
        <f>'Business Build-up'!AI21</f>
        <v>1425</v>
      </c>
      <c r="AJ25" s="71">
        <f>'Business Build-up'!AJ21</f>
        <v>1401</v>
      </c>
      <c r="AK25" s="71">
        <f>'Business Build-up'!AK21</f>
        <v>1479</v>
      </c>
      <c r="AL25" s="71">
        <f>'Business Build-up'!AL21</f>
        <v>5651</v>
      </c>
      <c r="AN25" s="71">
        <f>'Business Build-up'!AN21</f>
        <v>1463</v>
      </c>
      <c r="AO25" s="236">
        <f>'Business Build-up'!AO21</f>
        <v>1528</v>
      </c>
      <c r="AP25" s="71">
        <f>'Business Build-up'!AP21</f>
        <v>1624</v>
      </c>
      <c r="AQ25" s="236">
        <f>'Business Build-up'!AQ21</f>
        <v>1756</v>
      </c>
      <c r="AR25" s="236">
        <f>'Business Build-up'!AR21</f>
        <v>6371</v>
      </c>
      <c r="AT25" s="71">
        <f>'Business Build-up'!AT21</f>
        <v>1577</v>
      </c>
      <c r="AU25" s="236">
        <f>'Business Build-up'!AU21</f>
        <v>1652</v>
      </c>
      <c r="AV25" s="236">
        <f>'Business Build-up'!AV21</f>
        <v>1669</v>
      </c>
      <c r="AW25" s="595">
        <f>'Business Build-up'!AW21</f>
        <v>1668.7250000000001</v>
      </c>
      <c r="AX25" s="236">
        <f>'Business Build-up'!AX21</f>
        <v>6566.7250000000004</v>
      </c>
      <c r="AZ25" s="71">
        <f>'Business Build-up'!AZ21</f>
        <v>1539.4050000000004</v>
      </c>
      <c r="BA25" s="236">
        <f>'Business Build-up'!BA21</f>
        <v>1644.8200000000002</v>
      </c>
      <c r="BB25" s="71">
        <f>'Business Build-up'!BB21</f>
        <v>1618.1890000000001</v>
      </c>
      <c r="BC25" s="236">
        <f>'Business Build-up'!BC21</f>
        <v>1695.3584500000002</v>
      </c>
      <c r="BD25" s="236">
        <f>'Business Build-up'!BD21</f>
        <v>6497.7724500000004</v>
      </c>
      <c r="BF25" s="71">
        <f>'Business Build-up'!BF21</f>
        <v>1612.1610875777749</v>
      </c>
      <c r="BG25" s="236">
        <f>'Business Build-up'!BG21</f>
        <v>1722.5376987429897</v>
      </c>
      <c r="BH25" s="71">
        <f>'Business Build-up'!BH21</f>
        <v>1694.4719328575511</v>
      </c>
      <c r="BI25" s="236">
        <f>'Business Build-up'!BI21</f>
        <v>1774.9021101019564</v>
      </c>
      <c r="BJ25" s="236">
        <f>'Business Build-up'!BJ21</f>
        <v>6804.0728292802714</v>
      </c>
      <c r="BL25" s="71">
        <f>'Business Build-up'!BL21</f>
        <v>1678.0706048325858</v>
      </c>
      <c r="BM25" s="236">
        <f>'Business Build-up'!BM21</f>
        <v>1793.3452339522009</v>
      </c>
      <c r="BN25" s="71">
        <f>'Business Build-up'!BN21</f>
        <v>1763.9360972621064</v>
      </c>
      <c r="BO25" s="236">
        <f>'Business Build-up'!BO21</f>
        <v>1848.080335988968</v>
      </c>
      <c r="BP25" s="236">
        <f>'Business Build-up'!BP21</f>
        <v>7083.4322720358605</v>
      </c>
      <c r="BR25" s="71">
        <f>'Business Build-up'!BR21</f>
        <v>1746.7896585217525</v>
      </c>
      <c r="BS25" s="236">
        <f>'Business Build-up'!BS21</f>
        <v>1867.1864308102611</v>
      </c>
      <c r="BT25" s="71">
        <f>'Business Build-up'!BT21</f>
        <v>1836.368981968167</v>
      </c>
      <c r="BU25" s="236">
        <f>'Business Build-up'!BU21</f>
        <v>1924.4105586472697</v>
      </c>
      <c r="BV25" s="236">
        <f>'Business Build-up'!BV21</f>
        <v>7374.75562994745</v>
      </c>
      <c r="BX25" s="71">
        <f>'Business Build-up'!BX21</f>
        <v>1818.4420963415557</v>
      </c>
      <c r="BY25" s="236">
        <f>'Business Build-up'!BY21</f>
        <v>1944.1956157011391</v>
      </c>
      <c r="BZ25" s="71">
        <f>'Business Build-up'!BZ21</f>
        <v>1911.9017288265841</v>
      </c>
      <c r="CA25" s="236">
        <f>'Business Build-up'!CA21</f>
        <v>2004.0331537006032</v>
      </c>
      <c r="CB25" s="236">
        <f>'Business Build-up'!CB21</f>
        <v>7678.5725945698823</v>
      </c>
      <c r="CD25" s="71">
        <f>'Business Build-up'!CD21</f>
        <v>1893.157372429423</v>
      </c>
      <c r="CE25" s="236">
        <f>'Business Build-up'!CE21</f>
        <v>2024.5132190200363</v>
      </c>
      <c r="CF25" s="71">
        <f>'Business Build-up'!CF21</f>
        <v>1990.6714257481883</v>
      </c>
      <c r="CG25" s="236">
        <f>'Business Build-up'!CG21</f>
        <v>2087.0949097472135</v>
      </c>
      <c r="CH25" s="236">
        <f>'Business Build-up'!CH21</f>
        <v>7995.4369269448616</v>
      </c>
      <c r="CJ25" s="71">
        <f>'Business Build-up'!CJ21</f>
        <v>1971.0708065242388</v>
      </c>
      <c r="CK25" s="236">
        <f>'Business Build-up'!CK21</f>
        <v>2108.2860582324856</v>
      </c>
      <c r="CL25" s="71">
        <f>'Business Build-up'!CL21</f>
        <v>2072.821381870971</v>
      </c>
      <c r="CM25" s="236">
        <f>'Business Build-up'!CM21</f>
        <v>2173.749327102983</v>
      </c>
      <c r="CN25" s="236">
        <f>'Business Build-up'!CN21</f>
        <v>8325.927573730678</v>
      </c>
    </row>
    <row r="26" spans="2:92" ht="12.95" customHeight="1" x14ac:dyDescent="0.25">
      <c r="B26" s="14" t="s">
        <v>37</v>
      </c>
      <c r="D26" s="67">
        <f>D25/D$9</f>
        <v>0.10802280594583588</v>
      </c>
      <c r="E26" s="67">
        <f t="shared" ref="E26:H26" si="52">E25/E$9</f>
        <v>0.11508251698879181</v>
      </c>
      <c r="F26" s="67">
        <f t="shared" si="52"/>
        <v>0.10987470428458775</v>
      </c>
      <c r="G26" s="67">
        <f t="shared" si="52"/>
        <v>0.10700992555831265</v>
      </c>
      <c r="H26" s="67">
        <f t="shared" si="52"/>
        <v>0.10995996656548326</v>
      </c>
      <c r="I26" s="1"/>
      <c r="J26" s="67">
        <f>J25/J$9</f>
        <v>9.9230111206159113E-2</v>
      </c>
      <c r="K26" s="67">
        <f t="shared" ref="K26:N26" si="53">K25/K$9</f>
        <v>0.10277638997930198</v>
      </c>
      <c r="L26" s="67">
        <f t="shared" si="53"/>
        <v>9.6150999259807551E-2</v>
      </c>
      <c r="M26" s="67">
        <f t="shared" si="53"/>
        <v>0.10200808813275694</v>
      </c>
      <c r="N26" s="67">
        <f t="shared" si="53"/>
        <v>0.10010599027813311</v>
      </c>
      <c r="O26" s="1"/>
      <c r="P26" s="67">
        <f>P25/P$9</f>
        <v>9.7950393583840778E-2</v>
      </c>
      <c r="Q26" s="67">
        <f t="shared" ref="Q26:T26" si="54">Q25/Q$9</f>
        <v>9.0701219512195119E-2</v>
      </c>
      <c r="R26" s="67">
        <f t="shared" si="54"/>
        <v>9.8056121649161304E-2</v>
      </c>
      <c r="S26" s="67">
        <f t="shared" si="54"/>
        <v>9.7611077297626289E-2</v>
      </c>
      <c r="T26" s="67">
        <f t="shared" si="54"/>
        <v>9.5947955390334572E-2</v>
      </c>
      <c r="U26" s="71"/>
      <c r="V26" s="67">
        <f>V25/V$9</f>
        <v>0.10540667606958157</v>
      </c>
      <c r="W26" s="67">
        <f t="shared" ref="W26:Z26" si="55">W25/W$9</f>
        <v>0.11793538061418425</v>
      </c>
      <c r="X26" s="67">
        <f t="shared" si="55"/>
        <v>0.1139560773201093</v>
      </c>
      <c r="Y26" s="67">
        <f t="shared" si="55"/>
        <v>0.10823319982198487</v>
      </c>
      <c r="Z26" s="67">
        <f t="shared" si="55"/>
        <v>0.11119095525534158</v>
      </c>
      <c r="AA26" s="71"/>
      <c r="AB26" s="67">
        <f>AB25/AB$9</f>
        <v>0.10423151341801969</v>
      </c>
      <c r="AC26" s="67">
        <f t="shared" ref="AC26:AF26" si="56">AC25/AC$9</f>
        <v>0.10582667390798355</v>
      </c>
      <c r="AD26" s="67">
        <f t="shared" si="56"/>
        <v>0.10809066709687827</v>
      </c>
      <c r="AE26" s="67">
        <f t="shared" si="56"/>
        <v>0.10305841426293666</v>
      </c>
      <c r="AF26" s="67">
        <f t="shared" si="56"/>
        <v>0.10525592984245943</v>
      </c>
      <c r="AG26" s="9"/>
      <c r="AH26" s="67">
        <f>AH25/AH$9</f>
        <v>9.9050702774302751E-2</v>
      </c>
      <c r="AI26" s="67">
        <f t="shared" ref="AI26:AL26" si="57">AI25/AI$9</f>
        <v>0.10002105706464519</v>
      </c>
      <c r="AJ26" s="67">
        <f t="shared" si="57"/>
        <v>9.3437374949979987E-2</v>
      </c>
      <c r="AK26" s="67">
        <f t="shared" si="57"/>
        <v>8.9112490209073927E-2</v>
      </c>
      <c r="AL26" s="67">
        <f t="shared" si="57"/>
        <v>9.5091456745250477E-2</v>
      </c>
      <c r="AM26" s="9"/>
      <c r="AN26" s="67">
        <f>AN25/AN$9</f>
        <v>9.2233009708737865E-2</v>
      </c>
      <c r="AO26" s="239">
        <f t="shared" ref="AO26:AR26" si="58">AO25/AO$9</f>
        <v>8.8231897447742236E-2</v>
      </c>
      <c r="AP26" s="67">
        <f t="shared" si="58"/>
        <v>9.660916121356336E-2</v>
      </c>
      <c r="AQ26" s="239">
        <f t="shared" si="58"/>
        <v>0.1028705330990041</v>
      </c>
      <c r="AR26" s="239">
        <f t="shared" si="58"/>
        <v>9.5004473605726211E-2</v>
      </c>
      <c r="AS26" s="9"/>
      <c r="AT26" s="67">
        <f>AT25/AT$9</f>
        <v>9.9816444078739158E-2</v>
      </c>
      <c r="AU26" s="239">
        <f t="shared" ref="AU26:AX26" si="59">AU25/AU$9</f>
        <v>9.8987356941698121E-2</v>
      </c>
      <c r="AV26" s="239">
        <f t="shared" si="59"/>
        <v>0.10362597789643611</v>
      </c>
      <c r="AW26" s="351">
        <f t="shared" si="59"/>
        <v>0.1</v>
      </c>
      <c r="AX26" s="239">
        <f t="shared" si="59"/>
        <v>0.10059128769746291</v>
      </c>
      <c r="AY26" s="9"/>
      <c r="AZ26" s="67">
        <f>AZ25/AZ$9</f>
        <v>0.1</v>
      </c>
      <c r="BA26" s="239">
        <f t="shared" ref="BA26:BD26" si="60">BA25/BA$9</f>
        <v>0.1</v>
      </c>
      <c r="BB26" s="67">
        <f t="shared" si="60"/>
        <v>0.1</v>
      </c>
      <c r="BC26" s="239">
        <f t="shared" si="60"/>
        <v>0.1</v>
      </c>
      <c r="BD26" s="239">
        <f t="shared" si="60"/>
        <v>0.1</v>
      </c>
      <c r="BE26" s="9"/>
      <c r="BF26" s="67">
        <f>BF25/BF$9</f>
        <v>0.1</v>
      </c>
      <c r="BG26" s="239">
        <f t="shared" ref="BG26:BJ26" si="61">BG25/BG$9</f>
        <v>0.1</v>
      </c>
      <c r="BH26" s="67">
        <f t="shared" si="61"/>
        <v>0.1</v>
      </c>
      <c r="BI26" s="239">
        <f t="shared" si="61"/>
        <v>0.1</v>
      </c>
      <c r="BJ26" s="239">
        <f t="shared" si="61"/>
        <v>0.1</v>
      </c>
      <c r="BK26" s="9"/>
      <c r="BL26" s="67">
        <f>BL25/BL$9</f>
        <v>0.1</v>
      </c>
      <c r="BM26" s="239">
        <f t="shared" ref="BM26:BP26" si="62">BM25/BM$9</f>
        <v>0.1</v>
      </c>
      <c r="BN26" s="67">
        <f t="shared" si="62"/>
        <v>0.1</v>
      </c>
      <c r="BO26" s="239">
        <f t="shared" si="62"/>
        <v>0.1</v>
      </c>
      <c r="BP26" s="239">
        <f t="shared" si="62"/>
        <v>9.9999999999999992E-2</v>
      </c>
      <c r="BQ26" s="9"/>
      <c r="BR26" s="67">
        <f>BR25/BR$9</f>
        <v>0.1</v>
      </c>
      <c r="BS26" s="239">
        <f t="shared" ref="BS26:BV26" si="63">BS25/BS$9</f>
        <v>0.1</v>
      </c>
      <c r="BT26" s="67">
        <f t="shared" si="63"/>
        <v>0.1</v>
      </c>
      <c r="BU26" s="239">
        <f t="shared" si="63"/>
        <v>0.1</v>
      </c>
      <c r="BV26" s="239">
        <f t="shared" si="63"/>
        <v>9.9999999999999978E-2</v>
      </c>
      <c r="BW26" s="9"/>
      <c r="BX26" s="67">
        <f>BX25/BX$9</f>
        <v>0.1</v>
      </c>
      <c r="BY26" s="239">
        <f t="shared" ref="BY26:CB26" si="64">BY25/BY$9</f>
        <v>0.1</v>
      </c>
      <c r="BZ26" s="67">
        <f t="shared" si="64"/>
        <v>0.1</v>
      </c>
      <c r="CA26" s="239">
        <f t="shared" si="64"/>
        <v>0.1</v>
      </c>
      <c r="CB26" s="239">
        <f t="shared" si="64"/>
        <v>9.9999999999999992E-2</v>
      </c>
      <c r="CC26" s="9"/>
      <c r="CD26" s="67">
        <f>CD25/CD$9</f>
        <v>0.1</v>
      </c>
      <c r="CE26" s="239">
        <f t="shared" ref="CE26:CH26" si="65">CE25/CE$9</f>
        <v>0.1</v>
      </c>
      <c r="CF26" s="67">
        <f t="shared" si="65"/>
        <v>0.1</v>
      </c>
      <c r="CG26" s="239">
        <f t="shared" si="65"/>
        <v>0.1</v>
      </c>
      <c r="CH26" s="239">
        <f t="shared" si="65"/>
        <v>0.1</v>
      </c>
      <c r="CI26" s="9"/>
      <c r="CJ26" s="67">
        <f>CJ25/CJ$9</f>
        <v>0.1</v>
      </c>
      <c r="CK26" s="239">
        <f t="shared" ref="CK26:CN26" si="66">CK25/CK$9</f>
        <v>0.1</v>
      </c>
      <c r="CL26" s="67">
        <f t="shared" si="66"/>
        <v>0.1</v>
      </c>
      <c r="CM26" s="239">
        <f t="shared" si="66"/>
        <v>9.9999999999999992E-2</v>
      </c>
      <c r="CN26" s="239">
        <f t="shared" si="66"/>
        <v>9.9999999999999992E-2</v>
      </c>
    </row>
    <row r="27" spans="2:92" ht="12.95" customHeight="1" x14ac:dyDescent="0.25">
      <c r="B27" s="2" t="str">
        <f>'Business Build-up'!B25</f>
        <v>R&amp;D Expenses ($mm)</v>
      </c>
      <c r="D27" s="71">
        <f>'Business Build-up'!D25</f>
        <v>425</v>
      </c>
      <c r="E27" s="71">
        <f>'Business Build-up'!E25</f>
        <v>458</v>
      </c>
      <c r="F27" s="71">
        <f>'Business Build-up'!F25</f>
        <v>461</v>
      </c>
      <c r="G27" s="71">
        <f>'Business Build-up'!G25</f>
        <v>498</v>
      </c>
      <c r="H27" s="71">
        <f>'Business Build-up'!H25</f>
        <v>1842</v>
      </c>
      <c r="I27" s="1"/>
      <c r="J27" s="71">
        <f>'Business Build-up'!J25</f>
        <v>443</v>
      </c>
      <c r="K27" s="71">
        <f>'Business Build-up'!K25</f>
        <v>462</v>
      </c>
      <c r="L27" s="71">
        <f>'Business Build-up'!L25</f>
        <v>479</v>
      </c>
      <c r="M27" s="71">
        <f>'Business Build-up'!M25</f>
        <v>466</v>
      </c>
      <c r="N27" s="71">
        <f>'Business Build-up'!N25</f>
        <v>1850</v>
      </c>
      <c r="O27" s="1"/>
      <c r="P27" s="71">
        <f>'Business Build-up'!P25</f>
        <v>435</v>
      </c>
      <c r="Q27" s="71">
        <f>'Business Build-up'!Q25</f>
        <v>441</v>
      </c>
      <c r="R27" s="71">
        <f>'Business Build-up'!R25</f>
        <v>431</v>
      </c>
      <c r="S27" s="71">
        <f>'Business Build-up'!S25</f>
        <v>386</v>
      </c>
      <c r="T27" s="71">
        <f>'Business Build-up'!T25</f>
        <v>1693</v>
      </c>
      <c r="U27" s="71"/>
      <c r="V27" s="71">
        <f>'Business Build-up'!V25</f>
        <v>356</v>
      </c>
      <c r="W27" s="71">
        <f>'Business Build-up'!W25</f>
        <v>341</v>
      </c>
      <c r="X27" s="71">
        <f>'Business Build-up'!X25</f>
        <v>344</v>
      </c>
      <c r="Y27" s="71">
        <f>'Business Build-up'!Y25</f>
        <v>374</v>
      </c>
      <c r="Z27" s="71">
        <f>'Business Build-up'!Z25</f>
        <v>1415</v>
      </c>
      <c r="AA27" s="71"/>
      <c r="AB27" s="71">
        <f>'Business Build-up'!AB25</f>
        <v>374</v>
      </c>
      <c r="AC27" s="71">
        <f>'Business Build-up'!AC25</f>
        <v>446</v>
      </c>
      <c r="AD27" s="71">
        <f>'Business Build-up'!AD25</f>
        <v>427</v>
      </c>
      <c r="AE27" s="71">
        <f>'Business Build-up'!AE25</f>
        <v>439</v>
      </c>
      <c r="AF27" s="71">
        <f>'Business Build-up'!AF25</f>
        <v>1686</v>
      </c>
      <c r="AG27" s="1"/>
      <c r="AH27" s="71">
        <f>'Business Build-up'!AH25</f>
        <v>457</v>
      </c>
      <c r="AI27" s="71">
        <f>'Business Build-up'!AI25</f>
        <v>480</v>
      </c>
      <c r="AJ27" s="71">
        <f>'Business Build-up'!AJ25</f>
        <v>476</v>
      </c>
      <c r="AK27" s="71">
        <f>'Business Build-up'!AK25</f>
        <v>401</v>
      </c>
      <c r="AL27" s="71">
        <f>'Business Build-up'!AL25</f>
        <v>1814</v>
      </c>
      <c r="AN27" s="71">
        <f>'Business Build-up'!AN25</f>
        <v>472</v>
      </c>
      <c r="AO27" s="236">
        <f>'Business Build-up'!AO25</f>
        <v>528</v>
      </c>
      <c r="AP27" s="71">
        <f>'Business Build-up'!AP25</f>
        <v>554</v>
      </c>
      <c r="AQ27" s="236">
        <f>'Business Build-up'!AQ25</f>
        <v>554</v>
      </c>
      <c r="AR27" s="236">
        <f>'Business Build-up'!AR25</f>
        <v>2108</v>
      </c>
      <c r="AT27" s="71">
        <f>'Business Build-up'!AT25</f>
        <v>520</v>
      </c>
      <c r="AU27" s="236">
        <f>'Business Build-up'!AU25</f>
        <v>535</v>
      </c>
      <c r="AV27" s="236">
        <f>'Business Build-up'!AV25</f>
        <v>533</v>
      </c>
      <c r="AW27" s="595">
        <f>'Business Build-up'!AW25</f>
        <v>550.67925000000002</v>
      </c>
      <c r="AX27" s="236">
        <f>'Business Build-up'!AX25</f>
        <v>2138.6792500000001</v>
      </c>
      <c r="AZ27" s="71">
        <f>'Business Build-up'!AZ25</f>
        <v>503.5928780815243</v>
      </c>
      <c r="BA27" s="236">
        <f>'Business Build-up'!BA25</f>
        <v>523.99102391036013</v>
      </c>
      <c r="BB27" s="71">
        <f>'Business Build-up'!BB25</f>
        <v>532.2750692867254</v>
      </c>
      <c r="BC27" s="236">
        <f>'Business Build-up'!BC25</f>
        <v>556.07757160000006</v>
      </c>
      <c r="BD27" s="236">
        <f>'Business Build-up'!BD25</f>
        <v>2115.9365428786095</v>
      </c>
      <c r="BF27" s="71">
        <f>'Business Build-up'!BF25</f>
        <v>524.169600817385</v>
      </c>
      <c r="BG27" s="236">
        <f>'Business Build-up'!BG25</f>
        <v>545.30450965652278</v>
      </c>
      <c r="BH27" s="71">
        <f>'Business Build-up'!BH25</f>
        <v>553.97806670360933</v>
      </c>
      <c r="BI27" s="236">
        <f>'Business Build-up'!BI25</f>
        <v>578.61808789323788</v>
      </c>
      <c r="BJ27" s="236">
        <f>'Business Build-up'!BJ25</f>
        <v>2202.0702650707549</v>
      </c>
      <c r="BL27" s="71">
        <f>'Business Build-up'!BL25</f>
        <v>542.24293437653955</v>
      </c>
      <c r="BM27" s="236">
        <f>'Business Build-up'!BM25</f>
        <v>564.13339145471309</v>
      </c>
      <c r="BN27" s="71">
        <f>'Business Build-up'!BN25</f>
        <v>573.16029241971978</v>
      </c>
      <c r="BO27" s="236">
        <f>'Business Build-up'!BO25</f>
        <v>598.77802886042571</v>
      </c>
      <c r="BP27" s="236">
        <f>'Business Build-up'!BP25</f>
        <v>2278.3146471113982</v>
      </c>
      <c r="BR27" s="71">
        <f>'Business Build-up'!BR25</f>
        <v>560.95486966220858</v>
      </c>
      <c r="BS27" s="236">
        <f>'Business Build-up'!BS25</f>
        <v>583.62727605515954</v>
      </c>
      <c r="BT27" s="71">
        <f>'Business Build-up'!BT25</f>
        <v>593.02335795987187</v>
      </c>
      <c r="BU27" s="236">
        <f>'Business Build-up'!BU25</f>
        <v>619.66019988442088</v>
      </c>
      <c r="BV27" s="236">
        <f>'Business Build-up'!BV25</f>
        <v>2357.2657035616608</v>
      </c>
      <c r="BX27" s="71">
        <f>'Business Build-up'!BX25</f>
        <v>580.32807356004105</v>
      </c>
      <c r="BY27" s="236">
        <f>'Business Build-up'!BY25</f>
        <v>603.80967929155327</v>
      </c>
      <c r="BZ27" s="71">
        <f>'Business Build-up'!BZ25</f>
        <v>613.59153869370948</v>
      </c>
      <c r="CA27" s="236">
        <f>'Business Build-up'!CA25</f>
        <v>641.29060918419316</v>
      </c>
      <c r="CB27" s="236">
        <f>'Business Build-up'!CB25</f>
        <v>2439.0199007294968</v>
      </c>
      <c r="CD27" s="71">
        <f>'Business Build-up'!CD25</f>
        <v>600.38600017145723</v>
      </c>
      <c r="CE27" s="236">
        <f>'Business Build-up'!CE25</f>
        <v>624.70492590391825</v>
      </c>
      <c r="CF27" s="71">
        <f>'Business Build-up'!CF25</f>
        <v>634.88995724827032</v>
      </c>
      <c r="CG27" s="236">
        <f>'Business Build-up'!CG25</f>
        <v>663.69618129961407</v>
      </c>
      <c r="CH27" s="236">
        <f>'Business Build-up'!CH25</f>
        <v>2523.6770646232599</v>
      </c>
      <c r="CJ27" s="71">
        <f>'Business Build-up'!CJ25</f>
        <v>621.1529164196578</v>
      </c>
      <c r="CK27" s="236">
        <f>'Business Build-up'!CK25</f>
        <v>646.33817527605083</v>
      </c>
      <c r="CL27" s="71">
        <f>'Business Build-up'!CL25</f>
        <v>656.94461125682869</v>
      </c>
      <c r="CM27" s="236">
        <f>'Business Build-up'!CM25</f>
        <v>686.90478736454293</v>
      </c>
      <c r="CN27" s="236">
        <f>'Business Build-up'!CN25</f>
        <v>2611.3404903170804</v>
      </c>
    </row>
    <row r="28" spans="2:92" ht="12.95" customHeight="1" x14ac:dyDescent="0.25">
      <c r="B28" s="14" t="s">
        <v>37</v>
      </c>
      <c r="D28" s="67">
        <f>D27/D$9</f>
        <v>4.3270209733251887E-2</v>
      </c>
      <c r="E28" s="67">
        <f t="shared" ref="E28:H28" si="67">E27/E$9</f>
        <v>4.0420086488394673E-2</v>
      </c>
      <c r="F28" s="67">
        <f t="shared" si="67"/>
        <v>4.0392534828704106E-2</v>
      </c>
      <c r="G28" s="67">
        <f t="shared" si="67"/>
        <v>3.8616625310173694E-2</v>
      </c>
      <c r="H28" s="67">
        <f t="shared" si="67"/>
        <v>4.0517355153754785E-2</v>
      </c>
      <c r="I28" s="1"/>
      <c r="J28" s="67">
        <f>J27/J$9</f>
        <v>3.4450579360759001E-2</v>
      </c>
      <c r="K28" s="67">
        <f t="shared" ref="K28" si="68">K27/K$9</f>
        <v>3.2974091785026048E-2</v>
      </c>
      <c r="L28" s="67">
        <f t="shared" ref="L28" si="69">L27/L$9</f>
        <v>3.5455218356772761E-2</v>
      </c>
      <c r="M28" s="67">
        <f t="shared" ref="M28" si="70">M27/M$9</f>
        <v>3.2491981592525448E-2</v>
      </c>
      <c r="N28" s="67">
        <f t="shared" ref="N28" si="71">N27/N$9</f>
        <v>3.3807243887284823E-2</v>
      </c>
      <c r="O28" s="1"/>
      <c r="P28" s="67">
        <f>P27/P$9</f>
        <v>3.2303579385118075E-2</v>
      </c>
      <c r="Q28" s="67">
        <f t="shared" ref="Q28:T28" si="72">Q27/Q$9</f>
        <v>3.0557095343680708E-2</v>
      </c>
      <c r="R28" s="67">
        <f t="shared" si="72"/>
        <v>3.3782724564978835E-2</v>
      </c>
      <c r="S28" s="67">
        <f t="shared" si="72"/>
        <v>2.9367011564211808E-2</v>
      </c>
      <c r="T28" s="67">
        <f t="shared" si="72"/>
        <v>3.1468401486988845E-2</v>
      </c>
      <c r="U28" s="71"/>
      <c r="V28" s="67">
        <f>V27/V$9</f>
        <v>3.3474377056887633E-2</v>
      </c>
      <c r="W28" s="67">
        <f t="shared" ref="W28:Z28" si="73">W27/W$9</f>
        <v>3.4110233069920975E-2</v>
      </c>
      <c r="X28" s="67">
        <f t="shared" si="73"/>
        <v>3.4814290051614211E-2</v>
      </c>
      <c r="Y28" s="67">
        <f t="shared" si="73"/>
        <v>3.3288829550511795E-2</v>
      </c>
      <c r="Z28" s="67">
        <f t="shared" si="73"/>
        <v>3.3893839225831175E-2</v>
      </c>
      <c r="AA28" s="71"/>
      <c r="AB28" s="67">
        <f>AB27/AB$9</f>
        <v>3.1462942710524099E-2</v>
      </c>
      <c r="AC28" s="67">
        <f t="shared" ref="AC28:AF28" si="74">AC27/AC$9</f>
        <v>3.4603149972845061E-2</v>
      </c>
      <c r="AD28" s="67">
        <f t="shared" si="74"/>
        <v>3.4443817052512704E-2</v>
      </c>
      <c r="AE28" s="67">
        <f t="shared" si="74"/>
        <v>3.1816205247137269E-2</v>
      </c>
      <c r="AF28" s="67">
        <f t="shared" si="74"/>
        <v>3.3077632379196011E-2</v>
      </c>
      <c r="AG28" s="9"/>
      <c r="AH28" s="67">
        <f>AH27/AH$9</f>
        <v>3.3630142026639193E-2</v>
      </c>
      <c r="AI28" s="67">
        <f t="shared" ref="AI28:AL28" si="75">AI27/AI$9</f>
        <v>3.3691303432301541E-2</v>
      </c>
      <c r="AJ28" s="67">
        <f t="shared" si="75"/>
        <v>3.1746031746031744E-2</v>
      </c>
      <c r="AK28" s="67">
        <f t="shared" si="75"/>
        <v>2.4160992950533228E-2</v>
      </c>
      <c r="AL28" s="67">
        <f t="shared" si="75"/>
        <v>3.0524845608898312E-2</v>
      </c>
      <c r="AM28" s="9"/>
      <c r="AN28" s="67">
        <f>AN27/AN$9</f>
        <v>2.9756651115874416E-2</v>
      </c>
      <c r="AO28" s="239">
        <f t="shared" ref="AO28:AR28" si="76">AO27/AO$9</f>
        <v>3.0488509065711974E-2</v>
      </c>
      <c r="AP28" s="67">
        <f t="shared" si="76"/>
        <v>3.2956573468173704E-2</v>
      </c>
      <c r="AQ28" s="239">
        <f t="shared" si="76"/>
        <v>3.245459871118922E-2</v>
      </c>
      <c r="AR28" s="239">
        <f t="shared" si="76"/>
        <v>3.143453623620638E-2</v>
      </c>
      <c r="AS28" s="9"/>
      <c r="AT28" s="67">
        <f>AT27/AT$9</f>
        <v>3.2913475536426359E-2</v>
      </c>
      <c r="AU28" s="239">
        <f t="shared" ref="AU28:AX28" si="77">AU27/AU$9</f>
        <v>3.2057043561627419E-2</v>
      </c>
      <c r="AV28" s="239">
        <f t="shared" si="77"/>
        <v>3.309325717124053E-2</v>
      </c>
      <c r="AW28" s="351">
        <f t="shared" si="77"/>
        <v>3.3000000000000002E-2</v>
      </c>
      <c r="AX28" s="239">
        <f t="shared" si="77"/>
        <v>3.2761003350885595E-2</v>
      </c>
      <c r="AY28" s="9"/>
      <c r="AZ28" s="67">
        <f>AZ27/AZ$9</f>
        <v>3.271347553642636E-2</v>
      </c>
      <c r="BA28" s="239">
        <f t="shared" ref="BA28:BD28" si="78">BA27/BA$9</f>
        <v>3.185704356162742E-2</v>
      </c>
      <c r="BB28" s="67">
        <f t="shared" si="78"/>
        <v>3.2893257171240531E-2</v>
      </c>
      <c r="BC28" s="239">
        <f t="shared" si="78"/>
        <v>3.2800000000000003E-2</v>
      </c>
      <c r="BD28" s="239">
        <f t="shared" si="78"/>
        <v>3.2564029583378368E-2</v>
      </c>
      <c r="BE28" s="9"/>
      <c r="BF28" s="67">
        <f>BF27/BF$9</f>
        <v>3.2513475536426362E-2</v>
      </c>
      <c r="BG28" s="239">
        <f t="shared" ref="BG28:BJ28" si="79">BG27/BG$9</f>
        <v>3.1657043561627421E-2</v>
      </c>
      <c r="BH28" s="67">
        <f t="shared" si="79"/>
        <v>3.2693257171240532E-2</v>
      </c>
      <c r="BI28" s="239">
        <f t="shared" si="79"/>
        <v>3.2600000000000004E-2</v>
      </c>
      <c r="BJ28" s="239">
        <f t="shared" si="79"/>
        <v>3.2364001978263481E-2</v>
      </c>
      <c r="BK28" s="9"/>
      <c r="BL28" s="67">
        <f>BL27/BL$9</f>
        <v>3.2313475536426363E-2</v>
      </c>
      <c r="BM28" s="239">
        <f t="shared" ref="BM28:BP28" si="80">BM27/BM$9</f>
        <v>3.1457043561627422E-2</v>
      </c>
      <c r="BN28" s="67">
        <f t="shared" si="80"/>
        <v>3.2493257171240533E-2</v>
      </c>
      <c r="BO28" s="239">
        <f t="shared" si="80"/>
        <v>3.2400000000000005E-2</v>
      </c>
      <c r="BP28" s="239">
        <f t="shared" si="80"/>
        <v>3.2163992816106705E-2</v>
      </c>
      <c r="BQ28" s="9"/>
      <c r="BR28" s="67">
        <f>BR27/BR$9</f>
        <v>3.2113475536426364E-2</v>
      </c>
      <c r="BS28" s="239">
        <f t="shared" ref="BS28:BV28" si="81">BS27/BS$9</f>
        <v>3.1257043561627423E-2</v>
      </c>
      <c r="BT28" s="67">
        <f t="shared" si="81"/>
        <v>3.2293257171240534E-2</v>
      </c>
      <c r="BU28" s="239">
        <f t="shared" si="81"/>
        <v>3.2200000000000006E-2</v>
      </c>
      <c r="BV28" s="239">
        <f t="shared" si="81"/>
        <v>3.1963983918182483E-2</v>
      </c>
      <c r="BW28" s="9"/>
      <c r="BX28" s="67">
        <f>BX27/BX$9</f>
        <v>3.1913475536426365E-2</v>
      </c>
      <c r="BY28" s="239">
        <f t="shared" ref="BY28:CB28" si="82">BY27/BY$9</f>
        <v>3.1057043561627425E-2</v>
      </c>
      <c r="BZ28" s="67">
        <f t="shared" si="82"/>
        <v>3.2093257171240536E-2</v>
      </c>
      <c r="CA28" s="239">
        <f t="shared" si="82"/>
        <v>3.2000000000000008E-2</v>
      </c>
      <c r="CB28" s="239">
        <f t="shared" si="82"/>
        <v>3.1763975279133494E-2</v>
      </c>
      <c r="CC28" s="9"/>
      <c r="CD28" s="67">
        <f>CD27/CD$9</f>
        <v>3.1713475536426367E-2</v>
      </c>
      <c r="CE28" s="239">
        <f t="shared" ref="CE28:CH28" si="83">CE27/CE$9</f>
        <v>3.0857043561627426E-2</v>
      </c>
      <c r="CF28" s="67">
        <f t="shared" si="83"/>
        <v>3.1893257171240537E-2</v>
      </c>
      <c r="CG28" s="239">
        <f t="shared" si="83"/>
        <v>3.1800000000000009E-2</v>
      </c>
      <c r="CH28" s="239">
        <f t="shared" si="83"/>
        <v>3.1563966893646461E-2</v>
      </c>
      <c r="CI28" s="9"/>
      <c r="CJ28" s="67">
        <f>CJ27/CJ$9</f>
        <v>3.1513475536426368E-2</v>
      </c>
      <c r="CK28" s="239">
        <f t="shared" ref="CK28:CN28" si="84">CK27/CK$9</f>
        <v>3.0657043561627427E-2</v>
      </c>
      <c r="CL28" s="67">
        <f t="shared" si="84"/>
        <v>3.1693257171240538E-2</v>
      </c>
      <c r="CM28" s="239">
        <f t="shared" si="84"/>
        <v>3.160000000000001E-2</v>
      </c>
      <c r="CN28" s="239">
        <f t="shared" si="84"/>
        <v>3.1363958756453508E-2</v>
      </c>
    </row>
    <row r="29" spans="2:92" ht="12.95" customHeight="1" x14ac:dyDescent="0.25">
      <c r="B29" s="2" t="str">
        <f>'Business Build-up'!B29</f>
        <v>Interest expense of Financial Products ($mm)</v>
      </c>
      <c r="D29" s="71">
        <f>'Business Build-up'!D29</f>
        <v>159</v>
      </c>
      <c r="E29" s="71">
        <f>'Business Build-up'!E29</f>
        <v>162</v>
      </c>
      <c r="F29" s="71">
        <f>'Business Build-up'!F29</f>
        <v>163</v>
      </c>
      <c r="G29" s="71">
        <f>'Business Build-up'!G29</f>
        <v>162</v>
      </c>
      <c r="H29" s="71">
        <f>'Business Build-up'!H29</f>
        <v>646</v>
      </c>
      <c r="I29" s="1"/>
      <c r="J29" s="71">
        <f>'Business Build-up'!J29</f>
        <v>166</v>
      </c>
      <c r="K29" s="71">
        <f>'Business Build-up'!K29</f>
        <v>182</v>
      </c>
      <c r="L29" s="71">
        <f>'Business Build-up'!L29</f>
        <v>185</v>
      </c>
      <c r="M29" s="71">
        <f>'Business Build-up'!M29</f>
        <v>189</v>
      </c>
      <c r="N29" s="71">
        <f>'Business Build-up'!N29</f>
        <v>722</v>
      </c>
      <c r="O29" s="1"/>
      <c r="P29" s="71">
        <f>'Business Build-up'!P29</f>
        <v>190</v>
      </c>
      <c r="Q29" s="71">
        <f>'Business Build-up'!Q29</f>
        <v>192</v>
      </c>
      <c r="R29" s="71">
        <f>'Business Build-up'!R29</f>
        <v>189</v>
      </c>
      <c r="S29" s="71">
        <f>'Business Build-up'!S29</f>
        <v>183</v>
      </c>
      <c r="T29" s="71">
        <f>'Business Build-up'!T29</f>
        <v>754</v>
      </c>
      <c r="U29" s="71"/>
      <c r="V29" s="71">
        <f>'Business Build-up'!V29</f>
        <v>175</v>
      </c>
      <c r="W29" s="71">
        <f>'Business Build-up'!W29</f>
        <v>149</v>
      </c>
      <c r="X29" s="71">
        <f>'Business Build-up'!X29</f>
        <v>137</v>
      </c>
      <c r="Y29" s="71">
        <f>'Business Build-up'!Y29</f>
        <v>128</v>
      </c>
      <c r="Z29" s="71">
        <f>'Business Build-up'!Z29</f>
        <v>589</v>
      </c>
      <c r="AA29" s="71"/>
      <c r="AB29" s="71">
        <f>'Business Build-up'!AB29</f>
        <v>125</v>
      </c>
      <c r="AC29" s="71">
        <f>'Business Build-up'!AC29</f>
        <v>116</v>
      </c>
      <c r="AD29" s="71">
        <f>'Business Build-up'!AD29</f>
        <v>111</v>
      </c>
      <c r="AE29" s="71">
        <f>'Business Build-up'!AE29</f>
        <v>103</v>
      </c>
      <c r="AF29" s="71">
        <f>'Business Build-up'!AF29</f>
        <v>455</v>
      </c>
      <c r="AG29" s="1"/>
      <c r="AH29" s="71">
        <f>'Business Build-up'!AH29</f>
        <v>106</v>
      </c>
      <c r="AI29" s="71">
        <f>'Business Build-up'!AI29</f>
        <v>120</v>
      </c>
      <c r="AJ29" s="71">
        <f>'Business Build-up'!AJ29</f>
        <v>151</v>
      </c>
      <c r="AK29" s="71">
        <f>'Business Build-up'!AK29</f>
        <v>188</v>
      </c>
      <c r="AL29" s="71">
        <f>'Business Build-up'!AL29</f>
        <v>565</v>
      </c>
      <c r="AN29" s="71">
        <f>'Business Build-up'!AN29</f>
        <v>217</v>
      </c>
      <c r="AO29" s="236">
        <f>'Business Build-up'!AO29</f>
        <v>245</v>
      </c>
      <c r="AP29" s="71">
        <f>'Business Build-up'!AP29</f>
        <v>280</v>
      </c>
      <c r="AQ29" s="236">
        <f>'Business Build-up'!AQ29</f>
        <v>288</v>
      </c>
      <c r="AR29" s="236">
        <f>'Business Build-up'!AR29</f>
        <v>1030</v>
      </c>
      <c r="AT29" s="71">
        <f>'Business Build-up'!AT29</f>
        <v>298</v>
      </c>
      <c r="AU29" s="236">
        <f>'Business Build-up'!AU29</f>
        <v>314</v>
      </c>
      <c r="AV29" s="236">
        <f>'Business Build-up'!AV29</f>
        <v>336</v>
      </c>
      <c r="AW29" s="595">
        <f>'Business Build-up'!AW29</f>
        <v>350.43225000000001</v>
      </c>
      <c r="AX29" s="236">
        <f>'Business Build-up'!AX29</f>
        <v>1298.4322500000001</v>
      </c>
      <c r="AZ29" s="71">
        <f>'Business Build-up'!AZ29</f>
        <v>290.36185201595043</v>
      </c>
      <c r="BA29" s="236">
        <f>'Business Build-up'!BA29</f>
        <v>309.46939900533289</v>
      </c>
      <c r="BB29" s="71">
        <f>'Business Build-up'!BB29</f>
        <v>337.58320129144414</v>
      </c>
      <c r="BC29" s="236">
        <f>'Business Build-up'!BC29</f>
        <v>356.02527450000002</v>
      </c>
      <c r="BD29" s="236">
        <f>'Business Build-up'!BD29</f>
        <v>1293.4397268127275</v>
      </c>
      <c r="BF29" s="71">
        <f>'Business Build-up'!BF29</f>
        <v>304.08507126917965</v>
      </c>
      <c r="BG29" s="236">
        <f>'Business Build-up'!BG29</f>
        <v>324.0918194051763</v>
      </c>
      <c r="BH29" s="71">
        <f>'Business Build-up'!BH29</f>
        <v>353.49718703597233</v>
      </c>
      <c r="BI29" s="236">
        <f>'Business Build-up'!BI29</f>
        <v>372.72944312141084</v>
      </c>
      <c r="BJ29" s="236">
        <f>'Business Build-up'!BJ29</f>
        <v>1354.4035208317391</v>
      </c>
      <c r="BL29" s="71">
        <f>'Business Build-up'!BL29</f>
        <v>316.51689362624887</v>
      </c>
      <c r="BM29" s="236">
        <f>'Business Build-up'!BM29</f>
        <v>337.41410717298288</v>
      </c>
      <c r="BN29" s="71">
        <f>'Business Build-up'!BN29</f>
        <v>367.98865558181279</v>
      </c>
      <c r="BO29" s="236">
        <f>'Business Build-up'!BO29</f>
        <v>388.0968705576833</v>
      </c>
      <c r="BP29" s="236">
        <f>'Business Build-up'!BP29</f>
        <v>1410.0165269387278</v>
      </c>
      <c r="BR29" s="71">
        <f>'Business Build-up'!BR29</f>
        <v>329.47864943318075</v>
      </c>
      <c r="BS29" s="236">
        <f>'Business Build-up'!BS29</f>
        <v>351.30717195423449</v>
      </c>
      <c r="BT29" s="71">
        <f>'Business Build-up'!BT29</f>
        <v>383.09945234155225</v>
      </c>
      <c r="BU29" s="236">
        <f>'Business Build-up'!BU29</f>
        <v>404.12621731592662</v>
      </c>
      <c r="BV29" s="236">
        <f>'Business Build-up'!BV29</f>
        <v>1468.0114910448942</v>
      </c>
      <c r="BX29" s="71">
        <f>'Business Build-up'!BX29</f>
        <v>342.99369878459623</v>
      </c>
      <c r="BY29" s="236">
        <f>'Business Build-up'!BY29</f>
        <v>365.79628697355002</v>
      </c>
      <c r="BZ29" s="71">
        <f>'Business Build-up'!BZ29</f>
        <v>398.85693585355284</v>
      </c>
      <c r="CA29" s="236">
        <f>'Business Build-up'!CA29</f>
        <v>420.84696227712664</v>
      </c>
      <c r="CB29" s="236">
        <f>'Business Build-up'!CB29</f>
        <v>1528.4938838888256</v>
      </c>
      <c r="CD29" s="71">
        <f>'Business Build-up'!CD29</f>
        <v>357.08645925942659</v>
      </c>
      <c r="CE29" s="236">
        <f>'Business Build-up'!CE29</f>
        <v>380.90787391233226</v>
      </c>
      <c r="CF29" s="71">
        <f>'Business Build-up'!CF29</f>
        <v>415.28970511076074</v>
      </c>
      <c r="CG29" s="236">
        <f>'Business Build-up'!CG29</f>
        <v>438.28993104691483</v>
      </c>
      <c r="CH29" s="236">
        <f>'Business Build-up'!CH29</f>
        <v>1591.5739693294345</v>
      </c>
      <c r="CJ29" s="71">
        <f>'Business Build-up'!CJ29</f>
        <v>371.78245480360982</v>
      </c>
      <c r="CK29" s="236">
        <f>'Business Build-up'!CK29</f>
        <v>396.66955616573819</v>
      </c>
      <c r="CL29" s="71">
        <f>'Business Build-up'!CL29</f>
        <v>432.42765696550737</v>
      </c>
      <c r="CM29" s="236">
        <f>'Business Build-up'!CM29</f>
        <v>456.48735869162647</v>
      </c>
      <c r="CN29" s="236">
        <f>'Business Build-up'!CN29</f>
        <v>1657.3670266264819</v>
      </c>
    </row>
    <row r="30" spans="2:92" ht="12.95" customHeight="1" x14ac:dyDescent="0.25">
      <c r="B30" s="14" t="s">
        <v>37</v>
      </c>
      <c r="D30" s="67">
        <f>D29/D$9</f>
        <v>1.6188149053146E-2</v>
      </c>
      <c r="E30" s="67">
        <f t="shared" ref="E30:H30" si="85">E29/E$9</f>
        <v>1.4297061159650517E-2</v>
      </c>
      <c r="F30" s="67">
        <f t="shared" si="85"/>
        <v>1.4281959169368265E-2</v>
      </c>
      <c r="G30" s="67">
        <f t="shared" si="85"/>
        <v>1.2562034739454095E-2</v>
      </c>
      <c r="H30" s="67">
        <f t="shared" si="85"/>
        <v>1.4209669614183273E-2</v>
      </c>
      <c r="I30" s="1"/>
      <c r="J30" s="67">
        <f>J29/J$9</f>
        <v>1.2909246442180574E-2</v>
      </c>
      <c r="K30" s="67">
        <f t="shared" ref="K30:K32" si="86">K29/K$9</f>
        <v>1.2989793733495111E-2</v>
      </c>
      <c r="L30" s="67">
        <f t="shared" ref="L30:L32" si="87">L29/L$9</f>
        <v>1.3693560325684678E-2</v>
      </c>
      <c r="M30" s="67">
        <f t="shared" ref="M30:M32" si="88">M29/M$9</f>
        <v>1.3178078371217403E-2</v>
      </c>
      <c r="N30" s="67">
        <f t="shared" ref="N30:N32" si="89">N29/N$9</f>
        <v>1.3193962208983589E-2</v>
      </c>
      <c r="O30" s="1"/>
      <c r="P30" s="67">
        <f>P29/P$9</f>
        <v>1.4109609386603297E-2</v>
      </c>
      <c r="Q30" s="67">
        <f t="shared" ref="Q30:T30" si="90">Q29/Q$9</f>
        <v>1.3303769401330377E-2</v>
      </c>
      <c r="R30" s="67">
        <f t="shared" si="90"/>
        <v>1.4814234205988399E-2</v>
      </c>
      <c r="S30" s="67">
        <f t="shared" si="90"/>
        <v>1.3922702373706634E-2</v>
      </c>
      <c r="T30" s="67">
        <f t="shared" si="90"/>
        <v>1.4014869888475837E-2</v>
      </c>
      <c r="U30" s="71"/>
      <c r="V30" s="67">
        <f>V29/V$9</f>
        <v>1.6455101081335213E-2</v>
      </c>
      <c r="W30" s="67">
        <f t="shared" ref="W30:Z30" si="91">W29/W$9</f>
        <v>1.4904471341402421E-2</v>
      </c>
      <c r="X30" s="67">
        <f t="shared" si="91"/>
        <v>1.3864993421718449E-2</v>
      </c>
      <c r="Y30" s="67">
        <f t="shared" si="91"/>
        <v>1.1392968402314197E-2</v>
      </c>
      <c r="Z30" s="67">
        <f t="shared" si="91"/>
        <v>1.4108460285522659E-2</v>
      </c>
      <c r="AA30" s="71"/>
      <c r="AB30" s="67">
        <f>AB29/AB$9</f>
        <v>1.0515689408597628E-2</v>
      </c>
      <c r="AC30" s="67">
        <f t="shared" ref="AC30:AF30" si="92">AC29/AC$9</f>
        <v>8.9999224144619444E-3</v>
      </c>
      <c r="AD30" s="67">
        <f t="shared" si="92"/>
        <v>8.9537791401145435E-3</v>
      </c>
      <c r="AE30" s="67">
        <f t="shared" si="92"/>
        <v>7.4648499782577187E-3</v>
      </c>
      <c r="AF30" s="67">
        <f t="shared" si="92"/>
        <v>8.9266445625944164E-3</v>
      </c>
      <c r="AG30" s="9"/>
      <c r="AH30" s="67">
        <f>AH29/AH$9</f>
        <v>7.800426815806903E-3</v>
      </c>
      <c r="AI30" s="67">
        <f t="shared" ref="AI30:AL30" si="93">AI29/AI$9</f>
        <v>8.4228258580753852E-3</v>
      </c>
      <c r="AJ30" s="67">
        <f t="shared" si="93"/>
        <v>1.0070694944644524E-2</v>
      </c>
      <c r="AK30" s="67">
        <f t="shared" si="93"/>
        <v>1.1327348315960715E-2</v>
      </c>
      <c r="AL30" s="67">
        <f t="shared" si="93"/>
        <v>9.5074629377219118E-3</v>
      </c>
      <c r="AM30" s="9"/>
      <c r="AN30" s="67">
        <f>AN29/AN$9</f>
        <v>1.3680494263018535E-2</v>
      </c>
      <c r="AO30" s="239">
        <f t="shared" ref="AO30:AR30" si="94">AO29/AO$9</f>
        <v>1.4147130153597413E-2</v>
      </c>
      <c r="AP30" s="67">
        <f t="shared" si="94"/>
        <v>1.6656751933372991E-2</v>
      </c>
      <c r="AQ30" s="239">
        <f t="shared" si="94"/>
        <v>1.6871704745166961E-2</v>
      </c>
      <c r="AR30" s="239">
        <f t="shared" si="94"/>
        <v>1.5359379660005964E-2</v>
      </c>
      <c r="AS30" s="9"/>
      <c r="AT30" s="67">
        <f>AT29/AT$9</f>
        <v>1.8861953288182798E-2</v>
      </c>
      <c r="AU30" s="239">
        <f t="shared" ref="AU30:AX30" si="95">AU29/AU$9</f>
        <v>1.8814788183833663E-2</v>
      </c>
      <c r="AV30" s="239">
        <f t="shared" si="95"/>
        <v>2.0861790637029677E-2</v>
      </c>
      <c r="AW30" s="351">
        <f t="shared" si="95"/>
        <v>2.1000000000000001E-2</v>
      </c>
      <c r="AX30" s="239">
        <f t="shared" si="95"/>
        <v>1.9889819052178077E-2</v>
      </c>
      <c r="AY30" s="9"/>
      <c r="AZ30" s="67">
        <f>AZ29/AZ$9</f>
        <v>1.8861953288182798E-2</v>
      </c>
      <c r="BA30" s="239">
        <f t="shared" ref="BA30:BD30" si="96">BA29/BA$9</f>
        <v>1.8814788183833663E-2</v>
      </c>
      <c r="BB30" s="67">
        <f t="shared" si="96"/>
        <v>2.0861790637029677E-2</v>
      </c>
      <c r="BC30" s="239">
        <f t="shared" si="96"/>
        <v>2.1000000000000001E-2</v>
      </c>
      <c r="BD30" s="239">
        <f t="shared" si="96"/>
        <v>1.9905894470230754E-2</v>
      </c>
      <c r="BE30" s="9"/>
      <c r="BF30" s="67">
        <f>BF29/BF$9</f>
        <v>1.8861953288182798E-2</v>
      </c>
      <c r="BG30" s="239">
        <f t="shared" ref="BG30:BJ30" si="97">BG29/BG$9</f>
        <v>1.8814788183833663E-2</v>
      </c>
      <c r="BH30" s="67">
        <f t="shared" si="97"/>
        <v>2.0861790637029677E-2</v>
      </c>
      <c r="BI30" s="239">
        <f t="shared" si="97"/>
        <v>2.1000000000000001E-2</v>
      </c>
      <c r="BJ30" s="239">
        <f t="shared" si="97"/>
        <v>1.9905776360935965E-2</v>
      </c>
      <c r="BK30" s="9"/>
      <c r="BL30" s="67">
        <f>BL29/BL$9</f>
        <v>1.8861953288182798E-2</v>
      </c>
      <c r="BM30" s="239">
        <f t="shared" ref="BM30:BP30" si="98">BM29/BM$9</f>
        <v>1.8814788183833663E-2</v>
      </c>
      <c r="BN30" s="67">
        <f t="shared" si="98"/>
        <v>2.0861790637029677E-2</v>
      </c>
      <c r="BO30" s="239">
        <f t="shared" si="98"/>
        <v>2.1000000000000001E-2</v>
      </c>
      <c r="BP30" s="239">
        <f t="shared" si="98"/>
        <v>1.9905837633335238E-2</v>
      </c>
      <c r="BQ30" s="9"/>
      <c r="BR30" s="67">
        <f>BR29/BR$9</f>
        <v>1.8861953288182798E-2</v>
      </c>
      <c r="BS30" s="239">
        <f t="shared" ref="BS30:BV30" si="99">BS29/BS$9</f>
        <v>1.8814788183833663E-2</v>
      </c>
      <c r="BT30" s="67">
        <f t="shared" si="99"/>
        <v>2.0861790637029677E-2</v>
      </c>
      <c r="BU30" s="239">
        <f t="shared" si="99"/>
        <v>2.1000000000000001E-2</v>
      </c>
      <c r="BV30" s="239">
        <f t="shared" si="99"/>
        <v>1.9905900136996873E-2</v>
      </c>
      <c r="BW30" s="9"/>
      <c r="BX30" s="67">
        <f>BX29/BX$9</f>
        <v>1.8861953288182798E-2</v>
      </c>
      <c r="BY30" s="239">
        <f t="shared" ref="BY30:CB30" si="100">BY29/BY$9</f>
        <v>1.8814788183833663E-2</v>
      </c>
      <c r="BZ30" s="67">
        <f t="shared" si="100"/>
        <v>2.0861790637029677E-2</v>
      </c>
      <c r="CA30" s="239">
        <f t="shared" si="100"/>
        <v>2.1000000000000001E-2</v>
      </c>
      <c r="CB30" s="239">
        <f t="shared" si="100"/>
        <v>1.990596383720775E-2</v>
      </c>
      <c r="CC30" s="9"/>
      <c r="CD30" s="67">
        <f>CD29/CD$9</f>
        <v>1.8861953288182798E-2</v>
      </c>
      <c r="CE30" s="239">
        <f t="shared" ref="CE30:CH30" si="101">CE29/CE$9</f>
        <v>1.8814788183833663E-2</v>
      </c>
      <c r="CF30" s="67">
        <f t="shared" si="101"/>
        <v>2.0861790637029677E-2</v>
      </c>
      <c r="CG30" s="239">
        <f t="shared" si="101"/>
        <v>2.1000000000000001E-2</v>
      </c>
      <c r="CH30" s="239">
        <f t="shared" si="101"/>
        <v>1.9906028699517131E-2</v>
      </c>
      <c r="CI30" s="9"/>
      <c r="CJ30" s="67">
        <f>CJ29/CJ$9</f>
        <v>1.8861953288182798E-2</v>
      </c>
      <c r="CK30" s="239">
        <f t="shared" ref="CK30:CN30" si="102">CK29/CK$9</f>
        <v>1.8814788183833663E-2</v>
      </c>
      <c r="CL30" s="67">
        <f t="shared" si="102"/>
        <v>2.0861790637029677E-2</v>
      </c>
      <c r="CM30" s="239">
        <f t="shared" si="102"/>
        <v>2.1000000000000001E-2</v>
      </c>
      <c r="CN30" s="239">
        <f t="shared" si="102"/>
        <v>1.9906094689745774E-2</v>
      </c>
    </row>
    <row r="31" spans="2:92" ht="12.95" customHeight="1" x14ac:dyDescent="0.25">
      <c r="B31" s="2" t="str">
        <f>'Business Build-up'!B32</f>
        <v>Goodwill impairment charge ($mm)</v>
      </c>
      <c r="D31" s="71">
        <f>'Business Build-up'!D32</f>
        <v>0</v>
      </c>
      <c r="E31" s="71">
        <f>'Business Build-up'!E32</f>
        <v>0</v>
      </c>
      <c r="F31" s="71">
        <f>'Business Build-up'!F32</f>
        <v>0</v>
      </c>
      <c r="G31" s="71">
        <f>'Business Build-up'!G32</f>
        <v>0</v>
      </c>
      <c r="H31" s="71">
        <f>'Business Build-up'!H32</f>
        <v>0</v>
      </c>
      <c r="I31" s="1"/>
      <c r="J31" s="71">
        <f>'Business Build-up'!J32</f>
        <v>0</v>
      </c>
      <c r="K31" s="71">
        <f>'Business Build-up'!K32</f>
        <v>0</v>
      </c>
      <c r="L31" s="71">
        <f>'Business Build-up'!L32</f>
        <v>0</v>
      </c>
      <c r="M31" s="71">
        <f>'Business Build-up'!M32</f>
        <v>0</v>
      </c>
      <c r="N31" s="71">
        <f>'Business Build-up'!N32</f>
        <v>0</v>
      </c>
      <c r="O31" s="1"/>
      <c r="P31" s="71">
        <f>'Business Build-up'!P32</f>
        <v>0</v>
      </c>
      <c r="Q31" s="71">
        <f>'Business Build-up'!Q32</f>
        <v>0</v>
      </c>
      <c r="R31" s="71">
        <f>'Business Build-up'!R32</f>
        <v>0</v>
      </c>
      <c r="S31" s="71">
        <f>'Business Build-up'!S32</f>
        <v>0</v>
      </c>
      <c r="T31" s="71">
        <f>'Business Build-up'!T32</f>
        <v>0</v>
      </c>
      <c r="U31" s="71"/>
      <c r="V31" s="71">
        <f>'Business Build-up'!V32</f>
        <v>0</v>
      </c>
      <c r="W31" s="71">
        <f>'Business Build-up'!W32</f>
        <v>0</v>
      </c>
      <c r="X31" s="71">
        <f>'Business Build-up'!X32</f>
        <v>0</v>
      </c>
      <c r="Y31" s="71">
        <f>'Business Build-up'!Y32</f>
        <v>0</v>
      </c>
      <c r="Z31" s="71">
        <f>'Business Build-up'!Z32</f>
        <v>0</v>
      </c>
      <c r="AA31" s="71"/>
      <c r="AB31" s="71">
        <f>'Business Build-up'!AB32</f>
        <v>0</v>
      </c>
      <c r="AC31" s="71">
        <f>'Business Build-up'!AC32</f>
        <v>0</v>
      </c>
      <c r="AD31" s="71">
        <f>'Business Build-up'!AD32</f>
        <v>0</v>
      </c>
      <c r="AE31" s="71">
        <f>'Business Build-up'!AE32</f>
        <v>0</v>
      </c>
      <c r="AF31" s="71">
        <f>'Business Build-up'!AF32</f>
        <v>0</v>
      </c>
      <c r="AG31" s="9"/>
      <c r="AH31" s="71">
        <f>'Business Build-up'!AH32</f>
        <v>0</v>
      </c>
      <c r="AI31" s="71">
        <f>'Business Build-up'!AI32</f>
        <v>0</v>
      </c>
      <c r="AJ31" s="71">
        <f>'Business Build-up'!AJ32</f>
        <v>0</v>
      </c>
      <c r="AK31" s="71">
        <f>'Business Build-up'!AK32</f>
        <v>925</v>
      </c>
      <c r="AL31" s="71">
        <f>'Business Build-up'!AL32</f>
        <v>925</v>
      </c>
      <c r="AM31" s="9"/>
      <c r="AN31" s="71">
        <f>'Business Build-up'!AN32</f>
        <v>0</v>
      </c>
      <c r="AO31" s="236">
        <f>'Business Build-up'!AO32</f>
        <v>0</v>
      </c>
      <c r="AP31" s="71">
        <f>'Business Build-up'!AP32</f>
        <v>0</v>
      </c>
      <c r="AQ31" s="236">
        <f>'Business Build-up'!AQ32</f>
        <v>0</v>
      </c>
      <c r="AR31" s="236">
        <f>'Business Build-up'!AR32</f>
        <v>0</v>
      </c>
      <c r="AS31" s="9"/>
      <c r="AT31" s="71">
        <f>'Business Build-up'!AT32</f>
        <v>0</v>
      </c>
      <c r="AU31" s="236">
        <f>'Business Build-up'!AU32</f>
        <v>0</v>
      </c>
      <c r="AV31" s="236">
        <f>'Business Build-up'!AV32</f>
        <v>0</v>
      </c>
      <c r="AW31" s="595">
        <f>'Business Build-up'!AW32</f>
        <v>0</v>
      </c>
      <c r="AX31" s="236">
        <f>'Business Build-up'!AX32</f>
        <v>0</v>
      </c>
      <c r="AY31" s="9"/>
      <c r="AZ31" s="71">
        <f>'Business Build-up'!AZ32</f>
        <v>0</v>
      </c>
      <c r="BA31" s="236">
        <f>'Business Build-up'!BA32</f>
        <v>0</v>
      </c>
      <c r="BB31" s="71">
        <f>'Business Build-up'!BB32</f>
        <v>0</v>
      </c>
      <c r="BC31" s="236">
        <f>'Business Build-up'!BC32</f>
        <v>0</v>
      </c>
      <c r="BD31" s="236">
        <f>'Business Build-up'!BD32</f>
        <v>0</v>
      </c>
      <c r="BE31" s="9"/>
      <c r="BF31" s="71">
        <f>'Business Build-up'!BF32</f>
        <v>0</v>
      </c>
      <c r="BG31" s="236">
        <f>'Business Build-up'!BG32</f>
        <v>0</v>
      </c>
      <c r="BH31" s="71">
        <f>'Business Build-up'!BH32</f>
        <v>0</v>
      </c>
      <c r="BI31" s="236">
        <f>'Business Build-up'!BI32</f>
        <v>0</v>
      </c>
      <c r="BJ31" s="236">
        <f>'Business Build-up'!BJ32</f>
        <v>0</v>
      </c>
      <c r="BK31" s="9"/>
      <c r="BL31" s="71">
        <f>'Business Build-up'!BL32</f>
        <v>0</v>
      </c>
      <c r="BM31" s="236">
        <f>'Business Build-up'!BM32</f>
        <v>0</v>
      </c>
      <c r="BN31" s="71">
        <f>'Business Build-up'!BN32</f>
        <v>0</v>
      </c>
      <c r="BO31" s="236">
        <f>'Business Build-up'!BO32</f>
        <v>0</v>
      </c>
      <c r="BP31" s="236">
        <f>'Business Build-up'!BP32</f>
        <v>0</v>
      </c>
      <c r="BQ31" s="9"/>
      <c r="BR31" s="71">
        <f>'Business Build-up'!BR32</f>
        <v>0</v>
      </c>
      <c r="BS31" s="236">
        <f>'Business Build-up'!BS32</f>
        <v>0</v>
      </c>
      <c r="BT31" s="71">
        <f>'Business Build-up'!BT32</f>
        <v>0</v>
      </c>
      <c r="BU31" s="236">
        <f>'Business Build-up'!BU32</f>
        <v>0</v>
      </c>
      <c r="BV31" s="236">
        <f>'Business Build-up'!BV32</f>
        <v>0</v>
      </c>
      <c r="BW31" s="9"/>
      <c r="BX31" s="71">
        <f>'Business Build-up'!BX32</f>
        <v>0</v>
      </c>
      <c r="BY31" s="236">
        <f>'Business Build-up'!BY32</f>
        <v>0</v>
      </c>
      <c r="BZ31" s="71">
        <f>'Business Build-up'!BZ32</f>
        <v>0</v>
      </c>
      <c r="CA31" s="236">
        <f>'Business Build-up'!CA32</f>
        <v>0</v>
      </c>
      <c r="CB31" s="236">
        <f>'Business Build-up'!CB32</f>
        <v>0</v>
      </c>
      <c r="CC31" s="9"/>
      <c r="CD31" s="71">
        <f>'Business Build-up'!CD32</f>
        <v>0</v>
      </c>
      <c r="CE31" s="236">
        <f>'Business Build-up'!CE32</f>
        <v>0</v>
      </c>
      <c r="CF31" s="71">
        <f>'Business Build-up'!CF32</f>
        <v>0</v>
      </c>
      <c r="CG31" s="236">
        <f>'Business Build-up'!CG32</f>
        <v>0</v>
      </c>
      <c r="CH31" s="236">
        <f>'Business Build-up'!CH32</f>
        <v>0</v>
      </c>
      <c r="CI31" s="9"/>
      <c r="CJ31" s="71">
        <f>'Business Build-up'!CJ32</f>
        <v>0</v>
      </c>
      <c r="CK31" s="236">
        <f>'Business Build-up'!CK32</f>
        <v>0</v>
      </c>
      <c r="CL31" s="71">
        <f>'Business Build-up'!CL32</f>
        <v>0</v>
      </c>
      <c r="CM31" s="236">
        <f>'Business Build-up'!CM32</f>
        <v>0</v>
      </c>
      <c r="CN31" s="236">
        <f>'Business Build-up'!CN32</f>
        <v>0</v>
      </c>
    </row>
    <row r="32" spans="2:92" ht="12.95" customHeight="1" x14ac:dyDescent="0.25">
      <c r="B32" s="14" t="s">
        <v>37</v>
      </c>
      <c r="D32" s="67">
        <f>D31/D$9</f>
        <v>0</v>
      </c>
      <c r="E32" s="67">
        <f t="shared" ref="E32:H32" si="103">E31/E$9</f>
        <v>0</v>
      </c>
      <c r="F32" s="67">
        <f t="shared" si="103"/>
        <v>0</v>
      </c>
      <c r="G32" s="67">
        <f t="shared" si="103"/>
        <v>0</v>
      </c>
      <c r="H32" s="67">
        <f t="shared" si="103"/>
        <v>0</v>
      </c>
      <c r="I32" s="1"/>
      <c r="J32" s="67">
        <f>J31/J$9</f>
        <v>0</v>
      </c>
      <c r="K32" s="67">
        <f t="shared" si="86"/>
        <v>0</v>
      </c>
      <c r="L32" s="67">
        <f t="shared" si="87"/>
        <v>0</v>
      </c>
      <c r="M32" s="67">
        <f t="shared" si="88"/>
        <v>0</v>
      </c>
      <c r="N32" s="67">
        <f t="shared" si="89"/>
        <v>0</v>
      </c>
      <c r="O32" s="1"/>
      <c r="P32" s="67">
        <f>P31/P$9</f>
        <v>0</v>
      </c>
      <c r="Q32" s="67">
        <f t="shared" ref="Q32:T32" si="104">Q31/Q$9</f>
        <v>0</v>
      </c>
      <c r="R32" s="67">
        <f t="shared" si="104"/>
        <v>0</v>
      </c>
      <c r="S32" s="67">
        <f t="shared" si="104"/>
        <v>0</v>
      </c>
      <c r="T32" s="67">
        <f t="shared" si="104"/>
        <v>0</v>
      </c>
      <c r="U32" s="71"/>
      <c r="V32" s="67">
        <f>V31/V$9</f>
        <v>0</v>
      </c>
      <c r="W32" s="67">
        <f t="shared" ref="W32:Z32" si="105">W31/W$9</f>
        <v>0</v>
      </c>
      <c r="X32" s="67">
        <f t="shared" si="105"/>
        <v>0</v>
      </c>
      <c r="Y32" s="67">
        <f t="shared" si="105"/>
        <v>0</v>
      </c>
      <c r="Z32" s="67">
        <f t="shared" si="105"/>
        <v>0</v>
      </c>
      <c r="AA32" s="71"/>
      <c r="AB32" s="67">
        <f>AB31/AB$9</f>
        <v>0</v>
      </c>
      <c r="AC32" s="67">
        <f t="shared" ref="AC32:AF32" si="106">AC31/AC$9</f>
        <v>0</v>
      </c>
      <c r="AD32" s="67">
        <f t="shared" si="106"/>
        <v>0</v>
      </c>
      <c r="AE32" s="67">
        <f t="shared" si="106"/>
        <v>0</v>
      </c>
      <c r="AF32" s="67">
        <f t="shared" si="106"/>
        <v>0</v>
      </c>
      <c r="AG32" s="9"/>
      <c r="AH32" s="67">
        <f>AH31/AH$9</f>
        <v>0</v>
      </c>
      <c r="AI32" s="67">
        <f t="shared" ref="AI32:AL32" si="107">AI31/AI$9</f>
        <v>0</v>
      </c>
      <c r="AJ32" s="67">
        <f t="shared" si="107"/>
        <v>0</v>
      </c>
      <c r="AK32" s="67">
        <f t="shared" si="107"/>
        <v>5.57329637886365E-2</v>
      </c>
      <c r="AL32" s="67">
        <f t="shared" si="107"/>
        <v>1.5565315429013748E-2</v>
      </c>
      <c r="AM32" s="9"/>
      <c r="AN32" s="67">
        <f>AN31/AN$9</f>
        <v>0</v>
      </c>
      <c r="AO32" s="239">
        <f t="shared" ref="AO32:AR32" si="108">AO31/AO$9</f>
        <v>0</v>
      </c>
      <c r="AP32" s="67">
        <f t="shared" si="108"/>
        <v>0</v>
      </c>
      <c r="AQ32" s="239">
        <f t="shared" si="108"/>
        <v>0</v>
      </c>
      <c r="AR32" s="239">
        <f t="shared" si="108"/>
        <v>0</v>
      </c>
      <c r="AS32" s="9"/>
      <c r="AT32" s="67">
        <f>AT31/AT$9</f>
        <v>0</v>
      </c>
      <c r="AU32" s="239">
        <f t="shared" ref="AU32:AX32" si="109">AU31/AU$9</f>
        <v>0</v>
      </c>
      <c r="AV32" s="239">
        <f t="shared" si="109"/>
        <v>0</v>
      </c>
      <c r="AW32" s="351">
        <f t="shared" si="109"/>
        <v>0</v>
      </c>
      <c r="AX32" s="239">
        <f t="shared" si="109"/>
        <v>0</v>
      </c>
      <c r="AY32" s="9"/>
      <c r="AZ32" s="67">
        <f>AZ31/AZ$9</f>
        <v>0</v>
      </c>
      <c r="BA32" s="239">
        <f t="shared" ref="BA32:BD32" si="110">BA31/BA$9</f>
        <v>0</v>
      </c>
      <c r="BB32" s="67">
        <f t="shared" si="110"/>
        <v>0</v>
      </c>
      <c r="BC32" s="239">
        <f t="shared" si="110"/>
        <v>0</v>
      </c>
      <c r="BD32" s="239">
        <f t="shared" si="110"/>
        <v>0</v>
      </c>
      <c r="BE32" s="9"/>
      <c r="BF32" s="67">
        <f>BF31/BF$9</f>
        <v>0</v>
      </c>
      <c r="BG32" s="239">
        <f t="shared" ref="BG32:BJ32" si="111">BG31/BG$9</f>
        <v>0</v>
      </c>
      <c r="BH32" s="67">
        <f t="shared" si="111"/>
        <v>0</v>
      </c>
      <c r="BI32" s="239">
        <f t="shared" si="111"/>
        <v>0</v>
      </c>
      <c r="BJ32" s="239">
        <f t="shared" si="111"/>
        <v>0</v>
      </c>
      <c r="BK32" s="9"/>
      <c r="BL32" s="67">
        <f>BL31/BL$9</f>
        <v>0</v>
      </c>
      <c r="BM32" s="239">
        <f t="shared" ref="BM32:BP32" si="112">BM31/BM$9</f>
        <v>0</v>
      </c>
      <c r="BN32" s="67">
        <f t="shared" si="112"/>
        <v>0</v>
      </c>
      <c r="BO32" s="239">
        <f t="shared" si="112"/>
        <v>0</v>
      </c>
      <c r="BP32" s="239">
        <f t="shared" si="112"/>
        <v>0</v>
      </c>
      <c r="BQ32" s="9"/>
      <c r="BR32" s="67">
        <f>BR31/BR$9</f>
        <v>0</v>
      </c>
      <c r="BS32" s="239">
        <f t="shared" ref="BS32:BV32" si="113">BS31/BS$9</f>
        <v>0</v>
      </c>
      <c r="BT32" s="67">
        <f t="shared" si="113"/>
        <v>0</v>
      </c>
      <c r="BU32" s="239">
        <f t="shared" si="113"/>
        <v>0</v>
      </c>
      <c r="BV32" s="239">
        <f t="shared" si="113"/>
        <v>0</v>
      </c>
      <c r="BW32" s="9"/>
      <c r="BX32" s="67">
        <f>BX31/BX$9</f>
        <v>0</v>
      </c>
      <c r="BY32" s="239">
        <f t="shared" ref="BY32:CB32" si="114">BY31/BY$9</f>
        <v>0</v>
      </c>
      <c r="BZ32" s="67">
        <f t="shared" si="114"/>
        <v>0</v>
      </c>
      <c r="CA32" s="239">
        <f t="shared" si="114"/>
        <v>0</v>
      </c>
      <c r="CB32" s="239">
        <f t="shared" si="114"/>
        <v>0</v>
      </c>
      <c r="CC32" s="9"/>
      <c r="CD32" s="67">
        <f>CD31/CD$9</f>
        <v>0</v>
      </c>
      <c r="CE32" s="239">
        <f t="shared" ref="CE32:CH32" si="115">CE31/CE$9</f>
        <v>0</v>
      </c>
      <c r="CF32" s="67">
        <f t="shared" si="115"/>
        <v>0</v>
      </c>
      <c r="CG32" s="239">
        <f t="shared" si="115"/>
        <v>0</v>
      </c>
      <c r="CH32" s="239">
        <f t="shared" si="115"/>
        <v>0</v>
      </c>
      <c r="CI32" s="9"/>
      <c r="CJ32" s="67">
        <f>CJ31/CJ$9</f>
        <v>0</v>
      </c>
      <c r="CK32" s="239">
        <f t="shared" ref="CK32:CN32" si="116">CK31/CK$9</f>
        <v>0</v>
      </c>
      <c r="CL32" s="67">
        <f t="shared" si="116"/>
        <v>0</v>
      </c>
      <c r="CM32" s="239">
        <f t="shared" si="116"/>
        <v>0</v>
      </c>
      <c r="CN32" s="239">
        <f t="shared" si="116"/>
        <v>0</v>
      </c>
    </row>
    <row r="33" spans="1:92" ht="12.95" customHeight="1" x14ac:dyDescent="0.25">
      <c r="B33" s="2" t="str">
        <f>'Business Build-up'!B35</f>
        <v>Other operating (income) expenses ($mm)</v>
      </c>
      <c r="D33" s="71">
        <f>'Business Build-up'!D35</f>
        <v>996</v>
      </c>
      <c r="E33" s="71">
        <f>'Business Build-up'!E35</f>
        <v>407</v>
      </c>
      <c r="F33" s="71">
        <f>'Business Build-up'!F35</f>
        <v>348</v>
      </c>
      <c r="G33" s="71">
        <f>'Business Build-up'!G35</f>
        <v>504</v>
      </c>
      <c r="H33" s="71">
        <f>'Business Build-up'!H35</f>
        <v>2255</v>
      </c>
      <c r="I33" s="1"/>
      <c r="J33" s="71">
        <f>'Business Build-up'!J35</f>
        <v>300</v>
      </c>
      <c r="K33" s="71">
        <f>'Business Build-up'!K35</f>
        <v>338</v>
      </c>
      <c r="L33" s="71">
        <f>'Business Build-up'!L35</f>
        <v>390</v>
      </c>
      <c r="M33" s="71">
        <f>'Business Build-up'!M35</f>
        <v>354</v>
      </c>
      <c r="N33" s="71">
        <f>'Business Build-up'!N35</f>
        <v>1382</v>
      </c>
      <c r="O33" s="1"/>
      <c r="P33" s="71">
        <f>'Business Build-up'!P35</f>
        <v>312</v>
      </c>
      <c r="Q33" s="71">
        <f>'Business Build-up'!Q35</f>
        <v>336</v>
      </c>
      <c r="R33" s="71">
        <f>'Business Build-up'!R35</f>
        <v>298</v>
      </c>
      <c r="S33" s="71">
        <f>'Business Build-up'!S35</f>
        <v>325</v>
      </c>
      <c r="T33" s="71">
        <f>'Business Build-up'!T35</f>
        <v>1271</v>
      </c>
      <c r="U33" s="71"/>
      <c r="V33" s="71">
        <f>'Business Build-up'!V35</f>
        <v>313</v>
      </c>
      <c r="W33" s="71">
        <f>'Business Build-up'!W35</f>
        <v>431</v>
      </c>
      <c r="X33" s="71">
        <f>'Business Build-up'!X35</f>
        <v>370</v>
      </c>
      <c r="Y33" s="71">
        <f>'Business Build-up'!Y35</f>
        <v>353</v>
      </c>
      <c r="Z33" s="71">
        <f>'Business Build-up'!Z35</f>
        <v>1467</v>
      </c>
      <c r="AA33" s="71"/>
      <c r="AB33" s="71">
        <f>'Business Build-up'!AB35</f>
        <v>323</v>
      </c>
      <c r="AC33" s="71">
        <f>'Business Build-up'!AC35</f>
        <v>293</v>
      </c>
      <c r="AD33" s="71">
        <f>'Business Build-up'!AD35</f>
        <v>238</v>
      </c>
      <c r="AE33" s="71">
        <f>'Business Build-up'!AE35</f>
        <v>220</v>
      </c>
      <c r="AF33" s="71">
        <f>'Business Build-up'!AF35</f>
        <v>1074</v>
      </c>
      <c r="AG33" s="1"/>
      <c r="AH33" s="71">
        <f>'Business Build-up'!AH35</f>
        <v>266</v>
      </c>
      <c r="AI33" s="71">
        <f>'Business Build-up'!AI35</f>
        <v>303</v>
      </c>
      <c r="AJ33" s="71">
        <f>'Business Build-up'!AJ35</f>
        <v>339</v>
      </c>
      <c r="AK33" s="71">
        <f>'Business Build-up'!AK35</f>
        <v>310</v>
      </c>
      <c r="AL33" s="71">
        <f>'Business Build-up'!AL35</f>
        <v>1218</v>
      </c>
      <c r="AN33" s="71">
        <f>'Business Build-up'!AN35</f>
        <v>876</v>
      </c>
      <c r="AO33" s="71">
        <f>'Business Build-up'!AO35</f>
        <v>300</v>
      </c>
      <c r="AP33" s="71">
        <f>'Business Build-up'!AP35</f>
        <v>320</v>
      </c>
      <c r="AQ33" s="71">
        <f>'Business Build-up'!AQ35</f>
        <v>322</v>
      </c>
      <c r="AR33" s="71">
        <f>'Business Build-up'!AR35</f>
        <v>1818</v>
      </c>
      <c r="AT33" s="71">
        <f>'Business Build-up'!AT35</f>
        <v>223</v>
      </c>
      <c r="AU33" s="71">
        <f>'Business Build-up'!AU35</f>
        <v>556</v>
      </c>
      <c r="AV33" s="236">
        <f>'Business Build-up'!AV35</f>
        <v>355</v>
      </c>
      <c r="AW33" s="595">
        <f>'Business Build-up'!AW35</f>
        <v>367.11949999999996</v>
      </c>
      <c r="AX33" s="71">
        <f>'Business Build-up'!AX35</f>
        <v>1501.1195</v>
      </c>
      <c r="AZ33" s="71">
        <f>'Business Build-up'!AZ35</f>
        <v>217.28420469649984</v>
      </c>
      <c r="BA33" s="71">
        <f>'Business Build-up'!BA35</f>
        <v>547.97766193300981</v>
      </c>
      <c r="BB33" s="71">
        <f>'Business Build-up'!BB35</f>
        <v>356.67272755494844</v>
      </c>
      <c r="BC33" s="71">
        <f>'Business Build-up'!BC35</f>
        <v>372.978859</v>
      </c>
      <c r="BD33" s="71">
        <f>'Business Build-up'!BD35</f>
        <v>1494.9134531844581</v>
      </c>
      <c r="BF33" s="71">
        <f>'Business Build-up'!BF35</f>
        <v>227.55359360076193</v>
      </c>
      <c r="BG33" s="71">
        <f>'Business Build-up'!BG35</f>
        <v>573.86959104865616</v>
      </c>
      <c r="BH33" s="71">
        <f>'Business Build-up'!BH35</f>
        <v>373.48661130288747</v>
      </c>
      <c r="BI33" s="71">
        <f>'Business Build-up'!BI35</f>
        <v>390.47846422243038</v>
      </c>
      <c r="BJ33" s="71">
        <f>'Business Build-up'!BJ35</f>
        <v>1565.3882601747359</v>
      </c>
      <c r="BL33" s="71">
        <f>'Business Build-up'!BL35</f>
        <v>236.85660160621978</v>
      </c>
      <c r="BM33" s="71">
        <f>'Business Build-up'!BM35</f>
        <v>597.45937448464474</v>
      </c>
      <c r="BN33" s="71">
        <f>'Business Build-up'!BN35</f>
        <v>388.79753789149862</v>
      </c>
      <c r="BO33" s="71">
        <f>'Business Build-up'!BO35</f>
        <v>406.57767391757295</v>
      </c>
      <c r="BP33" s="71">
        <f>'Business Build-up'!BP35</f>
        <v>1629.6911878999363</v>
      </c>
      <c r="BR33" s="71">
        <f>'Business Build-up'!BR35</f>
        <v>246.55617054899096</v>
      </c>
      <c r="BS33" s="71">
        <f>'Business Build-up'!BS35</f>
        <v>622.05983314189291</v>
      </c>
      <c r="BT33" s="71">
        <f>'Business Build-up'!BT35</f>
        <v>404.76281422991383</v>
      </c>
      <c r="BU33" s="71">
        <f>'Business Build-up'!BU35</f>
        <v>423.37032290239927</v>
      </c>
      <c r="BV33" s="71">
        <f>'Business Build-up'!BV35</f>
        <v>1696.749140823197</v>
      </c>
      <c r="BX33" s="71">
        <f>'Business Build-up'!BX35</f>
        <v>256.66978130525155</v>
      </c>
      <c r="BY33" s="71">
        <f>'Business Build-up'!BY35</f>
        <v>647.71571833533062</v>
      </c>
      <c r="BZ33" s="71">
        <f>'Business Build-up'!BZ35</f>
        <v>421.41134591670016</v>
      </c>
      <c r="CA33" s="71">
        <f>'Business Build-up'!CA35</f>
        <v>440.88729381413265</v>
      </c>
      <c r="CB33" s="71">
        <f>'Business Build-up'!CB35</f>
        <v>1766.6841393714149</v>
      </c>
      <c r="CD33" s="71">
        <f>'Business Build-up'!CD35</f>
        <v>267.21570609010786</v>
      </c>
      <c r="CE33" s="71">
        <f>'Business Build-up'!CE35</f>
        <v>674.47381495304694</v>
      </c>
      <c r="CF33" s="71">
        <f>'Business Build-up'!CF35</f>
        <v>438.77334914976205</v>
      </c>
      <c r="CG33" s="71">
        <f>'Business Build-up'!CG35</f>
        <v>459.16088014438691</v>
      </c>
      <c r="CH33" s="71">
        <f>'Business Build-up'!CH35</f>
        <v>1839.6237503373038</v>
      </c>
      <c r="CJ33" s="71">
        <f>'Business Build-up'!CJ35</f>
        <v>278.21304503760064</v>
      </c>
      <c r="CK33" s="71">
        <f>'Business Build-up'!CK35</f>
        <v>702.38303575844077</v>
      </c>
      <c r="CL33" s="71">
        <f>'Business Build-up'!CL35</f>
        <v>456.88041137724736</v>
      </c>
      <c r="CM33" s="71">
        <f>'Business Build-up'!CM35</f>
        <v>478.22485196265626</v>
      </c>
      <c r="CN33" s="71">
        <f>'Business Build-up'!CN35</f>
        <v>1915.701344135945</v>
      </c>
    </row>
    <row r="34" spans="1:92" ht="12.95" customHeight="1" x14ac:dyDescent="0.25">
      <c r="B34" s="14" t="s">
        <v>37</v>
      </c>
      <c r="D34" s="67">
        <f>D33/D$9</f>
        <v>0.10140500916310324</v>
      </c>
      <c r="E34" s="67">
        <f t="shared" ref="E34:H34" si="117">E33/E$9</f>
        <v>3.5919159827023213E-2</v>
      </c>
      <c r="F34" s="67">
        <f t="shared" si="117"/>
        <v>3.0491544729694207E-2</v>
      </c>
      <c r="G34" s="67">
        <f t="shared" si="117"/>
        <v>3.9081885856079406E-2</v>
      </c>
      <c r="H34" s="67">
        <f t="shared" si="117"/>
        <v>4.9601865294091767E-2</v>
      </c>
      <c r="I34" s="1"/>
      <c r="J34" s="67">
        <f>J33/J$9</f>
        <v>2.332996344972393E-2</v>
      </c>
      <c r="K34" s="67">
        <f t="shared" ref="K34" si="118">K33/K$9</f>
        <v>2.4123902647919492E-2</v>
      </c>
      <c r="L34" s="67">
        <f t="shared" ref="L34" si="119">L33/L$9</f>
        <v>2.8867505551443375E-2</v>
      </c>
      <c r="M34" s="67">
        <f t="shared" ref="M34" si="120">M33/M$9</f>
        <v>2.4682749965137359E-2</v>
      </c>
      <c r="N34" s="67">
        <f t="shared" ref="N34" si="121">N33/N$9</f>
        <v>2.5254924893096012E-2</v>
      </c>
      <c r="O34" s="1"/>
      <c r="P34" s="67">
        <f>P33/P$9</f>
        <v>2.316946383484331E-2</v>
      </c>
      <c r="Q34" s="67">
        <f t="shared" ref="Q34" si="122">Q33/Q$9</f>
        <v>2.3281596452328159E-2</v>
      </c>
      <c r="R34" s="67">
        <f t="shared" ref="R34" si="123">R33/R$9</f>
        <v>2.3357893086690704E-2</v>
      </c>
      <c r="S34" s="67">
        <f t="shared" ref="S34" si="124">S33/S$9</f>
        <v>2.4726110772976262E-2</v>
      </c>
      <c r="T34" s="67">
        <f t="shared" ref="T34" si="125">T33/T$9</f>
        <v>2.3624535315985129E-2</v>
      </c>
      <c r="U34" s="1"/>
      <c r="V34" s="67">
        <f>V33/V$9</f>
        <v>2.9431123648330983E-2</v>
      </c>
      <c r="W34" s="67">
        <f t="shared" ref="W34" si="126">W33/W$9</f>
        <v>4.3112933880164052E-2</v>
      </c>
      <c r="X34" s="67">
        <f t="shared" ref="X34" si="127">X33/X$9</f>
        <v>3.7445602671794351E-2</v>
      </c>
      <c r="Y34" s="67">
        <f t="shared" ref="Y34" si="128">Y33/Y$9</f>
        <v>3.141967067200712E-2</v>
      </c>
      <c r="Z34" s="67">
        <f t="shared" ref="Z34" si="129">Z33/Z$9</f>
        <v>3.5139407875826388E-2</v>
      </c>
      <c r="AA34" s="1"/>
      <c r="AB34" s="67">
        <f>AB33/AB$9</f>
        <v>2.7172541431816268E-2</v>
      </c>
      <c r="AC34" s="67">
        <f t="shared" ref="AC34" si="130">AC33/AC$9</f>
        <v>2.2732562650321982E-2</v>
      </c>
      <c r="AD34" s="67">
        <f t="shared" ref="AD34" si="131">AD33/AD$9</f>
        <v>1.9198193111236588E-2</v>
      </c>
      <c r="AE34" s="67">
        <f t="shared" ref="AE34" si="132">AE33/AE$9</f>
        <v>1.5944339759385417E-2</v>
      </c>
      <c r="AF34" s="67">
        <f t="shared" ref="AF34" si="133">AF33/AF$9</f>
        <v>2.1070804967530558E-2</v>
      </c>
      <c r="AG34" s="9"/>
      <c r="AH34" s="67">
        <f>AH33/AH$9</f>
        <v>1.957465597174185E-2</v>
      </c>
      <c r="AI34" s="67">
        <f t="shared" ref="AI34" si="134">AI33/AI$9</f>
        <v>2.1267635291640344E-2</v>
      </c>
      <c r="AJ34" s="67">
        <f t="shared" ref="AJ34" si="135">AJ33/AJ$9</f>
        <v>2.2609043617446978E-2</v>
      </c>
      <c r="AK34" s="67">
        <f t="shared" ref="AK34" si="136">AK33/AK$9</f>
        <v>1.8678074350786288E-2</v>
      </c>
      <c r="AL34" s="67">
        <f t="shared" ref="AL34" si="137">AL33/AL$9</f>
        <v>2.0495734262204048E-2</v>
      </c>
      <c r="AM34" s="9"/>
      <c r="AN34" s="67">
        <f>AN33/AN$9</f>
        <v>5.5226327070987263E-2</v>
      </c>
      <c r="AO34" s="67">
        <f t="shared" ref="AO34" si="138">AO33/AO$9</f>
        <v>1.7323016514609078E-2</v>
      </c>
      <c r="AP34" s="67">
        <f t="shared" ref="AP34" si="139">AP33/AP$9</f>
        <v>1.9036287923854849E-2</v>
      </c>
      <c r="AQ34" s="67">
        <f t="shared" ref="AQ34" si="140">AQ33/AQ$9</f>
        <v>1.8863503222026949E-2</v>
      </c>
      <c r="AR34" s="67">
        <f t="shared" ref="AR34" si="141">AR33/AR$9</f>
        <v>2.7110050700864897E-2</v>
      </c>
      <c r="AS34" s="9"/>
      <c r="AT34" s="67">
        <f>AT33/AT$9</f>
        <v>1.4114817393505919E-2</v>
      </c>
      <c r="AU34" s="67">
        <f t="shared" ref="AU34" si="142">AU33/AU$9</f>
        <v>3.3315357421055784E-2</v>
      </c>
      <c r="AV34" s="239">
        <f t="shared" ref="AV34" si="143">AV33/AV$9</f>
        <v>2.2041475226623617E-2</v>
      </c>
      <c r="AW34" s="351">
        <f t="shared" ref="AW34" si="144">AW33/AW$9</f>
        <v>2.1999999999999999E-2</v>
      </c>
      <c r="AX34" s="67">
        <f t="shared" ref="AX34" si="145">AX33/AX$9</f>
        <v>2.2994650071804693E-2</v>
      </c>
      <c r="AY34" s="9"/>
      <c r="AZ34" s="67">
        <f>AZ33/AZ$9</f>
        <v>1.4114817393505919E-2</v>
      </c>
      <c r="BA34" s="67">
        <f t="shared" ref="BA34" si="146">BA33/BA$9</f>
        <v>3.3315357421055784E-2</v>
      </c>
      <c r="BB34" s="67">
        <f t="shared" ref="BB34" si="147">BB33/BB$9</f>
        <v>2.2041475226623617E-2</v>
      </c>
      <c r="BC34" s="67">
        <f t="shared" ref="BC34" si="148">BC33/BC$9</f>
        <v>2.1999999999999999E-2</v>
      </c>
      <c r="BD34" s="67">
        <f t="shared" ref="BD34" si="149">BD33/BD$9</f>
        <v>2.3006552856193942E-2</v>
      </c>
      <c r="BE34" s="9"/>
      <c r="BF34" s="67">
        <f>BF33/BF$9</f>
        <v>1.4114817393505919E-2</v>
      </c>
      <c r="BG34" s="67">
        <f t="shared" ref="BG34" si="150">BG33/BG$9</f>
        <v>3.3315357421055784E-2</v>
      </c>
      <c r="BH34" s="67">
        <f t="shared" ref="BH34" si="151">BH33/BH$9</f>
        <v>2.2041475226623617E-2</v>
      </c>
      <c r="BI34" s="67">
        <f t="shared" ref="BI34" si="152">BI33/BI$9</f>
        <v>2.1999999999999999E-2</v>
      </c>
      <c r="BJ34" s="67">
        <f t="shared" ref="BJ34" si="153">BJ33/BJ$9</f>
        <v>2.3006635870185435E-2</v>
      </c>
      <c r="BK34" s="9"/>
      <c r="BL34" s="67">
        <f>BL33/BL$9</f>
        <v>1.4114817393505919E-2</v>
      </c>
      <c r="BM34" s="67">
        <f t="shared" ref="BM34" si="154">BM33/BM$9</f>
        <v>3.3315357421055784E-2</v>
      </c>
      <c r="BN34" s="67">
        <f t="shared" ref="BN34" si="155">BN33/BN$9</f>
        <v>2.2041475226623617E-2</v>
      </c>
      <c r="BO34" s="67">
        <f t="shared" ref="BO34" si="156">BO33/BO$9</f>
        <v>2.1999999999999999E-2</v>
      </c>
      <c r="BP34" s="67">
        <f t="shared" ref="BP34" si="157">BP33/BP$9</f>
        <v>2.3007083646916043E-2</v>
      </c>
      <c r="BQ34" s="9"/>
      <c r="BR34" s="67">
        <f>BR33/BR$9</f>
        <v>1.4114817393505919E-2</v>
      </c>
      <c r="BS34" s="67">
        <f t="shared" ref="BS34" si="158">BS33/BS$9</f>
        <v>3.3315357421055784E-2</v>
      </c>
      <c r="BT34" s="67">
        <f t="shared" ref="BT34" si="159">BT33/BT$9</f>
        <v>2.2041475226623617E-2</v>
      </c>
      <c r="BU34" s="67">
        <f t="shared" ref="BU34" si="160">BU33/BU$9</f>
        <v>2.1999999999999999E-2</v>
      </c>
      <c r="BV34" s="67">
        <f t="shared" ref="BV34" si="161">BV33/BV$9</f>
        <v>2.3007530363894746E-2</v>
      </c>
      <c r="BW34" s="9"/>
      <c r="BX34" s="67">
        <f>BX33/BX$9</f>
        <v>1.4114817393505919E-2</v>
      </c>
      <c r="BY34" s="67">
        <f t="shared" ref="BY34" si="162">BY33/BY$9</f>
        <v>3.3315357421055784E-2</v>
      </c>
      <c r="BZ34" s="67">
        <f t="shared" ref="BZ34" si="163">BZ33/BZ$9</f>
        <v>2.2041475226623617E-2</v>
      </c>
      <c r="CA34" s="67">
        <f t="shared" ref="CA34" si="164">CA33/CA$9</f>
        <v>2.1999999999999999E-2</v>
      </c>
      <c r="CB34" s="67">
        <f t="shared" ref="CB34" si="165">CB33/CB$9</f>
        <v>2.3007975995704918E-2</v>
      </c>
      <c r="CC34" s="9"/>
      <c r="CD34" s="67">
        <f>CD33/CD$9</f>
        <v>1.4114817393505921E-2</v>
      </c>
      <c r="CE34" s="67">
        <f t="shared" ref="CE34" si="166">CE33/CE$9</f>
        <v>3.3315357421055784E-2</v>
      </c>
      <c r="CF34" s="67">
        <f t="shared" ref="CF34" si="167">CF33/CF$9</f>
        <v>2.2041475226623617E-2</v>
      </c>
      <c r="CG34" s="67">
        <f t="shared" ref="CG34" si="168">CG33/CG$9</f>
        <v>2.1999999999999999E-2</v>
      </c>
      <c r="CH34" s="67">
        <f t="shared" ref="CH34" si="169">CH33/CH$9</f>
        <v>2.3008420517179204E-2</v>
      </c>
      <c r="CI34" s="9"/>
      <c r="CJ34" s="67">
        <f>CJ33/CJ$9</f>
        <v>1.4114817393505919E-2</v>
      </c>
      <c r="CK34" s="67">
        <f t="shared" ref="CK34" si="170">CK33/CK$9</f>
        <v>3.3315357421055784E-2</v>
      </c>
      <c r="CL34" s="67">
        <f t="shared" ref="CL34" si="171">CL33/CL$9</f>
        <v>2.2041475226623617E-2</v>
      </c>
      <c r="CM34" s="67">
        <f t="shared" ref="CM34" si="172">CM33/CM$9</f>
        <v>2.1999999999999999E-2</v>
      </c>
      <c r="CN34" s="67">
        <f t="shared" ref="CN34" si="173">CN33/CN$9</f>
        <v>2.3008863903407201E-2</v>
      </c>
    </row>
    <row r="35" spans="1:92" ht="12.75" customHeight="1" x14ac:dyDescent="0.25">
      <c r="B35" s="13" t="s">
        <v>127</v>
      </c>
      <c r="C35" s="13"/>
      <c r="D35" s="73">
        <f>D23-D25-D27-D29-D31-D33</f>
        <v>380</v>
      </c>
      <c r="E35" s="73">
        <f>E23-E25-E27-E29-E31-E33</f>
        <v>1184</v>
      </c>
      <c r="F35" s="73">
        <f>F23-F25-F27-F29-F31-F33</f>
        <v>1509</v>
      </c>
      <c r="G35" s="73">
        <f>G23-G25-G27-G29-G31-G33</f>
        <v>1387</v>
      </c>
      <c r="H35" s="73">
        <f>H23-H25-H27-H29-H31-H33</f>
        <v>4460</v>
      </c>
      <c r="I35" s="66"/>
      <c r="J35" s="73">
        <f>J23-J25-J27-J29-J31-J33</f>
        <v>2108</v>
      </c>
      <c r="K35" s="73">
        <f>K23-K25-K27-K29-K31-K33</f>
        <v>2167</v>
      </c>
      <c r="L35" s="73">
        <f>L23-L25-L27-L29-L31-L33</f>
        <v>2135</v>
      </c>
      <c r="M35" s="73">
        <f>M23-M25-M27-M29-M31-M33</f>
        <v>1883</v>
      </c>
      <c r="N35" s="73">
        <f>N23-N25-N27-N29-N31-N33</f>
        <v>8293</v>
      </c>
      <c r="O35" s="66"/>
      <c r="P35" s="73">
        <f>P23-P25-P27-P29-P31-P33</f>
        <v>2207</v>
      </c>
      <c r="Q35" s="73">
        <f>Q23-Q25-Q27-Q29-Q31-Q33</f>
        <v>2213</v>
      </c>
      <c r="R35" s="73">
        <f>R23-R25-R27-R29-R31-R33</f>
        <v>2020</v>
      </c>
      <c r="S35" s="73">
        <f>S23-S25-S27-S29-S31-S33</f>
        <v>1850</v>
      </c>
      <c r="T35" s="73">
        <f>T23-T25-T27-T29-T31-T33</f>
        <v>8290</v>
      </c>
      <c r="U35" s="66"/>
      <c r="V35" s="73">
        <f>V23-V25-V27-V29-V31-V33</f>
        <v>1404</v>
      </c>
      <c r="W35" s="73">
        <f>W23-W25-W27-W29-W31-W33</f>
        <v>784</v>
      </c>
      <c r="X35" s="73">
        <f>X23-X25-X27-X29-X31-X33</f>
        <v>985</v>
      </c>
      <c r="Y35" s="73">
        <f>Y23-Y25-Y27-Y29-Y31-Y33</f>
        <v>1380</v>
      </c>
      <c r="Z35" s="73">
        <f>Z23-Z25-Z27-Z29-Z31-Z33</f>
        <v>4553</v>
      </c>
      <c r="AA35" s="66"/>
      <c r="AB35" s="73">
        <f>AB23-AB25-AB27-AB29-AB31-AB33</f>
        <v>1814</v>
      </c>
      <c r="AC35" s="73">
        <f>AC23-AC25-AC27-AC29-AC31-AC33</f>
        <v>1789</v>
      </c>
      <c r="AD35" s="73">
        <f>AD23-AD25-AD27-AD29-AD31-AD33</f>
        <v>1664</v>
      </c>
      <c r="AE35" s="73">
        <f>AE23-AE25-AE27-AE29-AE31-AE33</f>
        <v>1611</v>
      </c>
      <c r="AF35" s="73">
        <f>AF23-AF25-AF27-AF29-AF31-AF33</f>
        <v>6878</v>
      </c>
      <c r="AG35" s="66"/>
      <c r="AH35" s="73">
        <f>AH23-AH25-AH27-AH29-AH31-AH33</f>
        <v>1855</v>
      </c>
      <c r="AI35" s="73">
        <f>AI23-AI25-AI27-AI29-AI31-AI33</f>
        <v>1944</v>
      </c>
      <c r="AJ35" s="73">
        <f>AJ23-AJ25-AJ27-AJ29-AJ31-AJ33</f>
        <v>2425</v>
      </c>
      <c r="AK35" s="73">
        <f>AK23-AK25-AK27-AK29-AK31-AK33</f>
        <v>1680</v>
      </c>
      <c r="AL35" s="73">
        <f>AL23-AL25-AL27-AL29-AL31-AL33</f>
        <v>7904</v>
      </c>
      <c r="AM35" s="13"/>
      <c r="AN35" s="73">
        <f>AN23-AN25-AN27-AN29-AN31-AN33</f>
        <v>2731</v>
      </c>
      <c r="AO35" s="73">
        <f>AO23-AO25-AO27-AO29-AO31-AO33</f>
        <v>3652</v>
      </c>
      <c r="AP35" s="73">
        <f>AP23-AP25-AP27-AP29-AP31-AP33</f>
        <v>3449</v>
      </c>
      <c r="AQ35" s="73">
        <f>AQ23-AQ25-AQ27-AQ29-AQ31-AQ33</f>
        <v>3134</v>
      </c>
      <c r="AR35" s="73">
        <f>AR23-AR25-AR27-AR29-AR31-AR33</f>
        <v>12966</v>
      </c>
      <c r="AS35" s="13"/>
      <c r="AT35" s="73">
        <f>AT23-AT25-AT27-AT29-AT31-AT33</f>
        <v>3519</v>
      </c>
      <c r="AU35" s="73">
        <f>AU23-AU25-AU27-AU29-AU31-AU33</f>
        <v>3482</v>
      </c>
      <c r="AV35" s="73">
        <f>AV23-AV25-AV27-AV29-AV31-AV33</f>
        <v>3147</v>
      </c>
      <c r="AW35" s="600">
        <f>AW23-AW25-AW27-AW29-AW31-AW33</f>
        <v>3100.1915876932271</v>
      </c>
      <c r="AX35" s="73">
        <f>AX23-AX25-AX27-AX29-AX31-AX33</f>
        <v>13248.191587693231</v>
      </c>
      <c r="AY35" s="13"/>
      <c r="AZ35" s="73">
        <f>AZ23-AZ25-AZ27-AZ29-AZ31-AZ33</f>
        <v>3231.568766937854</v>
      </c>
      <c r="BA35" s="73">
        <f>BA23-BA25-BA27-BA29-BA31-BA33</f>
        <v>3450.8981351930061</v>
      </c>
      <c r="BB35" s="73">
        <f>BB23-BB25-BB27-BB29-BB31-BB33</f>
        <v>3134.4736549037366</v>
      </c>
      <c r="BC35" s="73">
        <f>BC23-BC25-BC27-BC29-BC31-BC33</f>
        <v>3192.079295509553</v>
      </c>
      <c r="BD35" s="73">
        <f>BD23-BD25-BD27-BD29-BD31-BD33</f>
        <v>13009.019852544148</v>
      </c>
      <c r="BE35" s="13"/>
      <c r="BF35" s="73">
        <f>BF23-BF25-BF27-BF29-BF31-BF33</f>
        <v>3497.6791430740236</v>
      </c>
      <c r="BG35" s="73">
        <f>BG23-BG25-BG27-BG29-BG31-BG33</f>
        <v>3735.5436364069506</v>
      </c>
      <c r="BH35" s="73">
        <f>BH23-BH25-BH27-BH29-BH31-BH33</f>
        <v>3413.2260532998635</v>
      </c>
      <c r="BI35" s="73">
        <f>BI23-BI25-BI27-BI29-BI31-BI33</f>
        <v>3481.0559950928659</v>
      </c>
      <c r="BJ35" s="73">
        <f>BJ23-BJ25-BJ27-BJ29-BJ31-BJ33</f>
        <v>14127.504827873705</v>
      </c>
      <c r="BK35" s="13"/>
      <c r="BL35" s="73">
        <f>BL23-BL25-BL27-BL29-BL31-BL33</f>
        <v>3696.8856516183669</v>
      </c>
      <c r="BM35" s="73">
        <f>BM23-BM25-BM27-BM29-BM31-BM33</f>
        <v>3949.0373271075136</v>
      </c>
      <c r="BN35" s="73">
        <f>BN23-BN25-BN27-BN29-BN31-BN33</f>
        <v>3622.4581578378634</v>
      </c>
      <c r="BO35" s="73">
        <f>BO23-BO25-BO27-BO29-BO31-BO33</f>
        <v>3698.792917792714</v>
      </c>
      <c r="BP35" s="73">
        <f>BP23-BP25-BP27-BP29-BP31-BP33</f>
        <v>14967.17405435645</v>
      </c>
      <c r="BQ35" s="13"/>
      <c r="BR35" s="73">
        <f>BR23-BR25-BR27-BR29-BR31-BR33</f>
        <v>3907.8405361158593</v>
      </c>
      <c r="BS35" s="73">
        <f>BS23-BS25-BS27-BS29-BS31-BS33</f>
        <v>4175.1465230836693</v>
      </c>
      <c r="BT35" s="73">
        <f>BT23-BT25-BT27-BT29-BT31-BT33</f>
        <v>3844.2003110615478</v>
      </c>
      <c r="BU35" s="73">
        <f>BU23-BU25-BU27-BU29-BU31-BU33</f>
        <v>3929.4095102245719</v>
      </c>
      <c r="BV35" s="73">
        <f>BV23-BV25-BV27-BV29-BV31-BV33</f>
        <v>15856.596880485647</v>
      </c>
      <c r="BW35" s="13"/>
      <c r="BX35" s="73">
        <f>BX23-BX25-BX27-BX29-BX31-BX33</f>
        <v>4127.6352546988492</v>
      </c>
      <c r="BY35" s="73">
        <f>BY23-BY25-BY27-BY29-BY31-BY33</f>
        <v>4410.7787131656005</v>
      </c>
      <c r="BZ35" s="73">
        <f>BZ23-BZ25-BZ27-BZ29-BZ31-BZ33</f>
        <v>4075.2653281973398</v>
      </c>
      <c r="CA35" s="73">
        <f>CA23-CA25-CA27-CA29-CA31-CA33</f>
        <v>4169.8099750312276</v>
      </c>
      <c r="CB35" s="73">
        <f>CB23-CB25-CB27-CB29-CB31-CB33</f>
        <v>16783.489271093014</v>
      </c>
      <c r="CC35" s="13"/>
      <c r="CD35" s="73">
        <f>CD23-CD25-CD27-CD29-CD31-CD33</f>
        <v>4356.6529904154822</v>
      </c>
      <c r="CE35" s="73">
        <f>CE23-CE25-CE27-CE29-CE31-CE33</f>
        <v>4656.3486017247978</v>
      </c>
      <c r="CF35" s="73">
        <f>CF23-CF25-CF27-CF29-CF31-CF33</f>
        <v>4316.0584322401282</v>
      </c>
      <c r="CG35" s="73">
        <f>CG23-CG25-CG27-CG29-CG31-CG33</f>
        <v>4420.4236033734633</v>
      </c>
      <c r="CH35" s="73">
        <f>CH23-CH25-CH27-CH29-CH31-CH33</f>
        <v>17749.483627753874</v>
      </c>
      <c r="CI35" s="13"/>
      <c r="CJ35" s="73">
        <f>CJ23-CJ25-CJ27-CJ29-CJ31-CJ33</f>
        <v>4600.9338967960439</v>
      </c>
      <c r="CK35" s="73">
        <f>CK23-CK25-CK27-CK29-CK31-CK33</f>
        <v>4918.0026374826384</v>
      </c>
      <c r="CL35" s="73">
        <f>CL23-CL25-CL27-CL29-CL31-CL33</f>
        <v>4572.8873170728684</v>
      </c>
      <c r="CM35" s="73">
        <f>CM23-CM25-CM27-CM29-CM31-CM33</f>
        <v>4687.5866773338275</v>
      </c>
      <c r="CN35" s="73">
        <f>CN23-CN25-CN27-CN29-CN31-CN33</f>
        <v>18779.410528685377</v>
      </c>
    </row>
    <row r="36" spans="1:92" ht="12.95" customHeight="1" x14ac:dyDescent="0.25">
      <c r="B36" s="14" t="s">
        <v>117</v>
      </c>
      <c r="D36" s="67">
        <f>D35/D$9</f>
        <v>3.8688658114436981E-2</v>
      </c>
      <c r="E36" s="67">
        <f t="shared" ref="E36:H36" si="174">E35/E$9</f>
        <v>0.10449210131497662</v>
      </c>
      <c r="F36" s="67">
        <f t="shared" si="174"/>
        <v>0.13221764654341539</v>
      </c>
      <c r="G36" s="67">
        <f t="shared" si="174"/>
        <v>0.10755272952853598</v>
      </c>
      <c r="H36" s="67">
        <f t="shared" si="174"/>
        <v>9.8103910958602783E-2</v>
      </c>
      <c r="I36" s="1"/>
      <c r="J36" s="67">
        <f>J35/J$9</f>
        <v>0.1639318765067268</v>
      </c>
      <c r="K36" s="67">
        <f t="shared" ref="K36" si="175">K35/K$9</f>
        <v>0.15466419242024124</v>
      </c>
      <c r="L36" s="67">
        <f t="shared" ref="L36" si="176">L35/L$9</f>
        <v>0.15803108808290156</v>
      </c>
      <c r="M36" s="67">
        <f t="shared" ref="M36" si="177">M35/M$9</f>
        <v>0.13129270673546228</v>
      </c>
      <c r="N36" s="67">
        <f t="shared" ref="N36" si="178">N35/N$9</f>
        <v>0.15154782354446109</v>
      </c>
      <c r="O36" s="1"/>
      <c r="P36" s="67">
        <f>P35/P$9</f>
        <v>0.1638942521907025</v>
      </c>
      <c r="Q36" s="67">
        <f t="shared" ref="Q36:T36" si="179">Q35/Q$9</f>
        <v>0.15333980044345899</v>
      </c>
      <c r="R36" s="67">
        <f t="shared" si="179"/>
        <v>0.1583320269634739</v>
      </c>
      <c r="S36" s="67">
        <f t="shared" si="179"/>
        <v>0.14074863055386488</v>
      </c>
      <c r="T36" s="67">
        <f t="shared" si="179"/>
        <v>0.15408921933085501</v>
      </c>
      <c r="U36" s="1"/>
      <c r="V36" s="67">
        <f>V35/V$9</f>
        <v>0.13201692524682651</v>
      </c>
      <c r="W36" s="67">
        <f t="shared" ref="W36:Z36" si="180">W35/W$9</f>
        <v>7.8423527058117434E-2</v>
      </c>
      <c r="X36" s="67">
        <f t="shared" si="180"/>
        <v>9.9686266572209289E-2</v>
      </c>
      <c r="Y36" s="67">
        <f t="shared" si="180"/>
        <v>0.12283044058744993</v>
      </c>
      <c r="Z36" s="67">
        <f t="shared" si="180"/>
        <v>0.10905911660438823</v>
      </c>
      <c r="AA36" s="1"/>
      <c r="AB36" s="67">
        <f>AB35/AB$9</f>
        <v>0.15260368469756877</v>
      </c>
      <c r="AC36" s="67">
        <f t="shared" ref="AC36:AF36" si="181">AC35/AC$9</f>
        <v>0.13880052758165878</v>
      </c>
      <c r="AD36" s="67">
        <f t="shared" si="181"/>
        <v>0.13422602242478018</v>
      </c>
      <c r="AE36" s="67">
        <f t="shared" si="181"/>
        <v>0.1167560516016814</v>
      </c>
      <c r="AF36" s="67">
        <f t="shared" si="181"/>
        <v>0.13493947538796572</v>
      </c>
      <c r="AG36" s="1"/>
      <c r="AH36" s="67">
        <f>AH35/AH$9</f>
        <v>0.1365074692766208</v>
      </c>
      <c r="AI36" s="67">
        <f t="shared" ref="AI36:AL36" si="182">AI35/AI$9</f>
        <v>0.13644977890082122</v>
      </c>
      <c r="AJ36" s="67">
        <f t="shared" si="182"/>
        <v>0.16173135921035081</v>
      </c>
      <c r="AK36" s="67">
        <f t="shared" si="182"/>
        <v>0.10122311261071278</v>
      </c>
      <c r="AL36" s="67">
        <f t="shared" si="182"/>
        <v>0.13300351691991855</v>
      </c>
      <c r="AN36" s="67">
        <f>AN35/AN$9</f>
        <v>0.17217248770646829</v>
      </c>
      <c r="AO36" s="239">
        <f t="shared" ref="AO36:AR36" si="183">AO35/AO$9</f>
        <v>0.21087885437117451</v>
      </c>
      <c r="AP36" s="67">
        <f t="shared" si="183"/>
        <v>0.20517549077929803</v>
      </c>
      <c r="AQ36" s="239">
        <f t="shared" si="183"/>
        <v>0.18359695371997656</v>
      </c>
      <c r="AR36" s="239">
        <f t="shared" si="183"/>
        <v>0.19334923948702654</v>
      </c>
      <c r="AT36" s="67">
        <f>AT35/AT$9</f>
        <v>0.22273561617823912</v>
      </c>
      <c r="AU36" s="239">
        <f t="shared" ref="AU36:AX36" si="184">AU35/AU$9</f>
        <v>0.20864042183474144</v>
      </c>
      <c r="AV36" s="239">
        <f t="shared" si="184"/>
        <v>0.19539302123432262</v>
      </c>
      <c r="AW36" s="351">
        <f t="shared" si="184"/>
        <v>0.18578205442437951</v>
      </c>
      <c r="AX36" s="239">
        <f t="shared" si="184"/>
        <v>0.20294022537395087</v>
      </c>
      <c r="AZ36" s="67">
        <f>AZ35/AZ$9</f>
        <v>0.20992323442744784</v>
      </c>
      <c r="BA36" s="239">
        <f t="shared" ref="BA36:BD36" si="185">BA35/BA$9</f>
        <v>0.20980399892954887</v>
      </c>
      <c r="BB36" s="67">
        <f t="shared" si="185"/>
        <v>0.19370256842085423</v>
      </c>
      <c r="BC36" s="239">
        <f t="shared" si="185"/>
        <v>0.18828344504429448</v>
      </c>
      <c r="BD36" s="239">
        <f t="shared" si="185"/>
        <v>0.20020737803066876</v>
      </c>
      <c r="BF36" s="67">
        <f>BF35/BF$9</f>
        <v>0.21695593387191753</v>
      </c>
      <c r="BG36" s="239">
        <f t="shared" ref="BG36:BJ36" si="186">BG35/BG$9</f>
        <v>0.21686280881590797</v>
      </c>
      <c r="BH36" s="67">
        <f t="shared" si="186"/>
        <v>0.20143302388867618</v>
      </c>
      <c r="BI36" s="239">
        <f t="shared" si="186"/>
        <v>0.19612664694465332</v>
      </c>
      <c r="BJ36" s="239">
        <f t="shared" si="186"/>
        <v>0.20763306305420748</v>
      </c>
      <c r="BL36" s="67">
        <f>BL35/BL$9</f>
        <v>0.220305727361644</v>
      </c>
      <c r="BM36" s="239">
        <f t="shared" ref="BM36:BP36" si="187">BM35/BM$9</f>
        <v>0.22020508111561801</v>
      </c>
      <c r="BN36" s="67">
        <f t="shared" si="187"/>
        <v>0.20536221031251994</v>
      </c>
      <c r="BO36" s="239">
        <f t="shared" si="187"/>
        <v>0.20014243135233456</v>
      </c>
      <c r="BP36" s="239">
        <f t="shared" si="187"/>
        <v>0.2112983293910243</v>
      </c>
      <c r="BR36" s="67">
        <f>BR35/BR$9</f>
        <v>0.2237155754301253</v>
      </c>
      <c r="BS36" s="239">
        <f t="shared" ref="BS36:BV36" si="188">BS35/BS$9</f>
        <v>0.22360630166275763</v>
      </c>
      <c r="BT36" s="67">
        <f t="shared" si="188"/>
        <v>0.2093370313269747</v>
      </c>
      <c r="BU36" s="239">
        <f t="shared" si="188"/>
        <v>0.20418769230754383</v>
      </c>
      <c r="BV36" s="239">
        <f t="shared" si="188"/>
        <v>0.21501182786443912</v>
      </c>
      <c r="BX36" s="67">
        <f>BX35/BX$9</f>
        <v>0.22698744507746815</v>
      </c>
      <c r="BY36" s="239">
        <f t="shared" ref="BY36:CB36" si="189">BY35/BY$9</f>
        <v>0.22686908033042408</v>
      </c>
      <c r="BZ36" s="67">
        <f t="shared" si="189"/>
        <v>0.21315244746907072</v>
      </c>
      <c r="CA36" s="239">
        <f t="shared" si="189"/>
        <v>0.20807090777571965</v>
      </c>
      <c r="CB36" s="239">
        <f t="shared" si="189"/>
        <v>0.21857564103726684</v>
      </c>
      <c r="CD36" s="67">
        <f>CD35/CD$9</f>
        <v>0.23012629873578555</v>
      </c>
      <c r="CE36" s="239">
        <f t="shared" ref="CE36:CH36" si="190">CE35/CE$9</f>
        <v>0.22999842915220378</v>
      </c>
      <c r="CF36" s="67">
        <f t="shared" si="190"/>
        <v>0.21681420531858742</v>
      </c>
      <c r="CG36" s="239">
        <f t="shared" si="190"/>
        <v>0.21179791981328056</v>
      </c>
      <c r="CH36" s="239">
        <f t="shared" si="190"/>
        <v>0.22199516786803214</v>
      </c>
      <c r="CJ36" s="67">
        <f>CJ35/CJ$9</f>
        <v>0.23342306534940124</v>
      </c>
      <c r="CK36" s="239">
        <f t="shared" ref="CK36:CN36" si="191">CK35/CK$9</f>
        <v>0.23327017784321558</v>
      </c>
      <c r="CL36" s="67">
        <f t="shared" si="191"/>
        <v>0.22061173997275574</v>
      </c>
      <c r="CM36" s="239">
        <f t="shared" si="191"/>
        <v>0.21564522729863733</v>
      </c>
      <c r="CN36" s="239">
        <f t="shared" si="191"/>
        <v>0.22555337363174666</v>
      </c>
    </row>
    <row r="37" spans="1:92" ht="12.95" customHeight="1" x14ac:dyDescent="0.25">
      <c r="B37" s="1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N37" s="1"/>
      <c r="AO37" s="252"/>
      <c r="AP37" s="1"/>
      <c r="AQ37" s="252"/>
      <c r="AR37" s="252"/>
      <c r="AT37" s="1"/>
      <c r="AU37" s="252"/>
      <c r="AV37" s="252"/>
      <c r="AW37" s="349"/>
      <c r="AX37" s="252"/>
      <c r="AZ37" s="1"/>
      <c r="BA37" s="252"/>
      <c r="BB37" s="1"/>
      <c r="BC37" s="252"/>
      <c r="BD37" s="252"/>
      <c r="BF37" s="1"/>
      <c r="BG37" s="252"/>
      <c r="BH37" s="1"/>
      <c r="BI37" s="252"/>
      <c r="BJ37" s="252"/>
      <c r="BL37" s="1"/>
      <c r="BM37" s="252"/>
      <c r="BN37" s="1"/>
      <c r="BO37" s="252"/>
      <c r="BP37" s="252"/>
      <c r="BR37" s="1"/>
      <c r="BS37" s="252"/>
      <c r="BT37" s="1"/>
      <c r="BU37" s="252"/>
      <c r="BV37" s="252"/>
      <c r="BX37" s="1"/>
      <c r="BY37" s="252"/>
      <c r="BZ37" s="1"/>
      <c r="CA37" s="252"/>
      <c r="CB37" s="252"/>
      <c r="CD37" s="1"/>
      <c r="CE37" s="252"/>
      <c r="CF37" s="1"/>
      <c r="CG37" s="252"/>
      <c r="CH37" s="252"/>
      <c r="CJ37" s="1"/>
      <c r="CK37" s="252"/>
      <c r="CL37" s="1"/>
      <c r="CM37" s="252"/>
      <c r="CN37" s="252"/>
    </row>
    <row r="38" spans="1:92" ht="12.95" customHeight="1" x14ac:dyDescent="0.25">
      <c r="B38" s="2" t="s">
        <v>127</v>
      </c>
      <c r="D38" s="484">
        <f t="shared" ref="D38:H38" si="192">D35</f>
        <v>380</v>
      </c>
      <c r="E38" s="484">
        <f t="shared" si="192"/>
        <v>1184</v>
      </c>
      <c r="F38" s="484">
        <f t="shared" si="192"/>
        <v>1509</v>
      </c>
      <c r="G38" s="484">
        <f t="shared" si="192"/>
        <v>1387</v>
      </c>
      <c r="H38" s="484">
        <f t="shared" si="192"/>
        <v>4460</v>
      </c>
      <c r="I38" s="1"/>
      <c r="J38" s="484">
        <f t="shared" ref="J38:N38" si="193">J35</f>
        <v>2108</v>
      </c>
      <c r="K38" s="484">
        <f t="shared" si="193"/>
        <v>2167</v>
      </c>
      <c r="L38" s="484">
        <f t="shared" si="193"/>
        <v>2135</v>
      </c>
      <c r="M38" s="484">
        <f t="shared" si="193"/>
        <v>1883</v>
      </c>
      <c r="N38" s="484">
        <f t="shared" si="193"/>
        <v>8293</v>
      </c>
      <c r="O38" s="1"/>
      <c r="P38" s="484">
        <f t="shared" ref="P38:T38" si="194">P35</f>
        <v>2207</v>
      </c>
      <c r="Q38" s="484">
        <f t="shared" si="194"/>
        <v>2213</v>
      </c>
      <c r="R38" s="484">
        <f t="shared" si="194"/>
        <v>2020</v>
      </c>
      <c r="S38" s="484">
        <f t="shared" si="194"/>
        <v>1850</v>
      </c>
      <c r="T38" s="484">
        <f t="shared" si="194"/>
        <v>8290</v>
      </c>
      <c r="U38" s="1"/>
      <c r="V38" s="484">
        <f t="shared" ref="V38:Z38" si="195">V35</f>
        <v>1404</v>
      </c>
      <c r="W38" s="484">
        <f t="shared" si="195"/>
        <v>784</v>
      </c>
      <c r="X38" s="484">
        <f t="shared" si="195"/>
        <v>985</v>
      </c>
      <c r="Y38" s="484">
        <f t="shared" si="195"/>
        <v>1380</v>
      </c>
      <c r="Z38" s="484">
        <f t="shared" si="195"/>
        <v>4553</v>
      </c>
      <c r="AA38" s="1"/>
      <c r="AB38" s="484">
        <f t="shared" ref="AB38:AF38" si="196">AB35</f>
        <v>1814</v>
      </c>
      <c r="AC38" s="484">
        <f t="shared" si="196"/>
        <v>1789</v>
      </c>
      <c r="AD38" s="484">
        <f t="shared" si="196"/>
        <v>1664</v>
      </c>
      <c r="AE38" s="484">
        <f t="shared" si="196"/>
        <v>1611</v>
      </c>
      <c r="AF38" s="484">
        <f t="shared" si="196"/>
        <v>6878</v>
      </c>
      <c r="AG38" s="1"/>
      <c r="AH38" s="484">
        <f t="shared" ref="AH38:AL38" si="197">AH35</f>
        <v>1855</v>
      </c>
      <c r="AI38" s="484">
        <f t="shared" si="197"/>
        <v>1944</v>
      </c>
      <c r="AJ38" s="484">
        <f t="shared" si="197"/>
        <v>2425</v>
      </c>
      <c r="AK38" s="484">
        <f t="shared" si="197"/>
        <v>1680</v>
      </c>
      <c r="AL38" s="484">
        <f t="shared" si="197"/>
        <v>7904</v>
      </c>
      <c r="AN38" s="484">
        <f t="shared" ref="AN38:AR38" si="198">AN35</f>
        <v>2731</v>
      </c>
      <c r="AO38" s="484">
        <f t="shared" si="198"/>
        <v>3652</v>
      </c>
      <c r="AP38" s="484">
        <f t="shared" si="198"/>
        <v>3449</v>
      </c>
      <c r="AQ38" s="484">
        <f t="shared" si="198"/>
        <v>3134</v>
      </c>
      <c r="AR38" s="484">
        <f t="shared" si="198"/>
        <v>12966</v>
      </c>
      <c r="AT38" s="484">
        <f t="shared" ref="AT38:AX38" si="199">AT35</f>
        <v>3519</v>
      </c>
      <c r="AU38" s="484">
        <f t="shared" si="199"/>
        <v>3482</v>
      </c>
      <c r="AV38" s="484">
        <f t="shared" si="199"/>
        <v>3147</v>
      </c>
      <c r="AW38" s="601">
        <f t="shared" si="199"/>
        <v>3100.1915876932271</v>
      </c>
      <c r="AX38" s="484">
        <f t="shared" si="199"/>
        <v>13248.191587693231</v>
      </c>
      <c r="AZ38" s="484">
        <f t="shared" ref="AZ38:BD38" si="200">AZ35</f>
        <v>3231.568766937854</v>
      </c>
      <c r="BA38" s="484">
        <f t="shared" si="200"/>
        <v>3450.8981351930061</v>
      </c>
      <c r="BB38" s="484">
        <f t="shared" si="200"/>
        <v>3134.4736549037366</v>
      </c>
      <c r="BC38" s="484">
        <f t="shared" si="200"/>
        <v>3192.079295509553</v>
      </c>
      <c r="BD38" s="484">
        <f t="shared" si="200"/>
        <v>13009.019852544148</v>
      </c>
      <c r="BF38" s="484">
        <f t="shared" ref="BF38:BJ38" si="201">BF35</f>
        <v>3497.6791430740236</v>
      </c>
      <c r="BG38" s="484">
        <f t="shared" si="201"/>
        <v>3735.5436364069506</v>
      </c>
      <c r="BH38" s="484">
        <f t="shared" si="201"/>
        <v>3413.2260532998635</v>
      </c>
      <c r="BI38" s="484">
        <f t="shared" si="201"/>
        <v>3481.0559950928659</v>
      </c>
      <c r="BJ38" s="484">
        <f t="shared" si="201"/>
        <v>14127.504827873705</v>
      </c>
      <c r="BL38" s="484">
        <f t="shared" ref="BL38:BP38" si="202">BL35</f>
        <v>3696.8856516183669</v>
      </c>
      <c r="BM38" s="484">
        <f t="shared" si="202"/>
        <v>3949.0373271075136</v>
      </c>
      <c r="BN38" s="484">
        <f t="shared" si="202"/>
        <v>3622.4581578378634</v>
      </c>
      <c r="BO38" s="484">
        <f t="shared" si="202"/>
        <v>3698.792917792714</v>
      </c>
      <c r="BP38" s="484">
        <f t="shared" si="202"/>
        <v>14967.17405435645</v>
      </c>
      <c r="BR38" s="484">
        <f t="shared" ref="BR38:BV38" si="203">BR35</f>
        <v>3907.8405361158593</v>
      </c>
      <c r="BS38" s="484">
        <f t="shared" si="203"/>
        <v>4175.1465230836693</v>
      </c>
      <c r="BT38" s="484">
        <f t="shared" si="203"/>
        <v>3844.2003110615478</v>
      </c>
      <c r="BU38" s="484">
        <f t="shared" si="203"/>
        <v>3929.4095102245719</v>
      </c>
      <c r="BV38" s="484">
        <f t="shared" si="203"/>
        <v>15856.596880485647</v>
      </c>
      <c r="BX38" s="484">
        <f t="shared" ref="BX38:CB38" si="204">BX35</f>
        <v>4127.6352546988492</v>
      </c>
      <c r="BY38" s="484">
        <f t="shared" si="204"/>
        <v>4410.7787131656005</v>
      </c>
      <c r="BZ38" s="484">
        <f t="shared" si="204"/>
        <v>4075.2653281973398</v>
      </c>
      <c r="CA38" s="484">
        <f t="shared" si="204"/>
        <v>4169.8099750312276</v>
      </c>
      <c r="CB38" s="484">
        <f t="shared" si="204"/>
        <v>16783.489271093014</v>
      </c>
      <c r="CD38" s="484">
        <f t="shared" ref="CD38:CH38" si="205">CD35</f>
        <v>4356.6529904154822</v>
      </c>
      <c r="CE38" s="484">
        <f t="shared" si="205"/>
        <v>4656.3486017247978</v>
      </c>
      <c r="CF38" s="484">
        <f t="shared" si="205"/>
        <v>4316.0584322401282</v>
      </c>
      <c r="CG38" s="484">
        <f t="shared" si="205"/>
        <v>4420.4236033734633</v>
      </c>
      <c r="CH38" s="484">
        <f t="shared" si="205"/>
        <v>17749.483627753874</v>
      </c>
      <c r="CJ38" s="484">
        <f t="shared" ref="CJ38:CN38" si="206">CJ35</f>
        <v>4600.9338967960439</v>
      </c>
      <c r="CK38" s="484">
        <f t="shared" si="206"/>
        <v>4918.0026374826384</v>
      </c>
      <c r="CL38" s="484">
        <f t="shared" si="206"/>
        <v>4572.8873170728684</v>
      </c>
      <c r="CM38" s="484">
        <f t="shared" si="206"/>
        <v>4687.5866773338275</v>
      </c>
      <c r="CN38" s="484">
        <f t="shared" si="206"/>
        <v>18779.410528685377</v>
      </c>
    </row>
    <row r="39" spans="1:92" ht="12.95" customHeight="1" x14ac:dyDescent="0.25">
      <c r="B39" s="2" t="s">
        <v>487</v>
      </c>
      <c r="D39" s="484">
        <f t="shared" ref="D39:H39" si="207">D68+D69+D72</f>
        <v>752</v>
      </c>
      <c r="E39" s="484">
        <f t="shared" si="207"/>
        <v>169.965</v>
      </c>
      <c r="F39" s="484">
        <f t="shared" si="207"/>
        <v>91.304000000000002</v>
      </c>
      <c r="G39" s="484">
        <f t="shared" si="207"/>
        <v>157.73099999999999</v>
      </c>
      <c r="H39" s="484">
        <f t="shared" si="207"/>
        <v>1171</v>
      </c>
      <c r="I39" s="1"/>
      <c r="J39" s="484">
        <f t="shared" ref="J39:N39" si="208">J68+J69+J72</f>
        <v>60.313600000000001</v>
      </c>
      <c r="K39" s="484">
        <f t="shared" si="208"/>
        <v>112.08800000000001</v>
      </c>
      <c r="L39" s="484">
        <f t="shared" si="208"/>
        <v>108.08</v>
      </c>
      <c r="M39" s="484">
        <f t="shared" si="208"/>
        <v>105.51839999999999</v>
      </c>
      <c r="N39" s="484">
        <f t="shared" si="208"/>
        <v>386</v>
      </c>
      <c r="O39" s="1"/>
      <c r="P39" s="484">
        <f t="shared" ref="P39:T39" si="209">P68+P69+P72</f>
        <v>0</v>
      </c>
      <c r="Q39" s="484">
        <f t="shared" si="209"/>
        <v>0</v>
      </c>
      <c r="R39" s="484">
        <f t="shared" si="209"/>
        <v>0</v>
      </c>
      <c r="S39" s="484">
        <f t="shared" si="209"/>
        <v>236</v>
      </c>
      <c r="T39" s="484">
        <f t="shared" si="209"/>
        <v>236</v>
      </c>
      <c r="U39" s="1"/>
      <c r="V39" s="484">
        <f t="shared" ref="V39:Z39" si="210">V68+V69+V72</f>
        <v>37</v>
      </c>
      <c r="W39" s="484">
        <f t="shared" si="210"/>
        <v>147</v>
      </c>
      <c r="X39" s="484">
        <f t="shared" si="210"/>
        <v>112</v>
      </c>
      <c r="Y39" s="484">
        <f t="shared" si="210"/>
        <v>58</v>
      </c>
      <c r="Z39" s="484">
        <f t="shared" si="210"/>
        <v>354</v>
      </c>
      <c r="AA39" s="1"/>
      <c r="AB39" s="484">
        <f t="shared" ref="AB39:AF39" si="211">AB68+AB69+AB72</f>
        <v>64</v>
      </c>
      <c r="AC39" s="484">
        <f t="shared" si="211"/>
        <v>25</v>
      </c>
      <c r="AD39" s="484">
        <f t="shared" si="211"/>
        <v>35</v>
      </c>
      <c r="AE39" s="484">
        <f t="shared" si="211"/>
        <v>-34</v>
      </c>
      <c r="AF39" s="484">
        <f t="shared" si="211"/>
        <v>90</v>
      </c>
      <c r="AG39" s="1"/>
      <c r="AH39" s="484">
        <f t="shared" ref="AH39:AL39" si="212">AH68+AH69+AH72</f>
        <v>13</v>
      </c>
      <c r="AI39" s="484">
        <f t="shared" si="212"/>
        <v>28</v>
      </c>
      <c r="AJ39" s="484">
        <f t="shared" si="212"/>
        <v>49</v>
      </c>
      <c r="AK39" s="484">
        <f t="shared" si="212"/>
        <v>1134</v>
      </c>
      <c r="AL39" s="484">
        <f t="shared" si="212"/>
        <v>1224</v>
      </c>
      <c r="AN39" s="484">
        <f t="shared" ref="AN39:AR39" si="213">AN68+AN69+AN72</f>
        <v>611</v>
      </c>
      <c r="AO39" s="484">
        <f t="shared" si="213"/>
        <v>31</v>
      </c>
      <c r="AP39" s="484">
        <f t="shared" si="213"/>
        <v>46</v>
      </c>
      <c r="AQ39" s="484">
        <f t="shared" si="213"/>
        <v>92</v>
      </c>
      <c r="AR39" s="484">
        <f t="shared" si="213"/>
        <v>780</v>
      </c>
      <c r="AT39" s="484">
        <f t="shared" ref="AT39:AX39" si="214">AT68+AT69+AT72</f>
        <v>-6</v>
      </c>
      <c r="AU39" s="484">
        <f t="shared" si="214"/>
        <v>258</v>
      </c>
      <c r="AV39" s="484">
        <f t="shared" si="214"/>
        <v>70</v>
      </c>
      <c r="AW39" s="601">
        <f t="shared" si="214"/>
        <v>80</v>
      </c>
      <c r="AX39" s="484">
        <f t="shared" si="214"/>
        <v>402</v>
      </c>
      <c r="AZ39" s="484">
        <f t="shared" ref="AZ39:BD39" si="215">AZ68+AZ69+AZ72</f>
        <v>0</v>
      </c>
      <c r="BA39" s="484">
        <f t="shared" si="215"/>
        <v>0</v>
      </c>
      <c r="BB39" s="484">
        <f t="shared" si="215"/>
        <v>0</v>
      </c>
      <c r="BC39" s="484">
        <f t="shared" si="215"/>
        <v>0</v>
      </c>
      <c r="BD39" s="484">
        <f t="shared" si="215"/>
        <v>0</v>
      </c>
      <c r="BF39" s="484">
        <f t="shared" ref="BF39:BJ39" si="216">BF68+BF69+BF72</f>
        <v>0</v>
      </c>
      <c r="BG39" s="484">
        <f t="shared" si="216"/>
        <v>0</v>
      </c>
      <c r="BH39" s="484">
        <f t="shared" si="216"/>
        <v>0</v>
      </c>
      <c r="BI39" s="484">
        <f t="shared" si="216"/>
        <v>0</v>
      </c>
      <c r="BJ39" s="484">
        <f t="shared" si="216"/>
        <v>0</v>
      </c>
      <c r="BL39" s="484">
        <f t="shared" ref="BL39:BP39" si="217">BL68+BL69+BL72</f>
        <v>0</v>
      </c>
      <c r="BM39" s="484">
        <f t="shared" si="217"/>
        <v>0</v>
      </c>
      <c r="BN39" s="484">
        <f t="shared" si="217"/>
        <v>0</v>
      </c>
      <c r="BO39" s="484">
        <f t="shared" si="217"/>
        <v>0</v>
      </c>
      <c r="BP39" s="484">
        <f t="shared" si="217"/>
        <v>0</v>
      </c>
      <c r="BR39" s="484">
        <f t="shared" ref="BR39:BV39" si="218">BR68+BR69+BR72</f>
        <v>0</v>
      </c>
      <c r="BS39" s="484">
        <f t="shared" si="218"/>
        <v>0</v>
      </c>
      <c r="BT39" s="484">
        <f t="shared" si="218"/>
        <v>0</v>
      </c>
      <c r="BU39" s="484">
        <f t="shared" si="218"/>
        <v>0</v>
      </c>
      <c r="BV39" s="484">
        <f t="shared" si="218"/>
        <v>0</v>
      </c>
      <c r="BX39" s="484">
        <f t="shared" ref="BX39:CB39" si="219">BX68+BX69+BX72</f>
        <v>0</v>
      </c>
      <c r="BY39" s="484">
        <f t="shared" si="219"/>
        <v>0</v>
      </c>
      <c r="BZ39" s="484">
        <f t="shared" si="219"/>
        <v>0</v>
      </c>
      <c r="CA39" s="484">
        <f t="shared" si="219"/>
        <v>0</v>
      </c>
      <c r="CB39" s="484">
        <f t="shared" si="219"/>
        <v>0</v>
      </c>
      <c r="CD39" s="484">
        <f t="shared" ref="CD39:CH39" si="220">CD68+CD69+CD72</f>
        <v>0</v>
      </c>
      <c r="CE39" s="484">
        <f t="shared" si="220"/>
        <v>0</v>
      </c>
      <c r="CF39" s="484">
        <f t="shared" si="220"/>
        <v>0</v>
      </c>
      <c r="CG39" s="484">
        <f t="shared" si="220"/>
        <v>0</v>
      </c>
      <c r="CH39" s="484">
        <f t="shared" si="220"/>
        <v>0</v>
      </c>
      <c r="CJ39" s="484">
        <f t="shared" ref="CJ39:CN39" si="221">CJ68+CJ69+CJ72</f>
        <v>0</v>
      </c>
      <c r="CK39" s="484">
        <f t="shared" si="221"/>
        <v>0</v>
      </c>
      <c r="CL39" s="484">
        <f t="shared" si="221"/>
        <v>0</v>
      </c>
      <c r="CM39" s="484">
        <f t="shared" si="221"/>
        <v>0</v>
      </c>
      <c r="CN39" s="484">
        <f t="shared" si="221"/>
        <v>0</v>
      </c>
    </row>
    <row r="40" spans="1:92" ht="12.75" customHeight="1" x14ac:dyDescent="0.25">
      <c r="A40" s="491"/>
      <c r="B40" s="492" t="s">
        <v>485</v>
      </c>
      <c r="C40" s="492"/>
      <c r="D40" s="493">
        <f t="shared" ref="D40" si="222">SUM(D38:D39)</f>
        <v>1132</v>
      </c>
      <c r="E40" s="493">
        <f t="shared" ref="E40" si="223">SUM(E38:E39)</f>
        <v>1353.9649999999999</v>
      </c>
      <c r="F40" s="493">
        <f t="shared" ref="F40" si="224">SUM(F38:F39)</f>
        <v>1600.3040000000001</v>
      </c>
      <c r="G40" s="493">
        <f t="shared" ref="G40" si="225">SUM(G38:G39)</f>
        <v>1544.731</v>
      </c>
      <c r="H40" s="493">
        <f t="shared" ref="H40" si="226">SUM(H38:H39)</f>
        <v>5631</v>
      </c>
      <c r="I40" s="494"/>
      <c r="J40" s="493">
        <f t="shared" ref="J40" si="227">SUM(J38:J39)</f>
        <v>2168.3136</v>
      </c>
      <c r="K40" s="493">
        <f t="shared" ref="K40" si="228">SUM(K38:K39)</f>
        <v>2279.0880000000002</v>
      </c>
      <c r="L40" s="493">
        <f t="shared" ref="L40" si="229">SUM(L38:L39)</f>
        <v>2243.08</v>
      </c>
      <c r="M40" s="493">
        <f t="shared" ref="M40" si="230">SUM(M38:M39)</f>
        <v>1988.5183999999999</v>
      </c>
      <c r="N40" s="493">
        <f t="shared" ref="N40" si="231">SUM(N38:N39)</f>
        <v>8679</v>
      </c>
      <c r="O40" s="494"/>
      <c r="P40" s="493">
        <f t="shared" ref="P40" si="232">SUM(P38:P39)</f>
        <v>2207</v>
      </c>
      <c r="Q40" s="493">
        <f t="shared" ref="Q40" si="233">SUM(Q38:Q39)</f>
        <v>2213</v>
      </c>
      <c r="R40" s="493">
        <f t="shared" ref="R40" si="234">SUM(R38:R39)</f>
        <v>2020</v>
      </c>
      <c r="S40" s="493">
        <f t="shared" ref="S40" si="235">SUM(S38:S39)</f>
        <v>2086</v>
      </c>
      <c r="T40" s="493">
        <f t="shared" ref="T40" si="236">SUM(T38:T39)</f>
        <v>8526</v>
      </c>
      <c r="U40" s="494"/>
      <c r="V40" s="493">
        <f t="shared" ref="V40" si="237">SUM(V38:V39)</f>
        <v>1441</v>
      </c>
      <c r="W40" s="493">
        <f t="shared" ref="W40" si="238">SUM(W38:W39)</f>
        <v>931</v>
      </c>
      <c r="X40" s="493">
        <f t="shared" ref="X40" si="239">SUM(X38:X39)</f>
        <v>1097</v>
      </c>
      <c r="Y40" s="493">
        <f t="shared" ref="Y40" si="240">SUM(Y38:Y39)</f>
        <v>1438</v>
      </c>
      <c r="Z40" s="493">
        <f t="shared" ref="Z40" si="241">SUM(Z38:Z39)</f>
        <v>4907</v>
      </c>
      <c r="AA40" s="494"/>
      <c r="AB40" s="493">
        <f t="shared" ref="AB40" si="242">SUM(AB38:AB39)</f>
        <v>1878</v>
      </c>
      <c r="AC40" s="493">
        <f t="shared" ref="AC40" si="243">SUM(AC38:AC39)</f>
        <v>1814</v>
      </c>
      <c r="AD40" s="493">
        <f t="shared" ref="AD40" si="244">SUM(AD38:AD39)</f>
        <v>1699</v>
      </c>
      <c r="AE40" s="493">
        <f t="shared" ref="AE40" si="245">SUM(AE38:AE39)</f>
        <v>1577</v>
      </c>
      <c r="AF40" s="493">
        <f t="shared" ref="AF40" si="246">SUM(AF38:AF39)</f>
        <v>6968</v>
      </c>
      <c r="AG40" s="494"/>
      <c r="AH40" s="493">
        <f t="shared" ref="AH40" si="247">SUM(AH38:AH39)</f>
        <v>1868</v>
      </c>
      <c r="AI40" s="493">
        <f t="shared" ref="AI40" si="248">SUM(AI38:AI39)</f>
        <v>1972</v>
      </c>
      <c r="AJ40" s="493">
        <f t="shared" ref="AJ40" si="249">SUM(AJ38:AJ39)</f>
        <v>2474</v>
      </c>
      <c r="AK40" s="493">
        <f t="shared" ref="AK40" si="250">SUM(AK38:AK39)</f>
        <v>2814</v>
      </c>
      <c r="AL40" s="493">
        <f t="shared" ref="AL40" si="251">SUM(AL38:AL39)</f>
        <v>9128</v>
      </c>
      <c r="AM40" s="492"/>
      <c r="AN40" s="493">
        <f t="shared" ref="AN40" si="252">SUM(AN38:AN39)</f>
        <v>3342</v>
      </c>
      <c r="AO40" s="493">
        <f t="shared" ref="AO40" si="253">SUM(AO38:AO39)</f>
        <v>3683</v>
      </c>
      <c r="AP40" s="493">
        <f t="shared" ref="AP40" si="254">SUM(AP38:AP39)</f>
        <v>3495</v>
      </c>
      <c r="AQ40" s="493">
        <f t="shared" ref="AQ40" si="255">SUM(AQ38:AQ39)</f>
        <v>3226</v>
      </c>
      <c r="AR40" s="493">
        <f t="shared" ref="AR40" si="256">SUM(AR38:AR39)</f>
        <v>13746</v>
      </c>
      <c r="AS40" s="492"/>
      <c r="AT40" s="493">
        <f t="shared" ref="AT40" si="257">SUM(AT38:AT39)</f>
        <v>3513</v>
      </c>
      <c r="AU40" s="493">
        <f t="shared" ref="AU40" si="258">SUM(AU38:AU39)</f>
        <v>3740</v>
      </c>
      <c r="AV40" s="493">
        <f t="shared" ref="AV40" si="259">SUM(AV38:AV39)</f>
        <v>3217</v>
      </c>
      <c r="AW40" s="602">
        <f t="shared" ref="AW40" si="260">SUM(AW38:AW39)</f>
        <v>3180.1915876932271</v>
      </c>
      <c r="AX40" s="493">
        <f t="shared" ref="AX40" si="261">SUM(AX38:AX39)</f>
        <v>13650.191587693231</v>
      </c>
      <c r="AY40" s="493"/>
      <c r="AZ40" s="493">
        <f t="shared" ref="AZ40" si="262">SUM(AZ38:AZ39)</f>
        <v>3231.568766937854</v>
      </c>
      <c r="BA40" s="493">
        <f t="shared" ref="BA40" si="263">SUM(BA38:BA39)</f>
        <v>3450.8981351930061</v>
      </c>
      <c r="BB40" s="493">
        <f t="shared" ref="BB40" si="264">SUM(BB38:BB39)</f>
        <v>3134.4736549037366</v>
      </c>
      <c r="BC40" s="493">
        <f t="shared" ref="BC40" si="265">SUM(BC38:BC39)</f>
        <v>3192.079295509553</v>
      </c>
      <c r="BD40" s="493">
        <f t="shared" ref="BD40" si="266">SUM(BD38:BD39)</f>
        <v>13009.019852544148</v>
      </c>
      <c r="BE40" s="493"/>
      <c r="BF40" s="493">
        <f t="shared" ref="BF40" si="267">SUM(BF38:BF39)</f>
        <v>3497.6791430740236</v>
      </c>
      <c r="BG40" s="493">
        <f t="shared" ref="BG40" si="268">SUM(BG38:BG39)</f>
        <v>3735.5436364069506</v>
      </c>
      <c r="BH40" s="493">
        <f t="shared" ref="BH40" si="269">SUM(BH38:BH39)</f>
        <v>3413.2260532998635</v>
      </c>
      <c r="BI40" s="493">
        <f t="shared" ref="BI40" si="270">SUM(BI38:BI39)</f>
        <v>3481.0559950928659</v>
      </c>
      <c r="BJ40" s="493">
        <f t="shared" ref="BJ40" si="271">SUM(BJ38:BJ39)</f>
        <v>14127.504827873705</v>
      </c>
      <c r="BK40" s="493"/>
      <c r="BL40" s="493">
        <f t="shared" ref="BL40" si="272">SUM(BL38:BL39)</f>
        <v>3696.8856516183669</v>
      </c>
      <c r="BM40" s="493">
        <f t="shared" ref="BM40" si="273">SUM(BM38:BM39)</f>
        <v>3949.0373271075136</v>
      </c>
      <c r="BN40" s="493">
        <f t="shared" ref="BN40" si="274">SUM(BN38:BN39)</f>
        <v>3622.4581578378634</v>
      </c>
      <c r="BO40" s="493">
        <f t="shared" ref="BO40" si="275">SUM(BO38:BO39)</f>
        <v>3698.792917792714</v>
      </c>
      <c r="BP40" s="493">
        <f t="shared" ref="BP40" si="276">SUM(BP38:BP39)</f>
        <v>14967.17405435645</v>
      </c>
      <c r="BQ40" s="493"/>
      <c r="BR40" s="493">
        <f t="shared" ref="BR40" si="277">SUM(BR38:BR39)</f>
        <v>3907.8405361158593</v>
      </c>
      <c r="BS40" s="493">
        <f t="shared" ref="BS40" si="278">SUM(BS38:BS39)</f>
        <v>4175.1465230836693</v>
      </c>
      <c r="BT40" s="493">
        <f t="shared" ref="BT40" si="279">SUM(BT38:BT39)</f>
        <v>3844.2003110615478</v>
      </c>
      <c r="BU40" s="493">
        <f t="shared" ref="BU40" si="280">SUM(BU38:BU39)</f>
        <v>3929.4095102245719</v>
      </c>
      <c r="BV40" s="493">
        <f t="shared" ref="BV40" si="281">SUM(BV38:BV39)</f>
        <v>15856.596880485647</v>
      </c>
      <c r="BW40" s="493"/>
      <c r="BX40" s="493">
        <f t="shared" ref="BX40" si="282">SUM(BX38:BX39)</f>
        <v>4127.6352546988492</v>
      </c>
      <c r="BY40" s="493">
        <f t="shared" ref="BY40" si="283">SUM(BY38:BY39)</f>
        <v>4410.7787131656005</v>
      </c>
      <c r="BZ40" s="493">
        <f t="shared" ref="BZ40" si="284">SUM(BZ38:BZ39)</f>
        <v>4075.2653281973398</v>
      </c>
      <c r="CA40" s="493">
        <f t="shared" ref="CA40" si="285">SUM(CA38:CA39)</f>
        <v>4169.8099750312276</v>
      </c>
      <c r="CB40" s="493">
        <f t="shared" ref="CB40" si="286">SUM(CB38:CB39)</f>
        <v>16783.489271093014</v>
      </c>
      <c r="CC40" s="493"/>
      <c r="CD40" s="493">
        <f t="shared" ref="CD40" si="287">SUM(CD38:CD39)</f>
        <v>4356.6529904154822</v>
      </c>
      <c r="CE40" s="493">
        <f t="shared" ref="CE40" si="288">SUM(CE38:CE39)</f>
        <v>4656.3486017247978</v>
      </c>
      <c r="CF40" s="493">
        <f t="shared" ref="CF40" si="289">SUM(CF38:CF39)</f>
        <v>4316.0584322401282</v>
      </c>
      <c r="CG40" s="493">
        <f t="shared" ref="CG40" si="290">SUM(CG38:CG39)</f>
        <v>4420.4236033734633</v>
      </c>
      <c r="CH40" s="493">
        <f t="shared" ref="CH40" si="291">SUM(CH38:CH39)</f>
        <v>17749.483627753874</v>
      </c>
      <c r="CI40" s="493"/>
      <c r="CJ40" s="493">
        <f t="shared" ref="CJ40" si="292">SUM(CJ38:CJ39)</f>
        <v>4600.9338967960439</v>
      </c>
      <c r="CK40" s="493">
        <f t="shared" ref="CK40" si="293">SUM(CK38:CK39)</f>
        <v>4918.0026374826384</v>
      </c>
      <c r="CL40" s="493">
        <f t="shared" ref="CL40" si="294">SUM(CL38:CL39)</f>
        <v>4572.8873170728684</v>
      </c>
      <c r="CM40" s="493">
        <f t="shared" ref="CM40" si="295">SUM(CM38:CM39)</f>
        <v>4687.5866773338275</v>
      </c>
      <c r="CN40" s="493">
        <f t="shared" ref="CN40" si="296">SUM(CN38:CN39)</f>
        <v>18779.410528685377</v>
      </c>
    </row>
    <row r="41" spans="1:92" ht="12.95" customHeight="1" x14ac:dyDescent="0.25">
      <c r="B41" s="14" t="s">
        <v>486</v>
      </c>
      <c r="D41" s="67">
        <f>D40/D$9</f>
        <v>0.11525147627774385</v>
      </c>
      <c r="E41" s="67">
        <f t="shared" ref="E41:H41" si="297">E40/E$9</f>
        <v>0.1194921013149766</v>
      </c>
      <c r="F41" s="67">
        <f t="shared" si="297"/>
        <v>0.1402176465434154</v>
      </c>
      <c r="G41" s="67">
        <f t="shared" si="297"/>
        <v>0.11978373138957817</v>
      </c>
      <c r="H41" s="67">
        <f t="shared" si="297"/>
        <v>0.12386168668338393</v>
      </c>
      <c r="I41" s="1"/>
      <c r="J41" s="67">
        <f>J40/J$9</f>
        <v>0.16862225678513104</v>
      </c>
      <c r="K41" s="67">
        <f t="shared" ref="K41:N41" si="298">K40/K$9</f>
        <v>0.16266419242024124</v>
      </c>
      <c r="L41" s="67">
        <f t="shared" si="298"/>
        <v>0.16603108808290154</v>
      </c>
      <c r="M41" s="67">
        <f t="shared" si="298"/>
        <v>0.13865000697252824</v>
      </c>
      <c r="N41" s="67">
        <f t="shared" si="298"/>
        <v>0.15860165929607836</v>
      </c>
      <c r="O41" s="1"/>
      <c r="P41" s="67">
        <f>P40/P$9</f>
        <v>0.1638942521907025</v>
      </c>
      <c r="Q41" s="67">
        <f t="shared" ref="Q41:T41" si="299">Q40/Q$9</f>
        <v>0.15333980044345899</v>
      </c>
      <c r="R41" s="67">
        <f t="shared" si="299"/>
        <v>0.1583320269634739</v>
      </c>
      <c r="S41" s="67">
        <f t="shared" si="299"/>
        <v>0.15870359099208764</v>
      </c>
      <c r="T41" s="67">
        <f t="shared" si="299"/>
        <v>0.15847583643122676</v>
      </c>
      <c r="U41" s="1"/>
      <c r="V41" s="67">
        <f>V40/V$9</f>
        <v>0.13549600376116597</v>
      </c>
      <c r="W41" s="67">
        <f t="shared" ref="W41:Z41" si="300">W40/W$9</f>
        <v>9.3127938381514452E-2</v>
      </c>
      <c r="X41" s="67">
        <f t="shared" si="300"/>
        <v>0.11102115170529299</v>
      </c>
      <c r="Y41" s="67">
        <f t="shared" si="300"/>
        <v>0.12799287939474854</v>
      </c>
      <c r="Z41" s="67">
        <f t="shared" si="300"/>
        <v>0.11753856472166331</v>
      </c>
      <c r="AA41" s="1"/>
      <c r="AB41" s="67">
        <f>AB40/AB$9</f>
        <v>0.15798771767477077</v>
      </c>
      <c r="AC41" s="67">
        <f t="shared" ref="AC41:AF41" si="301">AC40/AC$9</f>
        <v>0.14074016603305145</v>
      </c>
      <c r="AD41" s="67">
        <f t="shared" si="301"/>
        <v>0.13704928611760911</v>
      </c>
      <c r="AE41" s="67">
        <f t="shared" si="301"/>
        <v>0.11429192636614002</v>
      </c>
      <c r="AF41" s="67">
        <f t="shared" si="301"/>
        <v>0.13670518530144593</v>
      </c>
      <c r="AG41" s="1"/>
      <c r="AH41" s="67">
        <f>AH40/AH$9</f>
        <v>0.13746412539554051</v>
      </c>
      <c r="AI41" s="67">
        <f t="shared" ref="AI41:AL41" si="302">AI40/AI$9</f>
        <v>0.13841510493437215</v>
      </c>
      <c r="AJ41" s="67">
        <f t="shared" si="302"/>
        <v>0.16499933306655995</v>
      </c>
      <c r="AK41" s="67">
        <f t="shared" si="302"/>
        <v>0.16954871362294391</v>
      </c>
      <c r="AL41" s="67">
        <f t="shared" si="302"/>
        <v>0.1536002153903108</v>
      </c>
      <c r="AN41" s="67">
        <f>AN40/AN$9</f>
        <v>0.21069222040095825</v>
      </c>
      <c r="AO41" s="239">
        <f t="shared" ref="AO41:AR41" si="303">AO40/AO$9</f>
        <v>0.21266889941101744</v>
      </c>
      <c r="AP41" s="67">
        <f t="shared" si="303"/>
        <v>0.20791195716835217</v>
      </c>
      <c r="AQ41" s="239">
        <f t="shared" si="303"/>
        <v>0.18898652606912714</v>
      </c>
      <c r="AR41" s="239">
        <f t="shared" si="303"/>
        <v>0.20498061437518639</v>
      </c>
      <c r="AT41" s="67">
        <f>AT40/AT$9</f>
        <v>0.22235584530666497</v>
      </c>
      <c r="AU41" s="239">
        <f t="shared" ref="AU41:AX41" si="304">AU40/AU$9</f>
        <v>0.2240997063934328</v>
      </c>
      <c r="AV41" s="239">
        <f t="shared" si="304"/>
        <v>0.19973922761703714</v>
      </c>
      <c r="AW41" s="351">
        <f t="shared" si="304"/>
        <v>0.19057613373642915</v>
      </c>
      <c r="AX41" s="239">
        <f t="shared" si="304"/>
        <v>0.2090981956946785</v>
      </c>
      <c r="AZ41" s="67">
        <f>AZ40/AZ$9</f>
        <v>0.20992323442744784</v>
      </c>
      <c r="BA41" s="239">
        <f t="shared" ref="BA41:BD41" si="305">BA40/BA$9</f>
        <v>0.20980399892954887</v>
      </c>
      <c r="BB41" s="67">
        <f t="shared" si="305"/>
        <v>0.19370256842085423</v>
      </c>
      <c r="BC41" s="239">
        <f t="shared" si="305"/>
        <v>0.18828344504429448</v>
      </c>
      <c r="BD41" s="239">
        <f t="shared" si="305"/>
        <v>0.20020737803066876</v>
      </c>
      <c r="BF41" s="67">
        <f>BF40/BF$9</f>
        <v>0.21695593387191753</v>
      </c>
      <c r="BG41" s="239">
        <f t="shared" ref="BG41:BJ41" si="306">BG40/BG$9</f>
        <v>0.21686280881590797</v>
      </c>
      <c r="BH41" s="67">
        <f t="shared" si="306"/>
        <v>0.20143302388867618</v>
      </c>
      <c r="BI41" s="239">
        <f t="shared" si="306"/>
        <v>0.19612664694465332</v>
      </c>
      <c r="BJ41" s="239">
        <f t="shared" si="306"/>
        <v>0.20763306305420748</v>
      </c>
      <c r="BL41" s="67">
        <f>BL40/BL$9</f>
        <v>0.220305727361644</v>
      </c>
      <c r="BM41" s="239">
        <f t="shared" ref="BM41:BP41" si="307">BM40/BM$9</f>
        <v>0.22020508111561801</v>
      </c>
      <c r="BN41" s="67">
        <f t="shared" si="307"/>
        <v>0.20536221031251994</v>
      </c>
      <c r="BO41" s="239">
        <f t="shared" si="307"/>
        <v>0.20014243135233456</v>
      </c>
      <c r="BP41" s="239">
        <f t="shared" si="307"/>
        <v>0.2112983293910243</v>
      </c>
      <c r="BR41" s="67">
        <f>BR40/BR$9</f>
        <v>0.2237155754301253</v>
      </c>
      <c r="BS41" s="239">
        <f t="shared" ref="BS41:BV41" si="308">BS40/BS$9</f>
        <v>0.22360630166275763</v>
      </c>
      <c r="BT41" s="67">
        <f t="shared" si="308"/>
        <v>0.2093370313269747</v>
      </c>
      <c r="BU41" s="239">
        <f t="shared" si="308"/>
        <v>0.20418769230754383</v>
      </c>
      <c r="BV41" s="239">
        <f t="shared" si="308"/>
        <v>0.21501182786443912</v>
      </c>
      <c r="BX41" s="67">
        <f>BX40/BX$9</f>
        <v>0.22698744507746815</v>
      </c>
      <c r="BY41" s="239">
        <f t="shared" ref="BY41:CB41" si="309">BY40/BY$9</f>
        <v>0.22686908033042408</v>
      </c>
      <c r="BZ41" s="67">
        <f t="shared" si="309"/>
        <v>0.21315244746907072</v>
      </c>
      <c r="CA41" s="239">
        <f t="shared" si="309"/>
        <v>0.20807090777571965</v>
      </c>
      <c r="CB41" s="239">
        <f t="shared" si="309"/>
        <v>0.21857564103726684</v>
      </c>
      <c r="CD41" s="67">
        <f>CD40/CD$9</f>
        <v>0.23012629873578555</v>
      </c>
      <c r="CE41" s="239">
        <f t="shared" ref="CE41:CH41" si="310">CE40/CE$9</f>
        <v>0.22999842915220378</v>
      </c>
      <c r="CF41" s="67">
        <f t="shared" si="310"/>
        <v>0.21681420531858742</v>
      </c>
      <c r="CG41" s="239">
        <f t="shared" si="310"/>
        <v>0.21179791981328056</v>
      </c>
      <c r="CH41" s="239">
        <f t="shared" si="310"/>
        <v>0.22199516786803214</v>
      </c>
      <c r="CJ41" s="67">
        <f>CJ40/CJ$9</f>
        <v>0.23342306534940124</v>
      </c>
      <c r="CK41" s="239">
        <f t="shared" ref="CK41:CN41" si="311">CK40/CK$9</f>
        <v>0.23327017784321558</v>
      </c>
      <c r="CL41" s="67">
        <f t="shared" si="311"/>
        <v>0.22061173997275574</v>
      </c>
      <c r="CM41" s="239">
        <f t="shared" si="311"/>
        <v>0.21564522729863733</v>
      </c>
      <c r="CN41" s="239">
        <f t="shared" si="311"/>
        <v>0.22555337363174666</v>
      </c>
    </row>
    <row r="42" spans="1:92" ht="12.95" customHeight="1" x14ac:dyDescent="0.25">
      <c r="B42" s="69" t="s">
        <v>138</v>
      </c>
      <c r="D42" s="252"/>
      <c r="E42" s="252"/>
      <c r="F42" s="252"/>
      <c r="G42" s="252"/>
      <c r="H42" s="252"/>
      <c r="I42" s="1"/>
      <c r="J42" s="252"/>
      <c r="K42" s="252"/>
      <c r="L42" s="252"/>
      <c r="M42" s="252"/>
      <c r="N42" s="252"/>
      <c r="O42" s="1"/>
      <c r="P42" s="252"/>
      <c r="Q42" s="252"/>
      <c r="R42" s="252"/>
      <c r="S42" s="252"/>
      <c r="T42" s="252"/>
      <c r="U42" s="1"/>
      <c r="V42" s="252"/>
      <c r="W42" s="252"/>
      <c r="X42" s="252"/>
      <c r="Y42" s="252"/>
      <c r="Z42" s="252"/>
      <c r="AA42" s="1"/>
      <c r="AB42" s="252"/>
      <c r="AC42" s="252"/>
      <c r="AD42" s="252"/>
      <c r="AE42" s="252"/>
      <c r="AF42" s="252"/>
      <c r="AG42" s="1"/>
      <c r="AH42" s="252"/>
      <c r="AI42" s="252"/>
      <c r="AJ42" s="252"/>
      <c r="AK42" s="252"/>
      <c r="AL42" s="252"/>
      <c r="AN42" s="252"/>
      <c r="AO42" s="252"/>
      <c r="AP42" s="252"/>
      <c r="AQ42" s="252"/>
      <c r="AR42" s="252"/>
      <c r="AT42" s="252"/>
      <c r="AU42" s="252"/>
      <c r="AV42" s="252"/>
      <c r="AW42" s="650" t="s">
        <v>627</v>
      </c>
      <c r="AX42" s="252"/>
      <c r="AZ42" s="252"/>
      <c r="BA42" s="252"/>
      <c r="BB42" s="252"/>
      <c r="BC42" s="252"/>
      <c r="BD42" s="252"/>
      <c r="BF42" s="252"/>
      <c r="BG42" s="252"/>
      <c r="BH42" s="252"/>
      <c r="BI42" s="252"/>
      <c r="BJ42" s="252"/>
      <c r="BL42" s="252"/>
      <c r="BM42" s="252"/>
      <c r="BN42" s="252"/>
      <c r="BO42" s="252"/>
      <c r="BP42" s="252"/>
      <c r="BR42" s="252"/>
      <c r="BS42" s="252"/>
      <c r="BT42" s="252"/>
      <c r="BU42" s="252"/>
      <c r="BV42" s="252"/>
      <c r="BX42" s="252"/>
      <c r="BY42" s="252"/>
      <c r="BZ42" s="252"/>
      <c r="CA42" s="252"/>
      <c r="CB42" s="252"/>
      <c r="CD42" s="252"/>
      <c r="CE42" s="252"/>
      <c r="CF42" s="252"/>
      <c r="CG42" s="252"/>
      <c r="CH42" s="252"/>
      <c r="CJ42" s="252"/>
      <c r="CK42" s="252"/>
      <c r="CL42" s="252"/>
      <c r="CM42" s="252"/>
      <c r="CN42" s="252"/>
    </row>
    <row r="43" spans="1:92" ht="12.95" customHeight="1" x14ac:dyDescent="0.25">
      <c r="B43" s="2" t="s">
        <v>127</v>
      </c>
      <c r="D43" s="71">
        <f t="shared" ref="D43:H43" si="312">D35</f>
        <v>380</v>
      </c>
      <c r="E43" s="71">
        <f t="shared" si="312"/>
        <v>1184</v>
      </c>
      <c r="F43" s="71">
        <f t="shared" si="312"/>
        <v>1509</v>
      </c>
      <c r="G43" s="71">
        <f t="shared" si="312"/>
        <v>1387</v>
      </c>
      <c r="H43" s="71">
        <f t="shared" si="312"/>
        <v>4460</v>
      </c>
      <c r="I43" s="1"/>
      <c r="J43" s="71">
        <f t="shared" ref="J43:N43" si="313">J35</f>
        <v>2108</v>
      </c>
      <c r="K43" s="71">
        <f t="shared" si="313"/>
        <v>2167</v>
      </c>
      <c r="L43" s="71">
        <f t="shared" si="313"/>
        <v>2135</v>
      </c>
      <c r="M43" s="71">
        <f t="shared" si="313"/>
        <v>1883</v>
      </c>
      <c r="N43" s="71">
        <f t="shared" si="313"/>
        <v>8293</v>
      </c>
      <c r="O43" s="1"/>
      <c r="P43" s="71">
        <f t="shared" ref="P43:T43" si="314">P35</f>
        <v>2207</v>
      </c>
      <c r="Q43" s="71">
        <f t="shared" si="314"/>
        <v>2213</v>
      </c>
      <c r="R43" s="71">
        <f t="shared" si="314"/>
        <v>2020</v>
      </c>
      <c r="S43" s="71">
        <f t="shared" si="314"/>
        <v>1850</v>
      </c>
      <c r="T43" s="71">
        <f t="shared" si="314"/>
        <v>8290</v>
      </c>
      <c r="U43" s="1"/>
      <c r="V43" s="71">
        <f t="shared" ref="V43:Z43" si="315">V35</f>
        <v>1404</v>
      </c>
      <c r="W43" s="71">
        <f t="shared" si="315"/>
        <v>784</v>
      </c>
      <c r="X43" s="71">
        <f t="shared" si="315"/>
        <v>985</v>
      </c>
      <c r="Y43" s="71">
        <f t="shared" si="315"/>
        <v>1380</v>
      </c>
      <c r="Z43" s="71">
        <f t="shared" si="315"/>
        <v>4553</v>
      </c>
      <c r="AA43" s="1"/>
      <c r="AB43" s="71">
        <f t="shared" ref="AB43:AF43" si="316">AB35</f>
        <v>1814</v>
      </c>
      <c r="AC43" s="71">
        <f t="shared" si="316"/>
        <v>1789</v>
      </c>
      <c r="AD43" s="71">
        <f t="shared" si="316"/>
        <v>1664</v>
      </c>
      <c r="AE43" s="71">
        <f t="shared" si="316"/>
        <v>1611</v>
      </c>
      <c r="AF43" s="71">
        <f t="shared" si="316"/>
        <v>6878</v>
      </c>
      <c r="AG43" s="1"/>
      <c r="AH43" s="71">
        <f t="shared" ref="AH43:AL43" si="317">AH35</f>
        <v>1855</v>
      </c>
      <c r="AI43" s="71">
        <f t="shared" si="317"/>
        <v>1944</v>
      </c>
      <c r="AJ43" s="71">
        <f t="shared" si="317"/>
        <v>2425</v>
      </c>
      <c r="AK43" s="71">
        <f t="shared" si="317"/>
        <v>1680</v>
      </c>
      <c r="AL43" s="71">
        <f t="shared" si="317"/>
        <v>7904</v>
      </c>
      <c r="AN43" s="71">
        <f t="shared" ref="AN43:AR43" si="318">AN35</f>
        <v>2731</v>
      </c>
      <c r="AO43" s="71">
        <f t="shared" si="318"/>
        <v>3652</v>
      </c>
      <c r="AP43" s="71">
        <f t="shared" si="318"/>
        <v>3449</v>
      </c>
      <c r="AQ43" s="71">
        <f t="shared" si="318"/>
        <v>3134</v>
      </c>
      <c r="AR43" s="71">
        <f t="shared" si="318"/>
        <v>12966</v>
      </c>
      <c r="AT43" s="71">
        <f t="shared" ref="AT43:AX43" si="319">AT35</f>
        <v>3519</v>
      </c>
      <c r="AU43" s="71">
        <f t="shared" si="319"/>
        <v>3482</v>
      </c>
      <c r="AV43" s="236">
        <f t="shared" si="319"/>
        <v>3147</v>
      </c>
      <c r="AW43" s="595">
        <f t="shared" si="319"/>
        <v>3100.1915876932271</v>
      </c>
      <c r="AX43" s="71">
        <f t="shared" si="319"/>
        <v>13248.191587693231</v>
      </c>
      <c r="AZ43" s="71">
        <f t="shared" ref="AZ43:BD43" si="320">AZ35</f>
        <v>3231.568766937854</v>
      </c>
      <c r="BA43" s="71">
        <f t="shared" si="320"/>
        <v>3450.8981351930061</v>
      </c>
      <c r="BB43" s="71">
        <f t="shared" si="320"/>
        <v>3134.4736549037366</v>
      </c>
      <c r="BC43" s="71">
        <f t="shared" si="320"/>
        <v>3192.079295509553</v>
      </c>
      <c r="BD43" s="71">
        <f t="shared" si="320"/>
        <v>13009.019852544148</v>
      </c>
      <c r="BF43" s="71">
        <f t="shared" ref="BF43:BJ43" si="321">BF35</f>
        <v>3497.6791430740236</v>
      </c>
      <c r="BG43" s="71">
        <f t="shared" si="321"/>
        <v>3735.5436364069506</v>
      </c>
      <c r="BH43" s="71">
        <f t="shared" si="321"/>
        <v>3413.2260532998635</v>
      </c>
      <c r="BI43" s="71">
        <f t="shared" si="321"/>
        <v>3481.0559950928659</v>
      </c>
      <c r="BJ43" s="71">
        <f t="shared" si="321"/>
        <v>14127.504827873705</v>
      </c>
      <c r="BL43" s="71">
        <f t="shared" ref="BL43:BP43" si="322">BL35</f>
        <v>3696.8856516183669</v>
      </c>
      <c r="BM43" s="71">
        <f t="shared" si="322"/>
        <v>3949.0373271075136</v>
      </c>
      <c r="BN43" s="71">
        <f t="shared" si="322"/>
        <v>3622.4581578378634</v>
      </c>
      <c r="BO43" s="71">
        <f t="shared" si="322"/>
        <v>3698.792917792714</v>
      </c>
      <c r="BP43" s="71">
        <f t="shared" si="322"/>
        <v>14967.17405435645</v>
      </c>
      <c r="BR43" s="71">
        <f t="shared" ref="BR43:BV43" si="323">BR35</f>
        <v>3907.8405361158593</v>
      </c>
      <c r="BS43" s="71">
        <f t="shared" si="323"/>
        <v>4175.1465230836693</v>
      </c>
      <c r="BT43" s="71">
        <f t="shared" si="323"/>
        <v>3844.2003110615478</v>
      </c>
      <c r="BU43" s="71">
        <f t="shared" si="323"/>
        <v>3929.4095102245719</v>
      </c>
      <c r="BV43" s="71">
        <f t="shared" si="323"/>
        <v>15856.596880485647</v>
      </c>
      <c r="BX43" s="71">
        <f t="shared" ref="BX43:CB43" si="324">BX35</f>
        <v>4127.6352546988492</v>
      </c>
      <c r="BY43" s="71">
        <f t="shared" si="324"/>
        <v>4410.7787131656005</v>
      </c>
      <c r="BZ43" s="71">
        <f t="shared" si="324"/>
        <v>4075.2653281973398</v>
      </c>
      <c r="CA43" s="71">
        <f t="shared" si="324"/>
        <v>4169.8099750312276</v>
      </c>
      <c r="CB43" s="71">
        <f t="shared" si="324"/>
        <v>16783.489271093014</v>
      </c>
      <c r="CD43" s="71">
        <f t="shared" ref="CD43:CH43" si="325">CD35</f>
        <v>4356.6529904154822</v>
      </c>
      <c r="CE43" s="71">
        <f t="shared" si="325"/>
        <v>4656.3486017247978</v>
      </c>
      <c r="CF43" s="71">
        <f t="shared" si="325"/>
        <v>4316.0584322401282</v>
      </c>
      <c r="CG43" s="71">
        <f t="shared" si="325"/>
        <v>4420.4236033734633</v>
      </c>
      <c r="CH43" s="71">
        <f t="shared" si="325"/>
        <v>17749.483627753874</v>
      </c>
      <c r="CJ43" s="71">
        <f t="shared" ref="CJ43:CN43" si="326">CJ35</f>
        <v>4600.9338967960439</v>
      </c>
      <c r="CK43" s="71">
        <f t="shared" si="326"/>
        <v>4918.0026374826384</v>
      </c>
      <c r="CL43" s="71">
        <f t="shared" si="326"/>
        <v>4572.8873170728684</v>
      </c>
      <c r="CM43" s="71">
        <f t="shared" si="326"/>
        <v>4687.5866773338275</v>
      </c>
      <c r="CN43" s="71">
        <f t="shared" si="326"/>
        <v>18779.410528685377</v>
      </c>
    </row>
    <row r="44" spans="1:92" ht="12.95" customHeight="1" x14ac:dyDescent="0.25">
      <c r="B44" s="2" t="s">
        <v>420</v>
      </c>
      <c r="D44" s="71">
        <f>'Business Build-up'!D46</f>
        <v>710</v>
      </c>
      <c r="E44" s="71">
        <f>'Business Build-up'!E46</f>
        <v>720</v>
      </c>
      <c r="F44" s="71">
        <f>'Business Build-up'!F46</f>
        <v>723</v>
      </c>
      <c r="G44" s="71">
        <f>'Business Build-up'!G46</f>
        <v>724</v>
      </c>
      <c r="H44" s="71">
        <f>'Business Build-up'!H46</f>
        <v>2877</v>
      </c>
      <c r="I44" s="1"/>
      <c r="J44" s="71">
        <f>'Business Build-up'!J46</f>
        <v>681</v>
      </c>
      <c r="K44" s="71">
        <f>'Business Build-up'!K46</f>
        <v>686</v>
      </c>
      <c r="L44" s="71">
        <f>'Business Build-up'!L46</f>
        <v>698</v>
      </c>
      <c r="M44" s="71">
        <f>'Business Build-up'!M46</f>
        <v>701</v>
      </c>
      <c r="N44" s="71">
        <f>'Business Build-up'!N46</f>
        <v>2766</v>
      </c>
      <c r="O44" s="1"/>
      <c r="P44" s="71">
        <f>'Business Build-up'!P46</f>
        <v>641</v>
      </c>
      <c r="Q44" s="71">
        <f>'Business Build-up'!Q46</f>
        <v>647</v>
      </c>
      <c r="R44" s="71">
        <f>'Business Build-up'!R46</f>
        <v>645</v>
      </c>
      <c r="S44" s="71">
        <f>'Business Build-up'!S46</f>
        <v>644</v>
      </c>
      <c r="T44" s="71">
        <f>'Business Build-up'!T46</f>
        <v>2577</v>
      </c>
      <c r="U44" s="1"/>
      <c r="V44" s="71">
        <f>'Business Build-up'!V46</f>
        <v>614</v>
      </c>
      <c r="W44" s="71">
        <f>'Business Build-up'!W46</f>
        <v>608</v>
      </c>
      <c r="X44" s="71">
        <f>'Business Build-up'!X46</f>
        <v>593</v>
      </c>
      <c r="Y44" s="71">
        <f>'Business Build-up'!Y46</f>
        <v>421</v>
      </c>
      <c r="Z44" s="71">
        <f>'Business Build-up'!Z46</f>
        <v>2432</v>
      </c>
      <c r="AA44" s="1"/>
      <c r="AB44" s="71">
        <f>'Business Build-up'!AB46</f>
        <v>586</v>
      </c>
      <c r="AC44" s="71">
        <f>'Business Build-up'!AC46</f>
        <v>587</v>
      </c>
      <c r="AD44" s="71">
        <f>'Business Build-up'!AD46</f>
        <v>593</v>
      </c>
      <c r="AE44" s="71">
        <f>'Business Build-up'!AE46</f>
        <v>586</v>
      </c>
      <c r="AF44" s="71">
        <f>'Business Build-up'!AF46</f>
        <v>2352</v>
      </c>
      <c r="AG44" s="9"/>
      <c r="AH44" s="71">
        <f>'Business Build-up'!AH46</f>
        <v>557</v>
      </c>
      <c r="AI44" s="71">
        <f>'Business Build-up'!AI46</f>
        <v>553</v>
      </c>
      <c r="AJ44" s="71">
        <f>'Business Build-up'!AJ46</f>
        <v>551</v>
      </c>
      <c r="AK44" s="71">
        <f>'Business Build-up'!AK46</f>
        <v>558</v>
      </c>
      <c r="AL44" s="71">
        <f>'Business Build-up'!AL46</f>
        <v>2219</v>
      </c>
      <c r="AM44" s="9"/>
      <c r="AN44" s="71">
        <f>'Business Build-up'!AN46</f>
        <v>532</v>
      </c>
      <c r="AO44" s="71">
        <f>'Business Build-up'!AO46</f>
        <v>542</v>
      </c>
      <c r="AP44" s="71">
        <f>'Business Build-up'!AP46</f>
        <v>525</v>
      </c>
      <c r="AQ44" s="71">
        <f>'Business Build-up'!AQ46</f>
        <v>545</v>
      </c>
      <c r="AR44" s="71">
        <f>'Business Build-up'!AR46</f>
        <v>2144</v>
      </c>
      <c r="AS44" s="9"/>
      <c r="AT44" s="71">
        <f>'Business Build-up'!AT46</f>
        <v>524</v>
      </c>
      <c r="AU44" s="71">
        <f>'Business Build-up'!AU46</f>
        <v>531</v>
      </c>
      <c r="AV44" s="236">
        <f>'Business Build-up'!AV46</f>
        <v>543</v>
      </c>
      <c r="AW44" s="595">
        <f>'Business Build-up'!AW46</f>
        <v>591.20000000000005</v>
      </c>
      <c r="AX44" s="71">
        <f>'Business Build-up'!AX46</f>
        <v>2189.1999999999998</v>
      </c>
      <c r="AY44" s="9"/>
      <c r="AZ44" s="71">
        <f>'Business Build-up'!AZ46</f>
        <v>542.16</v>
      </c>
      <c r="BA44" s="71">
        <f>'Business Build-up'!BA46</f>
        <v>549.51</v>
      </c>
      <c r="BB44" s="71">
        <f>'Business Build-up'!BB46</f>
        <v>562.02</v>
      </c>
      <c r="BC44" s="71">
        <f>'Business Build-up'!BC46</f>
        <v>612.13200000000006</v>
      </c>
      <c r="BD44" s="71">
        <f>'Business Build-up'!BD46</f>
        <v>2265.8220000000001</v>
      </c>
      <c r="BE44" s="9"/>
      <c r="BF44" s="71">
        <f>'Business Build-up'!BF46</f>
        <v>561.06720000000007</v>
      </c>
      <c r="BG44" s="71">
        <f>'Business Build-up'!BG46</f>
        <v>568.78470000000004</v>
      </c>
      <c r="BH44" s="71">
        <f>'Business Build-up'!BH46</f>
        <v>581.8284000000001</v>
      </c>
      <c r="BI44" s="71">
        <f>'Business Build-up'!BI46</f>
        <v>633.93804000000011</v>
      </c>
      <c r="BJ44" s="71">
        <f>'Business Build-up'!BJ46</f>
        <v>2345.61834</v>
      </c>
      <c r="BK44" s="9"/>
      <c r="BL44" s="71">
        <f>'Business Build-up'!BL46</f>
        <v>576.224469</v>
      </c>
      <c r="BM44" s="71">
        <f>'Business Build-up'!BM46</f>
        <v>584.12939400000005</v>
      </c>
      <c r="BN44" s="71">
        <f>'Business Build-up'!BN46</f>
        <v>597.63241800000014</v>
      </c>
      <c r="BO44" s="71">
        <f>'Business Build-up'!BO46</f>
        <v>651.2009958000001</v>
      </c>
      <c r="BP44" s="71">
        <f>'Business Build-up'!BP46</f>
        <v>2409.1872768000003</v>
      </c>
      <c r="BQ44" s="9"/>
      <c r="BR44" s="71">
        <f>'Business Build-up'!BR46</f>
        <v>587.74895837999998</v>
      </c>
      <c r="BS44" s="71">
        <f>'Business Build-up'!BS46</f>
        <v>595.81198188000008</v>
      </c>
      <c r="BT44" s="71">
        <f>'Business Build-up'!BT46</f>
        <v>609.58506636000016</v>
      </c>
      <c r="BU44" s="71">
        <f>'Business Build-up'!BU46</f>
        <v>664.22501571600003</v>
      </c>
      <c r="BV44" s="71">
        <f>'Business Build-up'!BV46</f>
        <v>2457.3710223360004</v>
      </c>
      <c r="BW44" s="9"/>
      <c r="BX44" s="71">
        <f>'Business Build-up'!BX46</f>
        <v>599.5039375476</v>
      </c>
      <c r="BY44" s="71">
        <f>'Business Build-up'!BY46</f>
        <v>607.7282215176001</v>
      </c>
      <c r="BZ44" s="71">
        <f>'Business Build-up'!BZ46</f>
        <v>621.77676768720005</v>
      </c>
      <c r="CA44" s="71">
        <f>'Business Build-up'!CA46</f>
        <v>677.50951603032013</v>
      </c>
      <c r="CB44" s="71">
        <f>'Business Build-up'!CB46</f>
        <v>2506.5184427827203</v>
      </c>
      <c r="CC44" s="9"/>
      <c r="CD44" s="71">
        <f>'Business Build-up'!CD46</f>
        <v>611.49401629855208</v>
      </c>
      <c r="CE44" s="71">
        <f>'Business Build-up'!CE46</f>
        <v>619.88278594795213</v>
      </c>
      <c r="CF44" s="71">
        <f>'Business Build-up'!CF46</f>
        <v>634.21230304094411</v>
      </c>
      <c r="CG44" s="71">
        <f>'Business Build-up'!CG46</f>
        <v>691.05970635092649</v>
      </c>
      <c r="CH44" s="71">
        <f>'Business Build-up'!CH46</f>
        <v>2556.6488116383748</v>
      </c>
      <c r="CI44" s="9"/>
      <c r="CJ44" s="71">
        <f>'Business Build-up'!CJ46</f>
        <v>623.72389662452315</v>
      </c>
      <c r="CK44" s="71">
        <f>'Business Build-up'!CK46</f>
        <v>632.2804416669112</v>
      </c>
      <c r="CL44" s="71">
        <f>'Business Build-up'!CL46</f>
        <v>646.89654910176307</v>
      </c>
      <c r="CM44" s="71">
        <f>'Business Build-up'!CM46</f>
        <v>704.88090047794503</v>
      </c>
      <c r="CN44" s="71">
        <f>'Business Build-up'!CN46</f>
        <v>2607.7817878711421</v>
      </c>
    </row>
    <row r="45" spans="1:92" ht="12.95" customHeight="1" x14ac:dyDescent="0.25">
      <c r="B45" s="13" t="s">
        <v>7</v>
      </c>
      <c r="C45" s="13"/>
      <c r="D45" s="73">
        <f t="shared" ref="D45" si="327">SUM(D43:D44)</f>
        <v>1090</v>
      </c>
      <c r="E45" s="73">
        <f t="shared" ref="E45" si="328">SUM(E43:E44)</f>
        <v>1904</v>
      </c>
      <c r="F45" s="73">
        <f t="shared" ref="F45" si="329">SUM(F43:F44)</f>
        <v>2232</v>
      </c>
      <c r="G45" s="73">
        <f t="shared" ref="G45" si="330">SUM(G43:G44)</f>
        <v>2111</v>
      </c>
      <c r="H45" s="73">
        <f t="shared" ref="H45" si="331">SUM(H43:H44)</f>
        <v>7337</v>
      </c>
      <c r="I45" s="66"/>
      <c r="J45" s="73">
        <f t="shared" ref="J45" si="332">SUM(J43:J44)</f>
        <v>2789</v>
      </c>
      <c r="K45" s="73">
        <f t="shared" ref="K45" si="333">SUM(K43:K44)</f>
        <v>2853</v>
      </c>
      <c r="L45" s="73">
        <f t="shared" ref="L45" si="334">SUM(L43:L44)</f>
        <v>2833</v>
      </c>
      <c r="M45" s="73">
        <f t="shared" ref="M45" si="335">SUM(M43:M44)</f>
        <v>2584</v>
      </c>
      <c r="N45" s="73">
        <f t="shared" ref="N45" si="336">SUM(N43:N44)</f>
        <v>11059</v>
      </c>
      <c r="O45" s="66"/>
      <c r="P45" s="73">
        <f t="shared" ref="P45" si="337">SUM(P43:P44)</f>
        <v>2848</v>
      </c>
      <c r="Q45" s="73">
        <f t="shared" ref="Q45" si="338">SUM(Q43:Q44)</f>
        <v>2860</v>
      </c>
      <c r="R45" s="73">
        <f t="shared" ref="R45" si="339">SUM(R43:R44)</f>
        <v>2665</v>
      </c>
      <c r="S45" s="73">
        <f t="shared" ref="S45" si="340">SUM(S43:S44)</f>
        <v>2494</v>
      </c>
      <c r="T45" s="73">
        <f t="shared" ref="T45" si="341">SUM(T43:T44)</f>
        <v>10867</v>
      </c>
      <c r="U45" s="66"/>
      <c r="V45" s="73">
        <f t="shared" ref="V45" si="342">SUM(V43:V44)</f>
        <v>2018</v>
      </c>
      <c r="W45" s="73">
        <f t="shared" ref="W45" si="343">SUM(W43:W44)</f>
        <v>1392</v>
      </c>
      <c r="X45" s="73">
        <f t="shared" ref="X45" si="344">SUM(X43:X44)</f>
        <v>1578</v>
      </c>
      <c r="Y45" s="73">
        <f t="shared" ref="Y45" si="345">SUM(Y43:Y44)</f>
        <v>1801</v>
      </c>
      <c r="Z45" s="73">
        <f t="shared" ref="Z45" si="346">SUM(Z43:Z44)</f>
        <v>6985</v>
      </c>
      <c r="AA45" s="66"/>
      <c r="AB45" s="73">
        <f t="shared" ref="AB45" si="347">SUM(AB43:AB44)</f>
        <v>2400</v>
      </c>
      <c r="AC45" s="73">
        <f t="shared" ref="AC45" si="348">SUM(AC43:AC44)</f>
        <v>2376</v>
      </c>
      <c r="AD45" s="73">
        <f t="shared" ref="AD45" si="349">SUM(AD43:AD44)</f>
        <v>2257</v>
      </c>
      <c r="AE45" s="73">
        <f t="shared" ref="AE45" si="350">SUM(AE43:AE44)</f>
        <v>2197</v>
      </c>
      <c r="AF45" s="73">
        <f t="shared" ref="AF45" si="351">SUM(AF43:AF44)</f>
        <v>9230</v>
      </c>
      <c r="AG45" s="5"/>
      <c r="AH45" s="73">
        <f t="shared" ref="AH45" si="352">SUM(AH43:AH44)</f>
        <v>2412</v>
      </c>
      <c r="AI45" s="73">
        <f t="shared" ref="AI45" si="353">SUM(AI43:AI44)</f>
        <v>2497</v>
      </c>
      <c r="AJ45" s="73">
        <f t="shared" ref="AJ45" si="354">SUM(AJ43:AJ44)</f>
        <v>2976</v>
      </c>
      <c r="AK45" s="73">
        <f t="shared" ref="AK45" si="355">SUM(AK43:AK44)</f>
        <v>2238</v>
      </c>
      <c r="AL45" s="73">
        <f t="shared" ref="AL45" si="356">SUM(AL43:AL44)</f>
        <v>10123</v>
      </c>
      <c r="AM45" s="4"/>
      <c r="AN45" s="73">
        <f t="shared" ref="AN45" si="357">SUM(AN43:AN44)</f>
        <v>3263</v>
      </c>
      <c r="AO45" s="73">
        <f t="shared" ref="AO45" si="358">SUM(AO43:AO44)</f>
        <v>4194</v>
      </c>
      <c r="AP45" s="73">
        <f t="shared" ref="AP45" si="359">SUM(AP43:AP44)</f>
        <v>3974</v>
      </c>
      <c r="AQ45" s="73">
        <f t="shared" ref="AQ45" si="360">SUM(AQ43:AQ44)</f>
        <v>3679</v>
      </c>
      <c r="AR45" s="73">
        <f t="shared" ref="AR45" si="361">SUM(AR43:AR44)</f>
        <v>15110</v>
      </c>
      <c r="AS45" s="4"/>
      <c r="AT45" s="73">
        <f t="shared" ref="AT45" si="362">SUM(AT43:AT44)</f>
        <v>4043</v>
      </c>
      <c r="AU45" s="73">
        <f t="shared" ref="AU45" si="363">SUM(AU43:AU44)</f>
        <v>4013</v>
      </c>
      <c r="AV45" s="73">
        <f t="shared" ref="AV45" si="364">SUM(AV43:AV44)</f>
        <v>3690</v>
      </c>
      <c r="AW45" s="600">
        <f t="shared" ref="AW45" si="365">SUM(AW43:AW44)</f>
        <v>3691.3915876932269</v>
      </c>
      <c r="AX45" s="73">
        <f t="shared" ref="AX45" si="366">SUM(AX43:AX44)</f>
        <v>15437.39158769323</v>
      </c>
      <c r="AY45" s="4"/>
      <c r="AZ45" s="73">
        <f t="shared" ref="AZ45" si="367">SUM(AZ43:AZ44)</f>
        <v>3773.7287669378538</v>
      </c>
      <c r="BA45" s="73">
        <f t="shared" ref="BA45" si="368">SUM(BA43:BA44)</f>
        <v>4000.4081351930063</v>
      </c>
      <c r="BB45" s="73">
        <f t="shared" ref="BB45" si="369">SUM(BB43:BB44)</f>
        <v>3696.4936549037366</v>
      </c>
      <c r="BC45" s="73">
        <f t="shared" ref="BC45" si="370">SUM(BC43:BC44)</f>
        <v>3804.2112955095531</v>
      </c>
      <c r="BD45" s="73">
        <f t="shared" ref="BD45" si="371">SUM(BD43:BD44)</f>
        <v>15274.841852544148</v>
      </c>
      <c r="BE45" s="4"/>
      <c r="BF45" s="73">
        <f t="shared" ref="BF45" si="372">SUM(BF43:BF44)</f>
        <v>4058.7463430740236</v>
      </c>
      <c r="BG45" s="73">
        <f t="shared" ref="BG45" si="373">SUM(BG43:BG44)</f>
        <v>4304.3283364069503</v>
      </c>
      <c r="BH45" s="73">
        <f t="shared" ref="BH45" si="374">SUM(BH43:BH44)</f>
        <v>3995.0544532998638</v>
      </c>
      <c r="BI45" s="73">
        <f t="shared" ref="BI45" si="375">SUM(BI43:BI44)</f>
        <v>4114.9940350928664</v>
      </c>
      <c r="BJ45" s="73">
        <f t="shared" ref="BJ45" si="376">SUM(BJ43:BJ44)</f>
        <v>16473.123167873706</v>
      </c>
      <c r="BK45" s="4"/>
      <c r="BL45" s="73">
        <f t="shared" ref="BL45" si="377">SUM(BL43:BL44)</f>
        <v>4273.1101206183666</v>
      </c>
      <c r="BM45" s="73">
        <f t="shared" ref="BM45" si="378">SUM(BM43:BM44)</f>
        <v>4533.1667211075137</v>
      </c>
      <c r="BN45" s="73">
        <f t="shared" ref="BN45" si="379">SUM(BN43:BN44)</f>
        <v>4220.0905758378631</v>
      </c>
      <c r="BO45" s="73">
        <f t="shared" ref="BO45" si="380">SUM(BO43:BO44)</f>
        <v>4349.9939135927143</v>
      </c>
      <c r="BP45" s="73">
        <f t="shared" ref="BP45" si="381">SUM(BP43:BP44)</f>
        <v>17376.361331156451</v>
      </c>
      <c r="BQ45" s="4"/>
      <c r="BR45" s="73">
        <f t="shared" ref="BR45" si="382">SUM(BR43:BR44)</f>
        <v>4495.5894944958591</v>
      </c>
      <c r="BS45" s="73">
        <f t="shared" ref="BS45" si="383">SUM(BS43:BS44)</f>
        <v>4770.9585049636698</v>
      </c>
      <c r="BT45" s="73">
        <f t="shared" ref="BT45" si="384">SUM(BT43:BT44)</f>
        <v>4453.7853774215482</v>
      </c>
      <c r="BU45" s="73">
        <f t="shared" ref="BU45" si="385">SUM(BU43:BU44)</f>
        <v>4593.6345259405716</v>
      </c>
      <c r="BV45" s="73">
        <f t="shared" ref="BV45" si="386">SUM(BV43:BV44)</f>
        <v>18313.967902821649</v>
      </c>
      <c r="BW45" s="4"/>
      <c r="BX45" s="73">
        <f t="shared" ref="BX45" si="387">SUM(BX43:BX44)</f>
        <v>4727.1391922464491</v>
      </c>
      <c r="BY45" s="73">
        <f t="shared" ref="BY45" si="388">SUM(BY43:BY44)</f>
        <v>5018.5069346832006</v>
      </c>
      <c r="BZ45" s="73">
        <f t="shared" ref="BZ45" si="389">SUM(BZ43:BZ44)</f>
        <v>4697.0420958845398</v>
      </c>
      <c r="CA45" s="73">
        <f t="shared" ref="CA45" si="390">SUM(CA43:CA44)</f>
        <v>4847.3194910615475</v>
      </c>
      <c r="CB45" s="73">
        <f t="shared" ref="CB45" si="391">SUM(CB43:CB44)</f>
        <v>19290.007713875733</v>
      </c>
      <c r="CC45" s="4"/>
      <c r="CD45" s="73">
        <f t="shared" ref="CD45" si="392">SUM(CD43:CD44)</f>
        <v>4968.1470067140344</v>
      </c>
      <c r="CE45" s="73">
        <f t="shared" ref="CE45" si="393">SUM(CE43:CE44)</f>
        <v>5276.2313876727503</v>
      </c>
      <c r="CF45" s="73">
        <f t="shared" ref="CF45" si="394">SUM(CF43:CF44)</f>
        <v>4950.2707352810721</v>
      </c>
      <c r="CG45" s="73">
        <f t="shared" ref="CG45" si="395">SUM(CG43:CG44)</f>
        <v>5111.48330972439</v>
      </c>
      <c r="CH45" s="73">
        <f t="shared" ref="CH45" si="396">SUM(CH43:CH44)</f>
        <v>20306.132439392248</v>
      </c>
      <c r="CI45" s="4"/>
      <c r="CJ45" s="73">
        <f t="shared" ref="CJ45" si="397">SUM(CJ43:CJ44)</f>
        <v>5224.657793420567</v>
      </c>
      <c r="CK45" s="73">
        <f t="shared" ref="CK45" si="398">SUM(CK43:CK44)</f>
        <v>5550.2830791495498</v>
      </c>
      <c r="CL45" s="73">
        <f t="shared" ref="CL45" si="399">SUM(CL43:CL44)</f>
        <v>5219.7838661746318</v>
      </c>
      <c r="CM45" s="73">
        <f t="shared" ref="CM45" si="400">SUM(CM43:CM44)</f>
        <v>5392.4675778117726</v>
      </c>
      <c r="CN45" s="73">
        <f t="shared" ref="CN45" si="401">SUM(CN43:CN44)</f>
        <v>21387.19231655652</v>
      </c>
    </row>
    <row r="46" spans="1:92" ht="12.95" customHeight="1" x14ac:dyDescent="0.25">
      <c r="B46" s="14" t="s">
        <v>8</v>
      </c>
      <c r="D46" s="239">
        <f t="shared" ref="D46:H46" si="402">D45/D$9</f>
        <v>0.11097536143351659</v>
      </c>
      <c r="E46" s="239">
        <f t="shared" si="402"/>
        <v>0.1680345953578678</v>
      </c>
      <c r="F46" s="239">
        <f t="shared" si="402"/>
        <v>0.19556645930079733</v>
      </c>
      <c r="G46" s="239">
        <f t="shared" si="402"/>
        <v>0.1636941687344913</v>
      </c>
      <c r="H46" s="239">
        <f t="shared" si="402"/>
        <v>0.16138753244467907</v>
      </c>
      <c r="I46" s="1"/>
      <c r="J46" s="239">
        <f t="shared" ref="J46:N46" si="403">J45/J$9</f>
        <v>0.21689089353760013</v>
      </c>
      <c r="K46" s="239">
        <f t="shared" si="403"/>
        <v>0.20362572264649204</v>
      </c>
      <c r="L46" s="239">
        <f t="shared" si="403"/>
        <v>0.20969652109548484</v>
      </c>
      <c r="M46" s="239">
        <f t="shared" si="403"/>
        <v>0.18017012968902524</v>
      </c>
      <c r="N46" s="239">
        <f t="shared" si="403"/>
        <v>0.20209422170242317</v>
      </c>
      <c r="O46" s="1"/>
      <c r="P46" s="239">
        <f t="shared" ref="P46:T46" si="404">P45/P$9</f>
        <v>0.21149561859497995</v>
      </c>
      <c r="Q46" s="239">
        <f t="shared" si="404"/>
        <v>0.19817073170731708</v>
      </c>
      <c r="R46" s="239">
        <f t="shared" si="404"/>
        <v>0.20888854052359304</v>
      </c>
      <c r="S46" s="239">
        <f t="shared" si="404"/>
        <v>0.18974437005477784</v>
      </c>
      <c r="T46" s="239">
        <f t="shared" si="404"/>
        <v>0.20198884758364313</v>
      </c>
      <c r="U46" s="1"/>
      <c r="V46" s="239">
        <f t="shared" ref="V46:Z46" si="405">V45/V$9</f>
        <v>0.18975082275505406</v>
      </c>
      <c r="W46" s="239">
        <f t="shared" si="405"/>
        <v>0.13924177253175954</v>
      </c>
      <c r="X46" s="239">
        <f t="shared" si="405"/>
        <v>0.15970043517862564</v>
      </c>
      <c r="Y46" s="239">
        <f t="shared" si="405"/>
        <v>0.16030262572318646</v>
      </c>
      <c r="Z46" s="239">
        <f t="shared" si="405"/>
        <v>0.1673134042349334</v>
      </c>
      <c r="AA46" s="1"/>
      <c r="AB46" s="239">
        <f t="shared" ref="AB46:AF46" si="406">AB45/AB$9</f>
        <v>0.20190123664507445</v>
      </c>
      <c r="AC46" s="239">
        <f t="shared" si="406"/>
        <v>0.18434323842035844</v>
      </c>
      <c r="AD46" s="239">
        <f t="shared" si="406"/>
        <v>0.18206017584899573</v>
      </c>
      <c r="AE46" s="239">
        <f t="shared" si="406"/>
        <v>0.15922597477895348</v>
      </c>
      <c r="AF46" s="239">
        <f t="shared" si="406"/>
        <v>0.18108336112691531</v>
      </c>
      <c r="AG46" s="1"/>
      <c r="AH46" s="239">
        <f t="shared" ref="AH46:AL46" si="407">AH45/AH$9</f>
        <v>0.17749650452571933</v>
      </c>
      <c r="AI46" s="239">
        <f t="shared" si="407"/>
        <v>0.17526496806345196</v>
      </c>
      <c r="AJ46" s="239">
        <f t="shared" si="407"/>
        <v>0.19847939175670268</v>
      </c>
      <c r="AK46" s="239">
        <f t="shared" si="407"/>
        <v>0.1348436464421281</v>
      </c>
      <c r="AL46" s="239">
        <f t="shared" si="407"/>
        <v>0.17034344658152017</v>
      </c>
      <c r="AN46" s="239">
        <f t="shared" ref="AN46:AR46" si="408">AN45/AN$9</f>
        <v>0.20571176396419114</v>
      </c>
      <c r="AO46" s="239">
        <f t="shared" si="408"/>
        <v>0.24217577087423489</v>
      </c>
      <c r="AP46" s="239">
        <f t="shared" si="408"/>
        <v>0.23640690065437239</v>
      </c>
      <c r="AQ46" s="239">
        <f t="shared" si="408"/>
        <v>0.21552431165787933</v>
      </c>
      <c r="AR46" s="239">
        <f t="shared" si="408"/>
        <v>0.22532060841037876</v>
      </c>
      <c r="AT46" s="239">
        <f t="shared" ref="AT46:AX46" si="409">AT45/AT$9</f>
        <v>0.25590227229571494</v>
      </c>
      <c r="AU46" s="239">
        <f t="shared" si="409"/>
        <v>0.24045778656600156</v>
      </c>
      <c r="AV46" s="239">
        <f t="shared" si="409"/>
        <v>0.22910716503166523</v>
      </c>
      <c r="AW46" s="351">
        <f t="shared" si="409"/>
        <v>0.2212103005404262</v>
      </c>
      <c r="AX46" s="239">
        <f t="shared" si="409"/>
        <v>0.2364751224538934</v>
      </c>
      <c r="AZ46" s="239">
        <f t="shared" ref="AZ46:BD46" si="410">AZ45/AZ$9</f>
        <v>0.24514203649707861</v>
      </c>
      <c r="BA46" s="239">
        <f t="shared" si="410"/>
        <v>0.24321251779483508</v>
      </c>
      <c r="BB46" s="239">
        <f t="shared" si="410"/>
        <v>0.22843398730950074</v>
      </c>
      <c r="BC46" s="239">
        <f t="shared" si="410"/>
        <v>0.22438979175817084</v>
      </c>
      <c r="BD46" s="239">
        <f t="shared" si="410"/>
        <v>0.23507812823676438</v>
      </c>
      <c r="BF46" s="239">
        <f t="shared" ref="BF46:BJ46" si="411">BF45/BF$9</f>
        <v>0.25175811364931105</v>
      </c>
      <c r="BG46" s="239">
        <f t="shared" si="411"/>
        <v>0.24988296857293776</v>
      </c>
      <c r="BH46" s="239">
        <f t="shared" si="411"/>
        <v>0.23576988062367132</v>
      </c>
      <c r="BI46" s="239">
        <f t="shared" si="411"/>
        <v>0.23184343585328698</v>
      </c>
      <c r="BJ46" s="239">
        <f t="shared" si="411"/>
        <v>0.24210680251663647</v>
      </c>
      <c r="BL46" s="239">
        <f t="shared" ref="BL46:BP46" si="412">BL45/BL$9</f>
        <v>0.25464423894396726</v>
      </c>
      <c r="BM46" s="239">
        <f t="shared" si="412"/>
        <v>0.25277713600728474</v>
      </c>
      <c r="BN46" s="239">
        <f t="shared" si="412"/>
        <v>0.23924282644864955</v>
      </c>
      <c r="BO46" s="239">
        <f t="shared" si="412"/>
        <v>0.23537904867457457</v>
      </c>
      <c r="BP46" s="239">
        <f t="shared" si="412"/>
        <v>0.245309909995967</v>
      </c>
      <c r="BR46" s="239">
        <f t="shared" ref="BR46:BV46" si="413">BR45/BR$9</f>
        <v>0.25736295566922013</v>
      </c>
      <c r="BS46" s="239">
        <f t="shared" si="413"/>
        <v>0.25551591561713116</v>
      </c>
      <c r="BT46" s="239">
        <f t="shared" si="413"/>
        <v>0.24253216108279668</v>
      </c>
      <c r="BU46" s="239">
        <f t="shared" si="413"/>
        <v>0.23870345677013879</v>
      </c>
      <c r="BV46" s="239">
        <f t="shared" si="413"/>
        <v>0.24833321701470595</v>
      </c>
      <c r="BX46" s="239">
        <f t="shared" ref="BX46:CB46" si="414">BX45/BX$9</f>
        <v>0.25995544217529798</v>
      </c>
      <c r="BY46" s="239">
        <f t="shared" si="414"/>
        <v>0.25812767471309034</v>
      </c>
      <c r="BZ46" s="239">
        <f t="shared" si="414"/>
        <v>0.24567382439511237</v>
      </c>
      <c r="CA46" s="239">
        <f t="shared" si="414"/>
        <v>0.2418782085571087</v>
      </c>
      <c r="CB46" s="239">
        <f t="shared" si="414"/>
        <v>0.25121866696314366</v>
      </c>
      <c r="CD46" s="239">
        <f t="shared" ref="CD46:CH46" si="415">CD45/CD$9</f>
        <v>0.26242651979526582</v>
      </c>
      <c r="CE46" s="239">
        <f t="shared" si="415"/>
        <v>0.26061728508874371</v>
      </c>
      <c r="CF46" s="239">
        <f t="shared" si="415"/>
        <v>0.24867342100017972</v>
      </c>
      <c r="CG46" s="239">
        <f t="shared" si="415"/>
        <v>0.24490900178293698</v>
      </c>
      <c r="CH46" s="239">
        <f t="shared" si="415"/>
        <v>0.2539715168155473</v>
      </c>
      <c r="CJ46" s="239">
        <f t="shared" ref="CJ46:CN46" si="416">CJ45/CJ$9</f>
        <v>0.26506697659601902</v>
      </c>
      <c r="CK46" s="239">
        <f t="shared" si="416"/>
        <v>0.26326043647998681</v>
      </c>
      <c r="CL46" s="239">
        <f t="shared" si="416"/>
        <v>0.25182024422495819</v>
      </c>
      <c r="CM46" s="239">
        <f t="shared" si="416"/>
        <v>0.24807219078008713</v>
      </c>
      <c r="CN46" s="239">
        <f t="shared" si="416"/>
        <v>0.25687458997404361</v>
      </c>
    </row>
    <row r="47" spans="1:92" ht="12.95" customHeight="1" x14ac:dyDescent="0.25">
      <c r="B47" s="14"/>
      <c r="D47" s="252"/>
      <c r="E47" s="252"/>
      <c r="F47" s="252"/>
      <c r="G47" s="252"/>
      <c r="H47" s="252"/>
      <c r="I47" s="1"/>
      <c r="J47" s="252"/>
      <c r="K47" s="252"/>
      <c r="L47" s="252"/>
      <c r="M47" s="252"/>
      <c r="N47" s="252"/>
      <c r="O47" s="1"/>
      <c r="P47" s="252"/>
      <c r="Q47" s="252"/>
      <c r="R47" s="252"/>
      <c r="S47" s="252"/>
      <c r="T47" s="252"/>
      <c r="U47" s="1"/>
      <c r="V47" s="252"/>
      <c r="W47" s="252"/>
      <c r="X47" s="252"/>
      <c r="Y47" s="252"/>
      <c r="Z47" s="252"/>
      <c r="AA47" s="1"/>
      <c r="AB47" s="252"/>
      <c r="AC47" s="252"/>
      <c r="AD47" s="252"/>
      <c r="AE47" s="252"/>
      <c r="AF47" s="252"/>
      <c r="AG47" s="1"/>
      <c r="AH47" s="252"/>
      <c r="AI47" s="252"/>
      <c r="AJ47" s="252"/>
      <c r="AK47" s="252"/>
      <c r="AL47" s="252"/>
      <c r="AN47" s="252"/>
      <c r="AO47" s="252"/>
      <c r="AP47" s="252"/>
      <c r="AQ47" s="252"/>
      <c r="AR47" s="252"/>
      <c r="AT47" s="252"/>
      <c r="AU47" s="252"/>
      <c r="AV47" s="252"/>
      <c r="AW47" s="349"/>
      <c r="AX47" s="252"/>
      <c r="AZ47" s="252"/>
      <c r="BA47" s="252"/>
      <c r="BB47" s="252"/>
      <c r="BC47" s="252"/>
      <c r="BD47" s="252"/>
      <c r="BF47" s="252"/>
      <c r="BG47" s="252"/>
      <c r="BH47" s="252"/>
      <c r="BI47" s="252"/>
      <c r="BJ47" s="252"/>
      <c r="BL47" s="252"/>
      <c r="BM47" s="252"/>
      <c r="BN47" s="252"/>
      <c r="BO47" s="252"/>
      <c r="BP47" s="252"/>
      <c r="BR47" s="252"/>
      <c r="BS47" s="252"/>
      <c r="BT47" s="252"/>
      <c r="BU47" s="252"/>
      <c r="BV47" s="252"/>
      <c r="BX47" s="252"/>
      <c r="BY47" s="252"/>
      <c r="BZ47" s="252"/>
      <c r="CA47" s="252"/>
      <c r="CB47" s="252"/>
      <c r="CD47" s="252"/>
      <c r="CE47" s="252"/>
      <c r="CF47" s="252"/>
      <c r="CG47" s="252"/>
      <c r="CH47" s="252"/>
      <c r="CJ47" s="252"/>
      <c r="CK47" s="252"/>
      <c r="CL47" s="252"/>
      <c r="CM47" s="252"/>
      <c r="CN47" s="252"/>
    </row>
    <row r="48" spans="1:92" ht="12.95" customHeight="1" x14ac:dyDescent="0.25">
      <c r="B48" s="2" t="s">
        <v>485</v>
      </c>
      <c r="D48" s="71">
        <f t="shared" ref="D48:H48" si="417">D40</f>
        <v>1132</v>
      </c>
      <c r="E48" s="71">
        <f t="shared" si="417"/>
        <v>1353.9649999999999</v>
      </c>
      <c r="F48" s="71">
        <f t="shared" si="417"/>
        <v>1600.3040000000001</v>
      </c>
      <c r="G48" s="71">
        <f t="shared" si="417"/>
        <v>1544.731</v>
      </c>
      <c r="H48" s="71">
        <f t="shared" si="417"/>
        <v>5631</v>
      </c>
      <c r="I48" s="1"/>
      <c r="J48" s="71">
        <f t="shared" ref="J48:N48" si="418">J40</f>
        <v>2168.3136</v>
      </c>
      <c r="K48" s="71">
        <f t="shared" si="418"/>
        <v>2279.0880000000002</v>
      </c>
      <c r="L48" s="71">
        <f t="shared" si="418"/>
        <v>2243.08</v>
      </c>
      <c r="M48" s="71">
        <f t="shared" si="418"/>
        <v>1988.5183999999999</v>
      </c>
      <c r="N48" s="71">
        <f t="shared" si="418"/>
        <v>8679</v>
      </c>
      <c r="O48" s="1"/>
      <c r="P48" s="71">
        <f t="shared" ref="P48:T48" si="419">P40</f>
        <v>2207</v>
      </c>
      <c r="Q48" s="71">
        <f t="shared" si="419"/>
        <v>2213</v>
      </c>
      <c r="R48" s="71">
        <f t="shared" si="419"/>
        <v>2020</v>
      </c>
      <c r="S48" s="71">
        <f t="shared" si="419"/>
        <v>2086</v>
      </c>
      <c r="T48" s="71">
        <f t="shared" si="419"/>
        <v>8526</v>
      </c>
      <c r="U48" s="1"/>
      <c r="V48" s="71">
        <f t="shared" ref="V48:Z48" si="420">V40</f>
        <v>1441</v>
      </c>
      <c r="W48" s="71">
        <f t="shared" si="420"/>
        <v>931</v>
      </c>
      <c r="X48" s="71">
        <f t="shared" si="420"/>
        <v>1097</v>
      </c>
      <c r="Y48" s="71">
        <f t="shared" si="420"/>
        <v>1438</v>
      </c>
      <c r="Z48" s="71">
        <f t="shared" si="420"/>
        <v>4907</v>
      </c>
      <c r="AA48" s="1"/>
      <c r="AB48" s="71">
        <f t="shared" ref="AB48:AF48" si="421">AB40</f>
        <v>1878</v>
      </c>
      <c r="AC48" s="71">
        <f t="shared" si="421"/>
        <v>1814</v>
      </c>
      <c r="AD48" s="71">
        <f t="shared" si="421"/>
        <v>1699</v>
      </c>
      <c r="AE48" s="71">
        <f t="shared" si="421"/>
        <v>1577</v>
      </c>
      <c r="AF48" s="71">
        <f t="shared" si="421"/>
        <v>6968</v>
      </c>
      <c r="AG48" s="1"/>
      <c r="AH48" s="71">
        <f t="shared" ref="AH48:AL48" si="422">AH40</f>
        <v>1868</v>
      </c>
      <c r="AI48" s="71">
        <f t="shared" si="422"/>
        <v>1972</v>
      </c>
      <c r="AJ48" s="71">
        <f t="shared" si="422"/>
        <v>2474</v>
      </c>
      <c r="AK48" s="71">
        <f t="shared" si="422"/>
        <v>2814</v>
      </c>
      <c r="AL48" s="71">
        <f t="shared" si="422"/>
        <v>9128</v>
      </c>
      <c r="AN48" s="71">
        <f t="shared" ref="AN48:AR48" si="423">AN40</f>
        <v>3342</v>
      </c>
      <c r="AO48" s="71">
        <f t="shared" si="423"/>
        <v>3683</v>
      </c>
      <c r="AP48" s="71">
        <f t="shared" si="423"/>
        <v>3495</v>
      </c>
      <c r="AQ48" s="71">
        <f t="shared" si="423"/>
        <v>3226</v>
      </c>
      <c r="AR48" s="71">
        <f t="shared" si="423"/>
        <v>13746</v>
      </c>
      <c r="AT48" s="71">
        <f t="shared" ref="AT48:AX48" si="424">AT40</f>
        <v>3513</v>
      </c>
      <c r="AU48" s="71">
        <f t="shared" si="424"/>
        <v>3740</v>
      </c>
      <c r="AV48" s="236">
        <f t="shared" si="424"/>
        <v>3217</v>
      </c>
      <c r="AW48" s="595">
        <f t="shared" si="424"/>
        <v>3180.1915876932271</v>
      </c>
      <c r="AX48" s="71">
        <f t="shared" si="424"/>
        <v>13650.191587693231</v>
      </c>
      <c r="AZ48" s="71">
        <f t="shared" ref="AZ48:BD48" si="425">AZ40</f>
        <v>3231.568766937854</v>
      </c>
      <c r="BA48" s="71">
        <f t="shared" si="425"/>
        <v>3450.8981351930061</v>
      </c>
      <c r="BB48" s="71">
        <f t="shared" si="425"/>
        <v>3134.4736549037366</v>
      </c>
      <c r="BC48" s="71">
        <f t="shared" si="425"/>
        <v>3192.079295509553</v>
      </c>
      <c r="BD48" s="71">
        <f t="shared" si="425"/>
        <v>13009.019852544148</v>
      </c>
      <c r="BF48" s="71">
        <f t="shared" ref="BF48:BJ48" si="426">BF40</f>
        <v>3497.6791430740236</v>
      </c>
      <c r="BG48" s="71">
        <f t="shared" si="426"/>
        <v>3735.5436364069506</v>
      </c>
      <c r="BH48" s="71">
        <f t="shared" si="426"/>
        <v>3413.2260532998635</v>
      </c>
      <c r="BI48" s="71">
        <f t="shared" si="426"/>
        <v>3481.0559950928659</v>
      </c>
      <c r="BJ48" s="71">
        <f t="shared" si="426"/>
        <v>14127.504827873705</v>
      </c>
      <c r="BL48" s="71">
        <f t="shared" ref="BL48:BP48" si="427">BL40</f>
        <v>3696.8856516183669</v>
      </c>
      <c r="BM48" s="71">
        <f t="shared" si="427"/>
        <v>3949.0373271075136</v>
      </c>
      <c r="BN48" s="71">
        <f t="shared" si="427"/>
        <v>3622.4581578378634</v>
      </c>
      <c r="BO48" s="71">
        <f t="shared" si="427"/>
        <v>3698.792917792714</v>
      </c>
      <c r="BP48" s="71">
        <f t="shared" si="427"/>
        <v>14967.17405435645</v>
      </c>
      <c r="BR48" s="71">
        <f t="shared" ref="BR48:BV48" si="428">BR40</f>
        <v>3907.8405361158593</v>
      </c>
      <c r="BS48" s="71">
        <f t="shared" si="428"/>
        <v>4175.1465230836693</v>
      </c>
      <c r="BT48" s="71">
        <f t="shared" si="428"/>
        <v>3844.2003110615478</v>
      </c>
      <c r="BU48" s="71">
        <f t="shared" si="428"/>
        <v>3929.4095102245719</v>
      </c>
      <c r="BV48" s="71">
        <f t="shared" si="428"/>
        <v>15856.596880485647</v>
      </c>
      <c r="BX48" s="71">
        <f t="shared" ref="BX48:CB48" si="429">BX40</f>
        <v>4127.6352546988492</v>
      </c>
      <c r="BY48" s="71">
        <f t="shared" si="429"/>
        <v>4410.7787131656005</v>
      </c>
      <c r="BZ48" s="71">
        <f t="shared" si="429"/>
        <v>4075.2653281973398</v>
      </c>
      <c r="CA48" s="71">
        <f t="shared" si="429"/>
        <v>4169.8099750312276</v>
      </c>
      <c r="CB48" s="71">
        <f t="shared" si="429"/>
        <v>16783.489271093014</v>
      </c>
      <c r="CD48" s="71">
        <f t="shared" ref="CD48:CH48" si="430">CD40</f>
        <v>4356.6529904154822</v>
      </c>
      <c r="CE48" s="71">
        <f t="shared" si="430"/>
        <v>4656.3486017247978</v>
      </c>
      <c r="CF48" s="71">
        <f t="shared" si="430"/>
        <v>4316.0584322401282</v>
      </c>
      <c r="CG48" s="71">
        <f t="shared" si="430"/>
        <v>4420.4236033734633</v>
      </c>
      <c r="CH48" s="71">
        <f t="shared" si="430"/>
        <v>17749.483627753874</v>
      </c>
      <c r="CJ48" s="71">
        <f t="shared" ref="CJ48:CN48" si="431">CJ40</f>
        <v>4600.9338967960439</v>
      </c>
      <c r="CK48" s="71">
        <f t="shared" si="431"/>
        <v>4918.0026374826384</v>
      </c>
      <c r="CL48" s="71">
        <f t="shared" si="431"/>
        <v>4572.8873170728684</v>
      </c>
      <c r="CM48" s="71">
        <f t="shared" si="431"/>
        <v>4687.5866773338275</v>
      </c>
      <c r="CN48" s="71">
        <f t="shared" si="431"/>
        <v>18779.410528685377</v>
      </c>
    </row>
    <row r="49" spans="1:92" ht="12.95" customHeight="1" x14ac:dyDescent="0.25">
      <c r="B49" s="2" t="s">
        <v>420</v>
      </c>
      <c r="D49" s="71">
        <f>'Business Build-up'!D46</f>
        <v>710</v>
      </c>
      <c r="E49" s="71">
        <f>'Business Build-up'!E46</f>
        <v>720</v>
      </c>
      <c r="F49" s="71">
        <f>'Business Build-up'!F46</f>
        <v>723</v>
      </c>
      <c r="G49" s="71">
        <f>'Business Build-up'!G46</f>
        <v>724</v>
      </c>
      <c r="H49" s="71">
        <f>'Business Build-up'!H46</f>
        <v>2877</v>
      </c>
      <c r="I49" s="1"/>
      <c r="J49" s="71">
        <f>'Business Build-up'!J46</f>
        <v>681</v>
      </c>
      <c r="K49" s="71">
        <f>'Business Build-up'!K46</f>
        <v>686</v>
      </c>
      <c r="L49" s="71">
        <f>'Business Build-up'!L46</f>
        <v>698</v>
      </c>
      <c r="M49" s="71">
        <f>'Business Build-up'!M46</f>
        <v>701</v>
      </c>
      <c r="N49" s="71">
        <f>'Business Build-up'!N46</f>
        <v>2766</v>
      </c>
      <c r="O49" s="1"/>
      <c r="P49" s="71">
        <f>'Business Build-up'!P46</f>
        <v>641</v>
      </c>
      <c r="Q49" s="71">
        <f>'Business Build-up'!Q46</f>
        <v>647</v>
      </c>
      <c r="R49" s="71">
        <f>'Business Build-up'!R46</f>
        <v>645</v>
      </c>
      <c r="S49" s="71">
        <f>'Business Build-up'!S46</f>
        <v>644</v>
      </c>
      <c r="T49" s="71">
        <f>'Business Build-up'!T46</f>
        <v>2577</v>
      </c>
      <c r="U49" s="1"/>
      <c r="V49" s="71">
        <f>'Business Build-up'!V46</f>
        <v>614</v>
      </c>
      <c r="W49" s="71">
        <f>'Business Build-up'!W46</f>
        <v>608</v>
      </c>
      <c r="X49" s="71">
        <f>'Business Build-up'!X46</f>
        <v>593</v>
      </c>
      <c r="Y49" s="71">
        <f>'Business Build-up'!Y46</f>
        <v>421</v>
      </c>
      <c r="Z49" s="71">
        <f>'Business Build-up'!Z46</f>
        <v>2432</v>
      </c>
      <c r="AA49" s="1"/>
      <c r="AB49" s="71">
        <f>'Business Build-up'!AB46</f>
        <v>586</v>
      </c>
      <c r="AC49" s="71">
        <f>'Business Build-up'!AC46</f>
        <v>587</v>
      </c>
      <c r="AD49" s="71">
        <f>'Business Build-up'!AD46</f>
        <v>593</v>
      </c>
      <c r="AE49" s="71">
        <f>'Business Build-up'!AE46</f>
        <v>586</v>
      </c>
      <c r="AF49" s="71">
        <f>'Business Build-up'!AF46</f>
        <v>2352</v>
      </c>
      <c r="AG49" s="1"/>
      <c r="AH49" s="71">
        <f>'Business Build-up'!AH46</f>
        <v>557</v>
      </c>
      <c r="AI49" s="71">
        <f>'Business Build-up'!AI46</f>
        <v>553</v>
      </c>
      <c r="AJ49" s="71">
        <f>'Business Build-up'!AJ46</f>
        <v>551</v>
      </c>
      <c r="AK49" s="71">
        <f>'Business Build-up'!AK46</f>
        <v>558</v>
      </c>
      <c r="AL49" s="71">
        <f>'Business Build-up'!AL46</f>
        <v>2219</v>
      </c>
      <c r="AN49" s="71">
        <f>'Business Build-up'!AN46</f>
        <v>532</v>
      </c>
      <c r="AO49" s="71">
        <f>'Business Build-up'!AO46</f>
        <v>542</v>
      </c>
      <c r="AP49" s="71">
        <f>'Business Build-up'!AP46</f>
        <v>525</v>
      </c>
      <c r="AQ49" s="71">
        <f>'Business Build-up'!AQ46</f>
        <v>545</v>
      </c>
      <c r="AR49" s="71">
        <f>'Business Build-up'!AR46</f>
        <v>2144</v>
      </c>
      <c r="AT49" s="71">
        <f>'Business Build-up'!AT46</f>
        <v>524</v>
      </c>
      <c r="AU49" s="71">
        <f>'Business Build-up'!AU46</f>
        <v>531</v>
      </c>
      <c r="AV49" s="236">
        <f>'Business Build-up'!AV46</f>
        <v>543</v>
      </c>
      <c r="AW49" s="595">
        <f>'Business Build-up'!AW46</f>
        <v>591.20000000000005</v>
      </c>
      <c r="AX49" s="71">
        <f>'Business Build-up'!AX46</f>
        <v>2189.1999999999998</v>
      </c>
      <c r="AZ49" s="71">
        <f>'Business Build-up'!AZ46</f>
        <v>542.16</v>
      </c>
      <c r="BA49" s="71">
        <f>'Business Build-up'!BA46</f>
        <v>549.51</v>
      </c>
      <c r="BB49" s="71">
        <f>'Business Build-up'!BB46</f>
        <v>562.02</v>
      </c>
      <c r="BC49" s="71">
        <f>'Business Build-up'!BC46</f>
        <v>612.13200000000006</v>
      </c>
      <c r="BD49" s="71">
        <f>'Business Build-up'!BD46</f>
        <v>2265.8220000000001</v>
      </c>
      <c r="BF49" s="71">
        <f>'Business Build-up'!BF46</f>
        <v>561.06720000000007</v>
      </c>
      <c r="BG49" s="71">
        <f>'Business Build-up'!BG46</f>
        <v>568.78470000000004</v>
      </c>
      <c r="BH49" s="71">
        <f>'Business Build-up'!BH46</f>
        <v>581.8284000000001</v>
      </c>
      <c r="BI49" s="71">
        <f>'Business Build-up'!BI46</f>
        <v>633.93804000000011</v>
      </c>
      <c r="BJ49" s="71">
        <f>'Business Build-up'!BJ46</f>
        <v>2345.61834</v>
      </c>
      <c r="BL49" s="71">
        <f>'Business Build-up'!BL46</f>
        <v>576.224469</v>
      </c>
      <c r="BM49" s="71">
        <f>'Business Build-up'!BM46</f>
        <v>584.12939400000005</v>
      </c>
      <c r="BN49" s="71">
        <f>'Business Build-up'!BN46</f>
        <v>597.63241800000014</v>
      </c>
      <c r="BO49" s="71">
        <f>'Business Build-up'!BO46</f>
        <v>651.2009958000001</v>
      </c>
      <c r="BP49" s="71">
        <f>'Business Build-up'!BP46</f>
        <v>2409.1872768000003</v>
      </c>
      <c r="BR49" s="71">
        <f>'Business Build-up'!BR46</f>
        <v>587.74895837999998</v>
      </c>
      <c r="BS49" s="71">
        <f>'Business Build-up'!BS46</f>
        <v>595.81198188000008</v>
      </c>
      <c r="BT49" s="71">
        <f>'Business Build-up'!BT46</f>
        <v>609.58506636000016</v>
      </c>
      <c r="BU49" s="71">
        <f>'Business Build-up'!BU46</f>
        <v>664.22501571600003</v>
      </c>
      <c r="BV49" s="71">
        <f>'Business Build-up'!BV46</f>
        <v>2457.3710223360004</v>
      </c>
      <c r="BX49" s="71">
        <f>'Business Build-up'!BX46</f>
        <v>599.5039375476</v>
      </c>
      <c r="BY49" s="71">
        <f>'Business Build-up'!BY46</f>
        <v>607.7282215176001</v>
      </c>
      <c r="BZ49" s="71">
        <f>'Business Build-up'!BZ46</f>
        <v>621.77676768720005</v>
      </c>
      <c r="CA49" s="71">
        <f>'Business Build-up'!CA46</f>
        <v>677.50951603032013</v>
      </c>
      <c r="CB49" s="71">
        <f>'Business Build-up'!CB46</f>
        <v>2506.5184427827203</v>
      </c>
      <c r="CD49" s="71">
        <f>'Business Build-up'!CD46</f>
        <v>611.49401629855208</v>
      </c>
      <c r="CE49" s="71">
        <f>'Business Build-up'!CE46</f>
        <v>619.88278594795213</v>
      </c>
      <c r="CF49" s="71">
        <f>'Business Build-up'!CF46</f>
        <v>634.21230304094411</v>
      </c>
      <c r="CG49" s="71">
        <f>'Business Build-up'!CG46</f>
        <v>691.05970635092649</v>
      </c>
      <c r="CH49" s="71">
        <f>'Business Build-up'!CH46</f>
        <v>2556.6488116383748</v>
      </c>
      <c r="CJ49" s="71">
        <f>'Business Build-up'!CJ46</f>
        <v>623.72389662452315</v>
      </c>
      <c r="CK49" s="71">
        <f>'Business Build-up'!CK46</f>
        <v>632.2804416669112</v>
      </c>
      <c r="CL49" s="71">
        <f>'Business Build-up'!CL46</f>
        <v>646.89654910176307</v>
      </c>
      <c r="CM49" s="71">
        <f>'Business Build-up'!CM46</f>
        <v>704.88090047794503</v>
      </c>
      <c r="CN49" s="71">
        <f>'Business Build-up'!CN46</f>
        <v>2607.7817878711421</v>
      </c>
    </row>
    <row r="50" spans="1:92" ht="12.95" customHeight="1" x14ac:dyDescent="0.25">
      <c r="A50" s="485" t="s">
        <v>4</v>
      </c>
      <c r="B50" s="486" t="s">
        <v>125</v>
      </c>
      <c r="C50" s="486"/>
      <c r="D50" s="487">
        <f t="shared" ref="D50" si="432">SUM(D48:D49)</f>
        <v>1842</v>
      </c>
      <c r="E50" s="487">
        <f t="shared" ref="E50" si="433">SUM(E48:E49)</f>
        <v>2073.9650000000001</v>
      </c>
      <c r="F50" s="487">
        <f t="shared" ref="F50" si="434">SUM(F48:F49)</f>
        <v>2323.3040000000001</v>
      </c>
      <c r="G50" s="487">
        <f t="shared" ref="G50" si="435">SUM(G48:G49)</f>
        <v>2268.7309999999998</v>
      </c>
      <c r="H50" s="487">
        <f t="shared" ref="H50" si="436">SUM(H48:H49)</f>
        <v>8508</v>
      </c>
      <c r="I50" s="488"/>
      <c r="J50" s="487">
        <f t="shared" ref="J50" si="437">SUM(J48:J49)</f>
        <v>2849.3136</v>
      </c>
      <c r="K50" s="487">
        <f t="shared" ref="K50" si="438">SUM(K48:K49)</f>
        <v>2965.0880000000002</v>
      </c>
      <c r="L50" s="487">
        <f t="shared" ref="L50" si="439">SUM(L48:L49)</f>
        <v>2941.08</v>
      </c>
      <c r="M50" s="487">
        <f t="shared" ref="M50" si="440">SUM(M48:M49)</f>
        <v>2689.5183999999999</v>
      </c>
      <c r="N50" s="487">
        <f t="shared" ref="N50" si="441">SUM(N48:N49)</f>
        <v>11445</v>
      </c>
      <c r="O50" s="488"/>
      <c r="P50" s="487">
        <f t="shared" ref="P50" si="442">SUM(P48:P49)</f>
        <v>2848</v>
      </c>
      <c r="Q50" s="487">
        <f t="shared" ref="Q50" si="443">SUM(Q48:Q49)</f>
        <v>2860</v>
      </c>
      <c r="R50" s="487">
        <f t="shared" ref="R50" si="444">SUM(R48:R49)</f>
        <v>2665</v>
      </c>
      <c r="S50" s="487">
        <f t="shared" ref="S50" si="445">SUM(S48:S49)</f>
        <v>2730</v>
      </c>
      <c r="T50" s="487">
        <f t="shared" ref="T50" si="446">SUM(T48:T49)</f>
        <v>11103</v>
      </c>
      <c r="U50" s="488"/>
      <c r="V50" s="487">
        <f t="shared" ref="V50" si="447">SUM(V48:V49)</f>
        <v>2055</v>
      </c>
      <c r="W50" s="487">
        <f t="shared" ref="W50" si="448">SUM(W48:W49)</f>
        <v>1539</v>
      </c>
      <c r="X50" s="487">
        <f t="shared" ref="X50" si="449">SUM(X48:X49)</f>
        <v>1690</v>
      </c>
      <c r="Y50" s="487">
        <f t="shared" ref="Y50" si="450">SUM(Y48:Y49)</f>
        <v>1859</v>
      </c>
      <c r="Z50" s="487">
        <f t="shared" ref="Z50" si="451">SUM(Z48:Z49)</f>
        <v>7339</v>
      </c>
      <c r="AA50" s="488"/>
      <c r="AB50" s="487">
        <f t="shared" ref="AB50" si="452">SUM(AB48:AB49)</f>
        <v>2464</v>
      </c>
      <c r="AC50" s="487">
        <f t="shared" ref="AC50" si="453">SUM(AC48:AC49)</f>
        <v>2401</v>
      </c>
      <c r="AD50" s="487">
        <f t="shared" ref="AD50" si="454">SUM(AD48:AD49)</f>
        <v>2292</v>
      </c>
      <c r="AE50" s="487">
        <f t="shared" ref="AE50" si="455">SUM(AE48:AE49)</f>
        <v>2163</v>
      </c>
      <c r="AF50" s="487">
        <f t="shared" ref="AF50" si="456">SUM(AF48:AF49)</f>
        <v>9320</v>
      </c>
      <c r="AG50" s="489"/>
      <c r="AH50" s="487">
        <f t="shared" ref="AH50" si="457">SUM(AH48:AH49)</f>
        <v>2425</v>
      </c>
      <c r="AI50" s="487">
        <f t="shared" ref="AI50" si="458">SUM(AI48:AI49)</f>
        <v>2525</v>
      </c>
      <c r="AJ50" s="487">
        <f t="shared" ref="AJ50" si="459">SUM(AJ48:AJ49)</f>
        <v>3025</v>
      </c>
      <c r="AK50" s="487">
        <f t="shared" ref="AK50" si="460">SUM(AK48:AK49)</f>
        <v>3372</v>
      </c>
      <c r="AL50" s="487">
        <f t="shared" ref="AL50" si="461">SUM(AL48:AL49)</f>
        <v>11347</v>
      </c>
      <c r="AM50" s="490"/>
      <c r="AN50" s="487">
        <f t="shared" ref="AN50" si="462">SUM(AN48:AN49)</f>
        <v>3874</v>
      </c>
      <c r="AO50" s="487">
        <f t="shared" ref="AO50" si="463">SUM(AO48:AO49)</f>
        <v>4225</v>
      </c>
      <c r="AP50" s="487">
        <f t="shared" ref="AP50" si="464">SUM(AP48:AP49)</f>
        <v>4020</v>
      </c>
      <c r="AQ50" s="487">
        <f t="shared" ref="AQ50" si="465">SUM(AQ48:AQ49)</f>
        <v>3771</v>
      </c>
      <c r="AR50" s="487">
        <f t="shared" ref="AR50" si="466">SUM(AR48:AR49)</f>
        <v>15890</v>
      </c>
      <c r="AS50" s="490"/>
      <c r="AT50" s="487">
        <f t="shared" ref="AT50" si="467">SUM(AT48:AT49)</f>
        <v>4037</v>
      </c>
      <c r="AU50" s="487">
        <f t="shared" ref="AU50" si="468">SUM(AU48:AU49)</f>
        <v>4271</v>
      </c>
      <c r="AV50" s="487">
        <f t="shared" ref="AV50" si="469">SUM(AV48:AV49)</f>
        <v>3760</v>
      </c>
      <c r="AW50" s="603">
        <f t="shared" ref="AW50" si="470">SUM(AW48:AW49)</f>
        <v>3771.3915876932269</v>
      </c>
      <c r="AX50" s="487">
        <f t="shared" ref="AX50" si="471">SUM(AX48:AX49)</f>
        <v>15839.39158769323</v>
      </c>
      <c r="AY50" s="490"/>
      <c r="AZ50" s="487">
        <f t="shared" ref="AZ50" si="472">SUM(AZ48:AZ49)</f>
        <v>3773.7287669378538</v>
      </c>
      <c r="BA50" s="487">
        <f t="shared" ref="BA50" si="473">SUM(BA48:BA49)</f>
        <v>4000.4081351930063</v>
      </c>
      <c r="BB50" s="487">
        <f t="shared" ref="BB50" si="474">SUM(BB48:BB49)</f>
        <v>3696.4936549037366</v>
      </c>
      <c r="BC50" s="487">
        <f t="shared" ref="BC50" si="475">SUM(BC48:BC49)</f>
        <v>3804.2112955095531</v>
      </c>
      <c r="BD50" s="487">
        <f t="shared" ref="BD50" si="476">SUM(BD48:BD49)</f>
        <v>15274.841852544148</v>
      </c>
      <c r="BE50" s="490"/>
      <c r="BF50" s="487">
        <f t="shared" ref="BF50" si="477">SUM(BF48:BF49)</f>
        <v>4058.7463430740236</v>
      </c>
      <c r="BG50" s="487">
        <f t="shared" ref="BG50" si="478">SUM(BG48:BG49)</f>
        <v>4304.3283364069503</v>
      </c>
      <c r="BH50" s="487">
        <f t="shared" ref="BH50" si="479">SUM(BH48:BH49)</f>
        <v>3995.0544532998638</v>
      </c>
      <c r="BI50" s="487">
        <f t="shared" ref="BI50" si="480">SUM(BI48:BI49)</f>
        <v>4114.9940350928664</v>
      </c>
      <c r="BJ50" s="487">
        <f t="shared" ref="BJ50" si="481">SUM(BJ48:BJ49)</f>
        <v>16473.123167873706</v>
      </c>
      <c r="BK50" s="490"/>
      <c r="BL50" s="487">
        <f t="shared" ref="BL50" si="482">SUM(BL48:BL49)</f>
        <v>4273.1101206183666</v>
      </c>
      <c r="BM50" s="487">
        <f t="shared" ref="BM50" si="483">SUM(BM48:BM49)</f>
        <v>4533.1667211075137</v>
      </c>
      <c r="BN50" s="487">
        <f t="shared" ref="BN50" si="484">SUM(BN48:BN49)</f>
        <v>4220.0905758378631</v>
      </c>
      <c r="BO50" s="487">
        <f t="shared" ref="BO50" si="485">SUM(BO48:BO49)</f>
        <v>4349.9939135927143</v>
      </c>
      <c r="BP50" s="487">
        <f t="shared" ref="BP50" si="486">SUM(BP48:BP49)</f>
        <v>17376.361331156451</v>
      </c>
      <c r="BQ50" s="490"/>
      <c r="BR50" s="487">
        <f t="shared" ref="BR50" si="487">SUM(BR48:BR49)</f>
        <v>4495.5894944958591</v>
      </c>
      <c r="BS50" s="487">
        <f t="shared" ref="BS50" si="488">SUM(BS48:BS49)</f>
        <v>4770.9585049636698</v>
      </c>
      <c r="BT50" s="487">
        <f t="shared" ref="BT50" si="489">SUM(BT48:BT49)</f>
        <v>4453.7853774215482</v>
      </c>
      <c r="BU50" s="487">
        <f t="shared" ref="BU50" si="490">SUM(BU48:BU49)</f>
        <v>4593.6345259405716</v>
      </c>
      <c r="BV50" s="487">
        <f t="shared" ref="BV50" si="491">SUM(BV48:BV49)</f>
        <v>18313.967902821649</v>
      </c>
      <c r="BW50" s="490"/>
      <c r="BX50" s="487">
        <f t="shared" ref="BX50" si="492">SUM(BX48:BX49)</f>
        <v>4727.1391922464491</v>
      </c>
      <c r="BY50" s="487">
        <f t="shared" ref="BY50" si="493">SUM(BY48:BY49)</f>
        <v>5018.5069346832006</v>
      </c>
      <c r="BZ50" s="487">
        <f t="shared" ref="BZ50" si="494">SUM(BZ48:BZ49)</f>
        <v>4697.0420958845398</v>
      </c>
      <c r="CA50" s="487">
        <f t="shared" ref="CA50" si="495">SUM(CA48:CA49)</f>
        <v>4847.3194910615475</v>
      </c>
      <c r="CB50" s="487">
        <f t="shared" ref="CB50" si="496">SUM(CB48:CB49)</f>
        <v>19290.007713875733</v>
      </c>
      <c r="CC50" s="490"/>
      <c r="CD50" s="487">
        <f t="shared" ref="CD50" si="497">SUM(CD48:CD49)</f>
        <v>4968.1470067140344</v>
      </c>
      <c r="CE50" s="487">
        <f t="shared" ref="CE50" si="498">SUM(CE48:CE49)</f>
        <v>5276.2313876727503</v>
      </c>
      <c r="CF50" s="487">
        <f t="shared" ref="CF50" si="499">SUM(CF48:CF49)</f>
        <v>4950.2707352810721</v>
      </c>
      <c r="CG50" s="487">
        <f t="shared" ref="CG50" si="500">SUM(CG48:CG49)</f>
        <v>5111.48330972439</v>
      </c>
      <c r="CH50" s="487">
        <f t="shared" ref="CH50" si="501">SUM(CH48:CH49)</f>
        <v>20306.132439392248</v>
      </c>
      <c r="CI50" s="490"/>
      <c r="CJ50" s="487">
        <f t="shared" ref="CJ50" si="502">SUM(CJ48:CJ49)</f>
        <v>5224.657793420567</v>
      </c>
      <c r="CK50" s="487">
        <f t="shared" ref="CK50" si="503">SUM(CK48:CK49)</f>
        <v>5550.2830791495498</v>
      </c>
      <c r="CL50" s="487">
        <f t="shared" ref="CL50" si="504">SUM(CL48:CL49)</f>
        <v>5219.7838661746318</v>
      </c>
      <c r="CM50" s="487">
        <f t="shared" ref="CM50" si="505">SUM(CM48:CM49)</f>
        <v>5392.4675778117726</v>
      </c>
      <c r="CN50" s="487">
        <f t="shared" ref="CN50" si="506">SUM(CN48:CN49)</f>
        <v>21387.19231655652</v>
      </c>
    </row>
    <row r="51" spans="1:92" ht="12.95" customHeight="1" x14ac:dyDescent="0.25">
      <c r="B51" s="14" t="s">
        <v>8</v>
      </c>
      <c r="D51" s="239">
        <f t="shared" ref="D51:H51" si="507">D50/D$9</f>
        <v>0.18753817959682345</v>
      </c>
      <c r="E51" s="239">
        <f t="shared" si="507"/>
        <v>0.18303459535786781</v>
      </c>
      <c r="F51" s="239">
        <f t="shared" si="507"/>
        <v>0.20356645930079734</v>
      </c>
      <c r="G51" s="239">
        <f t="shared" si="507"/>
        <v>0.17592517059553348</v>
      </c>
      <c r="H51" s="239">
        <f t="shared" si="507"/>
        <v>0.18714530816946021</v>
      </c>
      <c r="I51" s="1"/>
      <c r="J51" s="239">
        <f t="shared" ref="J51:N51" si="508">J50/J$9</f>
        <v>0.22158127381600434</v>
      </c>
      <c r="K51" s="239">
        <f t="shared" si="508"/>
        <v>0.21162572264649204</v>
      </c>
      <c r="L51" s="239">
        <f t="shared" si="508"/>
        <v>0.21769652109548482</v>
      </c>
      <c r="M51" s="239">
        <f t="shared" si="508"/>
        <v>0.1875274299260912</v>
      </c>
      <c r="N51" s="239">
        <f t="shared" si="508"/>
        <v>0.20914805745404041</v>
      </c>
      <c r="O51" s="1"/>
      <c r="P51" s="239">
        <f t="shared" ref="P51:T51" si="509">P50/P$9</f>
        <v>0.21149561859497995</v>
      </c>
      <c r="Q51" s="239">
        <f t="shared" si="509"/>
        <v>0.19817073170731708</v>
      </c>
      <c r="R51" s="239">
        <f t="shared" si="509"/>
        <v>0.20888854052359304</v>
      </c>
      <c r="S51" s="239">
        <f t="shared" si="509"/>
        <v>0.2076993304930006</v>
      </c>
      <c r="T51" s="239">
        <f t="shared" si="509"/>
        <v>0.20637546468401488</v>
      </c>
      <c r="U51" s="1"/>
      <c r="V51" s="239">
        <f t="shared" ref="V51:Z51" si="510">V50/V$9</f>
        <v>0.19322990126939352</v>
      </c>
      <c r="W51" s="239">
        <f t="shared" si="510"/>
        <v>0.15394618385515654</v>
      </c>
      <c r="X51" s="239">
        <f t="shared" si="510"/>
        <v>0.17103532031170934</v>
      </c>
      <c r="Y51" s="239">
        <f t="shared" si="510"/>
        <v>0.1654650645304851</v>
      </c>
      <c r="Z51" s="239">
        <f t="shared" si="510"/>
        <v>0.17579285235220848</v>
      </c>
      <c r="AA51" s="1"/>
      <c r="AB51" s="239">
        <f t="shared" ref="AB51:AF51" si="511">AB50/AB$9</f>
        <v>0.20728526962227645</v>
      </c>
      <c r="AC51" s="239">
        <f t="shared" si="511"/>
        <v>0.1862828768717511</v>
      </c>
      <c r="AD51" s="239">
        <f t="shared" si="511"/>
        <v>0.18488343954182462</v>
      </c>
      <c r="AE51" s="239">
        <f t="shared" si="511"/>
        <v>0.1567618495434121</v>
      </c>
      <c r="AF51" s="239">
        <f t="shared" si="511"/>
        <v>0.18284907104039552</v>
      </c>
      <c r="AG51" s="1"/>
      <c r="AH51" s="239">
        <f t="shared" ref="AH51:AL51" si="512">AH50/AH$9</f>
        <v>0.17845316064463904</v>
      </c>
      <c r="AI51" s="239">
        <f t="shared" si="512"/>
        <v>0.17723029409700289</v>
      </c>
      <c r="AJ51" s="239">
        <f t="shared" si="512"/>
        <v>0.20174736561291184</v>
      </c>
      <c r="AK51" s="239">
        <f t="shared" si="512"/>
        <v>0.20316924745435921</v>
      </c>
      <c r="AL51" s="239">
        <f t="shared" si="512"/>
        <v>0.19094014505191242</v>
      </c>
      <c r="AN51" s="239">
        <f t="shared" ref="AN51:AR51" si="513">AN50/AN$9</f>
        <v>0.24423149665868113</v>
      </c>
      <c r="AO51" s="239">
        <f t="shared" si="513"/>
        <v>0.24396581591407784</v>
      </c>
      <c r="AP51" s="239">
        <f t="shared" si="513"/>
        <v>0.23914336704342654</v>
      </c>
      <c r="AQ51" s="239">
        <f t="shared" si="513"/>
        <v>0.22091388400702988</v>
      </c>
      <c r="AR51" s="239">
        <f t="shared" si="513"/>
        <v>0.23695198329853862</v>
      </c>
      <c r="AT51" s="239">
        <f t="shared" ref="AT51:AX51" si="514">AT50/AT$9</f>
        <v>0.25552250142414079</v>
      </c>
      <c r="AU51" s="239">
        <f t="shared" si="514"/>
        <v>0.25591707112469292</v>
      </c>
      <c r="AV51" s="239">
        <f t="shared" si="514"/>
        <v>0.23345337141437975</v>
      </c>
      <c r="AW51" s="351">
        <f t="shared" si="514"/>
        <v>0.22600437985247582</v>
      </c>
      <c r="AX51" s="239">
        <f t="shared" si="514"/>
        <v>0.24263309277462103</v>
      </c>
      <c r="AZ51" s="239">
        <f t="shared" ref="AZ51:BD51" si="515">AZ50/AZ$9</f>
        <v>0.24514203649707861</v>
      </c>
      <c r="BA51" s="239">
        <f t="shared" si="515"/>
        <v>0.24321251779483508</v>
      </c>
      <c r="BB51" s="239">
        <f t="shared" si="515"/>
        <v>0.22843398730950074</v>
      </c>
      <c r="BC51" s="239">
        <f t="shared" si="515"/>
        <v>0.22438979175817084</v>
      </c>
      <c r="BD51" s="239">
        <f t="shared" si="515"/>
        <v>0.23507812823676438</v>
      </c>
      <c r="BF51" s="239">
        <f t="shared" ref="BF51:BJ51" si="516">BF50/BF$9</f>
        <v>0.25175811364931105</v>
      </c>
      <c r="BG51" s="239">
        <f t="shared" si="516"/>
        <v>0.24988296857293776</v>
      </c>
      <c r="BH51" s="239">
        <f t="shared" si="516"/>
        <v>0.23576988062367132</v>
      </c>
      <c r="BI51" s="239">
        <f t="shared" si="516"/>
        <v>0.23184343585328698</v>
      </c>
      <c r="BJ51" s="239">
        <f t="shared" si="516"/>
        <v>0.24210680251663647</v>
      </c>
      <c r="BL51" s="239">
        <f t="shared" ref="BL51:BP51" si="517">BL50/BL$9</f>
        <v>0.25464423894396726</v>
      </c>
      <c r="BM51" s="239">
        <f t="shared" si="517"/>
        <v>0.25277713600728474</v>
      </c>
      <c r="BN51" s="239">
        <f t="shared" si="517"/>
        <v>0.23924282644864955</v>
      </c>
      <c r="BO51" s="239">
        <f t="shared" si="517"/>
        <v>0.23537904867457457</v>
      </c>
      <c r="BP51" s="239">
        <f t="shared" si="517"/>
        <v>0.245309909995967</v>
      </c>
      <c r="BR51" s="239">
        <f t="shared" ref="BR51:BV51" si="518">BR50/BR$9</f>
        <v>0.25736295566922013</v>
      </c>
      <c r="BS51" s="239">
        <f t="shared" si="518"/>
        <v>0.25551591561713116</v>
      </c>
      <c r="BT51" s="239">
        <f t="shared" si="518"/>
        <v>0.24253216108279668</v>
      </c>
      <c r="BU51" s="239">
        <f t="shared" si="518"/>
        <v>0.23870345677013879</v>
      </c>
      <c r="BV51" s="239">
        <f t="shared" si="518"/>
        <v>0.24833321701470595</v>
      </c>
      <c r="BX51" s="239">
        <f t="shared" ref="BX51:CB51" si="519">BX50/BX$9</f>
        <v>0.25995544217529798</v>
      </c>
      <c r="BY51" s="239">
        <f t="shared" si="519"/>
        <v>0.25812767471309034</v>
      </c>
      <c r="BZ51" s="239">
        <f t="shared" si="519"/>
        <v>0.24567382439511237</v>
      </c>
      <c r="CA51" s="239">
        <f t="shared" si="519"/>
        <v>0.2418782085571087</v>
      </c>
      <c r="CB51" s="239">
        <f t="shared" si="519"/>
        <v>0.25121866696314366</v>
      </c>
      <c r="CD51" s="239">
        <f t="shared" ref="CD51:CH51" si="520">CD50/CD$9</f>
        <v>0.26242651979526582</v>
      </c>
      <c r="CE51" s="239">
        <f t="shared" si="520"/>
        <v>0.26061728508874371</v>
      </c>
      <c r="CF51" s="239">
        <f t="shared" si="520"/>
        <v>0.24867342100017972</v>
      </c>
      <c r="CG51" s="239">
        <f t="shared" si="520"/>
        <v>0.24490900178293698</v>
      </c>
      <c r="CH51" s="239">
        <f t="shared" si="520"/>
        <v>0.2539715168155473</v>
      </c>
      <c r="CJ51" s="239">
        <f t="shared" ref="CJ51:CN51" si="521">CJ50/CJ$9</f>
        <v>0.26506697659601902</v>
      </c>
      <c r="CK51" s="239">
        <f t="shared" si="521"/>
        <v>0.26326043647998681</v>
      </c>
      <c r="CL51" s="239">
        <f t="shared" si="521"/>
        <v>0.25182024422495819</v>
      </c>
      <c r="CM51" s="239">
        <f t="shared" si="521"/>
        <v>0.24807219078008713</v>
      </c>
      <c r="CN51" s="239">
        <f t="shared" si="521"/>
        <v>0.25687458997404361</v>
      </c>
    </row>
    <row r="52" spans="1:92" ht="12.95" customHeight="1" x14ac:dyDescent="0.25">
      <c r="B52" s="14"/>
      <c r="D52" s="74"/>
      <c r="E52" s="74"/>
      <c r="F52" s="74"/>
      <c r="G52" s="74"/>
      <c r="H52" s="1"/>
      <c r="I52" s="1"/>
      <c r="J52" s="74"/>
      <c r="K52" s="74"/>
      <c r="L52" s="74"/>
      <c r="M52" s="74"/>
      <c r="N52" s="1"/>
      <c r="O52" s="1"/>
      <c r="P52" s="74"/>
      <c r="Q52" s="74"/>
      <c r="R52" s="74"/>
      <c r="S52" s="74"/>
      <c r="T52" s="67"/>
      <c r="U52" s="1"/>
      <c r="V52" s="74"/>
      <c r="W52" s="74"/>
      <c r="X52" s="74"/>
      <c r="Y52" s="74"/>
      <c r="Z52" s="67"/>
      <c r="AA52" s="1"/>
      <c r="AB52" s="74"/>
      <c r="AC52" s="74"/>
      <c r="AD52" s="74"/>
      <c r="AE52" s="74"/>
      <c r="AF52" s="67"/>
      <c r="AG52" s="1"/>
      <c r="AH52" s="74"/>
      <c r="AI52" s="74"/>
      <c r="AJ52" s="74"/>
      <c r="AK52" s="74"/>
      <c r="AL52" s="67"/>
      <c r="AN52" s="74"/>
      <c r="AO52" s="74"/>
      <c r="AP52" s="74"/>
      <c r="AQ52" s="74"/>
      <c r="AR52" s="239"/>
      <c r="AT52" s="74"/>
      <c r="AU52" s="74"/>
      <c r="AV52" s="248"/>
      <c r="AW52" s="351"/>
      <c r="AX52" s="67"/>
      <c r="AZ52" s="67"/>
      <c r="BA52" s="67"/>
      <c r="BB52" s="67"/>
      <c r="BC52" s="67"/>
      <c r="BD52" s="67"/>
      <c r="BF52" s="67"/>
      <c r="BG52" s="67"/>
      <c r="BH52" s="67"/>
      <c r="BI52" s="67"/>
      <c r="BJ52" s="67"/>
      <c r="BL52" s="67"/>
      <c r="BM52" s="67"/>
      <c r="BN52" s="67"/>
      <c r="BO52" s="67"/>
      <c r="BP52" s="67"/>
      <c r="BR52" s="67"/>
      <c r="BS52" s="67"/>
      <c r="BT52" s="67"/>
      <c r="BU52" s="67"/>
      <c r="BV52" s="67"/>
      <c r="BX52" s="67"/>
      <c r="BY52" s="67"/>
      <c r="BZ52" s="67"/>
      <c r="CA52" s="67"/>
      <c r="CB52" s="67"/>
      <c r="CD52" s="67"/>
      <c r="CE52" s="67"/>
      <c r="CF52" s="67"/>
      <c r="CG52" s="67"/>
      <c r="CH52" s="67"/>
      <c r="CJ52" s="67"/>
      <c r="CK52" s="67"/>
      <c r="CL52" s="67"/>
      <c r="CM52" s="67"/>
      <c r="CN52" s="67"/>
    </row>
    <row r="53" spans="1:92" ht="12.95" customHeight="1" x14ac:dyDescent="0.25">
      <c r="B53" s="2" t="s">
        <v>422</v>
      </c>
      <c r="D53" s="74">
        <v>-123</v>
      </c>
      <c r="E53" s="74">
        <v>-121</v>
      </c>
      <c r="F53" s="74">
        <v>-118</v>
      </c>
      <c r="G53" s="104">
        <f>H53-SUM(D53:F53)</f>
        <v>-169</v>
      </c>
      <c r="H53" s="74">
        <v>-531</v>
      </c>
      <c r="I53" s="6"/>
      <c r="J53" s="74">
        <v>-101</v>
      </c>
      <c r="K53" s="74">
        <v>-102</v>
      </c>
      <c r="L53" s="74">
        <f>-102</f>
        <v>-102</v>
      </c>
      <c r="M53" s="104">
        <f>N53-SUM(J53:L53)</f>
        <v>-99</v>
      </c>
      <c r="N53" s="74">
        <v>-404</v>
      </c>
      <c r="O53" s="27"/>
      <c r="P53" s="74">
        <f>-103</f>
        <v>-103</v>
      </c>
      <c r="Q53" s="74">
        <v>-103</v>
      </c>
      <c r="R53" s="74">
        <v>-103</v>
      </c>
      <c r="S53" s="104">
        <f>T53-SUM(P53:R53)</f>
        <v>-112</v>
      </c>
      <c r="T53" s="74">
        <f>-421</f>
        <v>-421</v>
      </c>
      <c r="U53" s="27"/>
      <c r="V53" s="74">
        <v>-113</v>
      </c>
      <c r="W53" s="74">
        <v>-135</v>
      </c>
      <c r="X53" s="74">
        <v>-136</v>
      </c>
      <c r="Y53" s="74">
        <v>-130</v>
      </c>
      <c r="Z53" s="27">
        <f>SUM(V53:Y53)</f>
        <v>-514</v>
      </c>
      <c r="AA53" s="27"/>
      <c r="AB53" s="74">
        <v>-142</v>
      </c>
      <c r="AC53" s="74">
        <v>-120</v>
      </c>
      <c r="AD53" s="74">
        <v>-114</v>
      </c>
      <c r="AE53" s="74">
        <v>-112</v>
      </c>
      <c r="AF53" s="27">
        <f>SUM(AB53:AE53)</f>
        <v>-488</v>
      </c>
      <c r="AG53" s="27"/>
      <c r="AH53" s="74">
        <v>-109</v>
      </c>
      <c r="AI53" s="74">
        <v>-108</v>
      </c>
      <c r="AJ53" s="74">
        <v>-109</v>
      </c>
      <c r="AK53" s="74">
        <v>-117</v>
      </c>
      <c r="AL53" s="27">
        <f>SUM(AH53:AK53)</f>
        <v>-443</v>
      </c>
      <c r="AM53" s="27"/>
      <c r="AN53" s="74">
        <v>-129</v>
      </c>
      <c r="AO53" s="248">
        <v>-127</v>
      </c>
      <c r="AP53" s="74">
        <v>-129</v>
      </c>
      <c r="AQ53" s="248">
        <v>-126</v>
      </c>
      <c r="AR53" s="27">
        <f>SUM(AN53:AQ53)</f>
        <v>-511</v>
      </c>
      <c r="AS53" s="27"/>
      <c r="AT53" s="74">
        <v>-143</v>
      </c>
      <c r="AU53" s="248">
        <v>-137</v>
      </c>
      <c r="AV53" s="248">
        <v>-125</v>
      </c>
      <c r="AW53" s="158">
        <f>-AW362</f>
        <v>-125</v>
      </c>
      <c r="AX53" s="27">
        <f>SUM(AT53:AW53)</f>
        <v>-530</v>
      </c>
      <c r="AZ53" s="27">
        <f>-AZ362</f>
        <v>-124.4841473132969</v>
      </c>
      <c r="BA53" s="27">
        <f>-BA362</f>
        <v>-124.4841473132969</v>
      </c>
      <c r="BB53" s="27">
        <f>-BB362</f>
        <v>-124.4841473132969</v>
      </c>
      <c r="BC53" s="27">
        <f>-BC362</f>
        <v>-124.4841473132969</v>
      </c>
      <c r="BD53" s="27">
        <f t="shared" ref="BD53:BD54" si="522">SUM(AZ53:BC53)</f>
        <v>-497.93658925318761</v>
      </c>
      <c r="BF53" s="27">
        <f>-BF362</f>
        <v>-124.4841473132969</v>
      </c>
      <c r="BG53" s="27">
        <f>-BG362</f>
        <v>-124.4841473132969</v>
      </c>
      <c r="BH53" s="27">
        <f>-BH362</f>
        <v>-124.4841473132969</v>
      </c>
      <c r="BI53" s="27">
        <f>-BI362</f>
        <v>-124.4841473132969</v>
      </c>
      <c r="BJ53" s="27">
        <f t="shared" ref="BJ53:BJ54" si="523">SUM(BF53:BI53)</f>
        <v>-497.93658925318761</v>
      </c>
      <c r="BL53" s="27">
        <f>-BL362</f>
        <v>-124.4841473132969</v>
      </c>
      <c r="BM53" s="27">
        <f>-BM362</f>
        <v>-124.4841473132969</v>
      </c>
      <c r="BN53" s="27">
        <f>-BN362</f>
        <v>-124.4841473132969</v>
      </c>
      <c r="BO53" s="27">
        <f>-BO362</f>
        <v>-124.4841473132969</v>
      </c>
      <c r="BP53" s="27">
        <f t="shared" ref="BP53:BP54" si="524">SUM(BL53:BO53)</f>
        <v>-497.93658925318761</v>
      </c>
      <c r="BR53" s="27">
        <f>-BR362</f>
        <v>-124.4841473132969</v>
      </c>
      <c r="BS53" s="27">
        <f>-BS362</f>
        <v>-124.4841473132969</v>
      </c>
      <c r="BT53" s="27">
        <f>-BT362</f>
        <v>-124.4841473132969</v>
      </c>
      <c r="BU53" s="27">
        <f>-BU362</f>
        <v>-124.4841473132969</v>
      </c>
      <c r="BV53" s="27">
        <f t="shared" ref="BV53:BV54" si="525">SUM(BR53:BU53)</f>
        <v>-497.93658925318761</v>
      </c>
      <c r="BX53" s="27">
        <f>-BX362</f>
        <v>-124.4841473132969</v>
      </c>
      <c r="BY53" s="27">
        <f>-BY362</f>
        <v>-121.2875848132969</v>
      </c>
      <c r="BZ53" s="27">
        <f>-BZ362</f>
        <v>-121.2875848132969</v>
      </c>
      <c r="CA53" s="27">
        <f>-CA362</f>
        <v>-121.2875848132969</v>
      </c>
      <c r="CB53" s="27">
        <f t="shared" ref="CB53:CB54" si="526">SUM(BX53:CA53)</f>
        <v>-488.34690175318764</v>
      </c>
      <c r="CD53" s="27">
        <f>-CD362</f>
        <v>-121.2875848132969</v>
      </c>
      <c r="CE53" s="27">
        <f>-CE362</f>
        <v>-121.2875848132969</v>
      </c>
      <c r="CF53" s="27">
        <f>-CF362</f>
        <v>-121.2875848132969</v>
      </c>
      <c r="CG53" s="27">
        <f>-CG362</f>
        <v>-121.2875848132969</v>
      </c>
      <c r="CH53" s="27">
        <f t="shared" ref="CH53:CH54" si="527">SUM(CD53:CG53)</f>
        <v>-485.15033925318761</v>
      </c>
      <c r="CJ53" s="27">
        <f>-CJ362</f>
        <v>-118.93633481329691</v>
      </c>
      <c r="CK53" s="27">
        <f>-CK362</f>
        <v>-114.5380848132969</v>
      </c>
      <c r="CL53" s="27">
        <f>-CL362</f>
        <v>-114.5380848132969</v>
      </c>
      <c r="CM53" s="27">
        <f>-CM362</f>
        <v>-114.5380848132969</v>
      </c>
      <c r="CN53" s="27">
        <f t="shared" ref="CN53:CN54" si="528">SUM(CJ53:CM53)</f>
        <v>-462.55058925318764</v>
      </c>
    </row>
    <row r="54" spans="1:92" ht="12.95" customHeight="1" x14ac:dyDescent="0.25">
      <c r="B54" s="2" t="s">
        <v>421</v>
      </c>
      <c r="D54" s="74">
        <v>32</v>
      </c>
      <c r="E54" s="74">
        <v>96</v>
      </c>
      <c r="F54" s="74">
        <v>132</v>
      </c>
      <c r="G54" s="246">
        <f>H54-SUM(D54:F54)</f>
        <v>-107</v>
      </c>
      <c r="H54" s="255">
        <v>153</v>
      </c>
      <c r="I54" s="6"/>
      <c r="J54" s="74">
        <v>127</v>
      </c>
      <c r="K54" s="74">
        <v>121</v>
      </c>
      <c r="L54" s="74">
        <v>102</v>
      </c>
      <c r="M54" s="246">
        <f>N54-SUM(J54:L54)</f>
        <v>-417</v>
      </c>
      <c r="N54" s="255">
        <v>-67</v>
      </c>
      <c r="O54" s="27"/>
      <c r="P54" s="74">
        <v>160</v>
      </c>
      <c r="Q54" s="74">
        <v>68</v>
      </c>
      <c r="R54" s="74">
        <v>88</v>
      </c>
      <c r="S54" s="246">
        <f>T54-SUM(P54:R54)</f>
        <v>-373</v>
      </c>
      <c r="T54" s="255">
        <v>-57</v>
      </c>
      <c r="U54" s="27"/>
      <c r="V54" s="74">
        <v>222</v>
      </c>
      <c r="W54" s="74">
        <v>29</v>
      </c>
      <c r="X54" s="74">
        <v>14</v>
      </c>
      <c r="Y54" s="246">
        <f>Z54-SUM(V54:X54)</f>
        <v>-309</v>
      </c>
      <c r="Z54" s="255">
        <v>-44</v>
      </c>
      <c r="AA54" s="27"/>
      <c r="AB54" s="74">
        <v>325</v>
      </c>
      <c r="AC54" s="74">
        <v>201</v>
      </c>
      <c r="AD54" s="74">
        <v>225</v>
      </c>
      <c r="AE54" s="246">
        <f>AF54-SUM(AB54:AD54)</f>
        <v>1063</v>
      </c>
      <c r="AF54" s="255">
        <v>1814</v>
      </c>
      <c r="AG54" s="27"/>
      <c r="AH54" s="74">
        <v>253</v>
      </c>
      <c r="AI54" s="74">
        <v>260</v>
      </c>
      <c r="AJ54" s="74">
        <v>242</v>
      </c>
      <c r="AK54" s="246">
        <f>AL54-SUM(AH54:AJ54)</f>
        <v>536</v>
      </c>
      <c r="AL54" s="255">
        <v>1291</v>
      </c>
      <c r="AM54" s="27"/>
      <c r="AN54" s="74">
        <v>32</v>
      </c>
      <c r="AO54" s="248">
        <v>127</v>
      </c>
      <c r="AP54" s="74">
        <v>195</v>
      </c>
      <c r="AQ54" s="246">
        <f>AR54-SUM(AN54:AP54)</f>
        <v>241</v>
      </c>
      <c r="AR54" s="255">
        <v>595</v>
      </c>
      <c r="AS54" s="27"/>
      <c r="AT54" s="74">
        <v>156</v>
      </c>
      <c r="AU54" s="248">
        <v>155</v>
      </c>
      <c r="AV54" s="248">
        <v>76</v>
      </c>
      <c r="AW54" s="604">
        <v>100</v>
      </c>
      <c r="AX54" s="27">
        <f>SUM(AT54:AW54)</f>
        <v>487</v>
      </c>
      <c r="AZ54" s="561">
        <v>100</v>
      </c>
      <c r="BA54" s="561">
        <v>100</v>
      </c>
      <c r="BB54" s="561">
        <v>100</v>
      </c>
      <c r="BC54" s="561">
        <v>100</v>
      </c>
      <c r="BD54" s="27">
        <f t="shared" si="522"/>
        <v>400</v>
      </c>
      <c r="BF54" s="561">
        <v>100</v>
      </c>
      <c r="BG54" s="561">
        <v>100</v>
      </c>
      <c r="BH54" s="561">
        <v>100</v>
      </c>
      <c r="BI54" s="561">
        <v>100</v>
      </c>
      <c r="BJ54" s="27">
        <f t="shared" si="523"/>
        <v>400</v>
      </c>
      <c r="BL54" s="561">
        <v>100</v>
      </c>
      <c r="BM54" s="561">
        <v>100</v>
      </c>
      <c r="BN54" s="561">
        <v>100</v>
      </c>
      <c r="BO54" s="561">
        <v>100</v>
      </c>
      <c r="BP54" s="27">
        <f t="shared" si="524"/>
        <v>400</v>
      </c>
      <c r="BR54" s="561">
        <v>100</v>
      </c>
      <c r="BS54" s="561">
        <v>100</v>
      </c>
      <c r="BT54" s="561">
        <v>100</v>
      </c>
      <c r="BU54" s="561">
        <v>100</v>
      </c>
      <c r="BV54" s="27">
        <f t="shared" si="525"/>
        <v>400</v>
      </c>
      <c r="BX54" s="561">
        <v>100</v>
      </c>
      <c r="BY54" s="561">
        <v>100</v>
      </c>
      <c r="BZ54" s="561">
        <v>100</v>
      </c>
      <c r="CA54" s="561">
        <v>100</v>
      </c>
      <c r="CB54" s="27">
        <f t="shared" si="526"/>
        <v>400</v>
      </c>
      <c r="CD54" s="561">
        <v>100</v>
      </c>
      <c r="CE54" s="561">
        <v>100</v>
      </c>
      <c r="CF54" s="561">
        <v>100</v>
      </c>
      <c r="CG54" s="561">
        <v>100</v>
      </c>
      <c r="CH54" s="27">
        <f t="shared" si="527"/>
        <v>400</v>
      </c>
      <c r="CJ54" s="561">
        <v>100</v>
      </c>
      <c r="CK54" s="561">
        <v>100</v>
      </c>
      <c r="CL54" s="561">
        <v>100</v>
      </c>
      <c r="CM54" s="561">
        <v>100</v>
      </c>
      <c r="CN54" s="27">
        <f t="shared" si="528"/>
        <v>400</v>
      </c>
    </row>
    <row r="55" spans="1:92" ht="12.95" customHeight="1" x14ac:dyDescent="0.25">
      <c r="B55" s="16" t="s">
        <v>51</v>
      </c>
      <c r="C55" s="16"/>
      <c r="D55" s="45">
        <f>SUM(D53:D54)</f>
        <v>-91</v>
      </c>
      <c r="E55" s="45">
        <f t="shared" ref="E55" si="529">SUM(E53:E54)</f>
        <v>-25</v>
      </c>
      <c r="F55" s="45">
        <f t="shared" ref="F55" si="530">SUM(F53:F54)</f>
        <v>14</v>
      </c>
      <c r="G55" s="45">
        <f t="shared" ref="G55" si="531">SUM(G53:G54)</f>
        <v>-276</v>
      </c>
      <c r="H55" s="45">
        <f t="shared" ref="H55" si="532">SUM(H53:H54)</f>
        <v>-378</v>
      </c>
      <c r="I55" s="18"/>
      <c r="J55" s="45">
        <f>SUM(J53:J54)</f>
        <v>26</v>
      </c>
      <c r="K55" s="45">
        <f t="shared" ref="K55:N55" si="533">SUM(K53:K54)</f>
        <v>19</v>
      </c>
      <c r="L55" s="45">
        <f t="shared" si="533"/>
        <v>0</v>
      </c>
      <c r="M55" s="45">
        <f t="shared" si="533"/>
        <v>-516</v>
      </c>
      <c r="N55" s="45">
        <f t="shared" si="533"/>
        <v>-471</v>
      </c>
      <c r="O55" s="45"/>
      <c r="P55" s="45">
        <f t="shared" ref="P55:T55" si="534">SUM(P53:P54)</f>
        <v>57</v>
      </c>
      <c r="Q55" s="45">
        <f t="shared" si="534"/>
        <v>-35</v>
      </c>
      <c r="R55" s="45">
        <f t="shared" si="534"/>
        <v>-15</v>
      </c>
      <c r="S55" s="45">
        <f t="shared" si="534"/>
        <v>-485</v>
      </c>
      <c r="T55" s="45">
        <f t="shared" si="534"/>
        <v>-478</v>
      </c>
      <c r="U55" s="45"/>
      <c r="V55" s="45">
        <f t="shared" ref="V55:Z55" si="535">SUM(V53:V54)</f>
        <v>109</v>
      </c>
      <c r="W55" s="45">
        <f t="shared" si="535"/>
        <v>-106</v>
      </c>
      <c r="X55" s="45">
        <f t="shared" si="535"/>
        <v>-122</v>
      </c>
      <c r="Y55" s="45">
        <f t="shared" si="535"/>
        <v>-439</v>
      </c>
      <c r="Z55" s="45">
        <f t="shared" si="535"/>
        <v>-558</v>
      </c>
      <c r="AA55" s="45"/>
      <c r="AB55" s="45">
        <f t="shared" ref="AB55:AF55" si="536">SUM(AB53:AB54)</f>
        <v>183</v>
      </c>
      <c r="AC55" s="45">
        <f t="shared" si="536"/>
        <v>81</v>
      </c>
      <c r="AD55" s="45">
        <f t="shared" si="536"/>
        <v>111</v>
      </c>
      <c r="AE55" s="45">
        <f t="shared" si="536"/>
        <v>951</v>
      </c>
      <c r="AF55" s="45">
        <f t="shared" si="536"/>
        <v>1326</v>
      </c>
      <c r="AG55" s="45"/>
      <c r="AH55" s="45">
        <f t="shared" ref="AH55" si="537">SUM(AH53:AH54)</f>
        <v>144</v>
      </c>
      <c r="AI55" s="45">
        <f t="shared" ref="AI55" si="538">SUM(AI53:AI54)</f>
        <v>152</v>
      </c>
      <c r="AJ55" s="45">
        <f t="shared" ref="AJ55" si="539">SUM(AJ53:AJ54)</f>
        <v>133</v>
      </c>
      <c r="AK55" s="45">
        <f t="shared" ref="AK55" si="540">SUM(AK53:AK54)</f>
        <v>419</v>
      </c>
      <c r="AL55" s="45">
        <f t="shared" ref="AL55" si="541">SUM(AL53:AL54)</f>
        <v>848</v>
      </c>
      <c r="AM55" s="45"/>
      <c r="AN55" s="45">
        <f t="shared" ref="AN55" si="542">SUM(AN53:AN54)</f>
        <v>-97</v>
      </c>
      <c r="AO55" s="45">
        <f t="shared" ref="AO55" si="543">SUM(AO53:AO54)</f>
        <v>0</v>
      </c>
      <c r="AP55" s="45">
        <f t="shared" ref="AP55" si="544">SUM(AP53:AP54)</f>
        <v>66</v>
      </c>
      <c r="AQ55" s="45">
        <f t="shared" ref="AQ55" si="545">SUM(AQ53:AQ54)</f>
        <v>115</v>
      </c>
      <c r="AR55" s="45">
        <f t="shared" ref="AR55" si="546">SUM(AR53:AR54)</f>
        <v>84</v>
      </c>
      <c r="AS55" s="45"/>
      <c r="AT55" s="45">
        <f t="shared" ref="AT55" si="547">SUM(AT53:AT54)</f>
        <v>13</v>
      </c>
      <c r="AU55" s="45">
        <f t="shared" ref="AU55" si="548">SUM(AU53:AU54)</f>
        <v>18</v>
      </c>
      <c r="AV55" s="45">
        <f>SUM(AV53:AV54)</f>
        <v>-49</v>
      </c>
      <c r="AW55" s="352">
        <f t="shared" ref="AW55:AX55" si="549">SUM(AW53:AW54)</f>
        <v>-25</v>
      </c>
      <c r="AX55" s="45">
        <f t="shared" si="549"/>
        <v>-43</v>
      </c>
      <c r="AY55" s="16"/>
      <c r="AZ55" s="45">
        <f t="shared" ref="AZ55" si="550">SUM(AZ53:AZ54)</f>
        <v>-24.484147313296901</v>
      </c>
      <c r="BA55" s="45">
        <f t="shared" ref="BA55" si="551">SUM(BA53:BA54)</f>
        <v>-24.484147313296901</v>
      </c>
      <c r="BB55" s="45">
        <f t="shared" ref="BB55" si="552">SUM(BB53:BB54)</f>
        <v>-24.484147313296901</v>
      </c>
      <c r="BC55" s="45">
        <f t="shared" ref="BC55" si="553">SUM(BC53:BC54)</f>
        <v>-24.484147313296901</v>
      </c>
      <c r="BD55" s="45">
        <f t="shared" ref="BD55" si="554">SUM(BD53:BD54)</f>
        <v>-97.936589253187606</v>
      </c>
      <c r="BE55" s="16"/>
      <c r="BF55" s="45">
        <f t="shared" ref="BF55:BJ55" si="555">SUM(BF53:BF54)</f>
        <v>-24.484147313296901</v>
      </c>
      <c r="BG55" s="45">
        <f t="shared" si="555"/>
        <v>-24.484147313296901</v>
      </c>
      <c r="BH55" s="45">
        <f t="shared" si="555"/>
        <v>-24.484147313296901</v>
      </c>
      <c r="BI55" s="45">
        <f t="shared" si="555"/>
        <v>-24.484147313296901</v>
      </c>
      <c r="BJ55" s="45">
        <f t="shared" si="555"/>
        <v>-97.936589253187606</v>
      </c>
      <c r="BK55" s="16"/>
      <c r="BL55" s="45">
        <f t="shared" ref="BL55:BP55" si="556">SUM(BL53:BL54)</f>
        <v>-24.484147313296901</v>
      </c>
      <c r="BM55" s="45">
        <f t="shared" si="556"/>
        <v>-24.484147313296901</v>
      </c>
      <c r="BN55" s="45">
        <f t="shared" si="556"/>
        <v>-24.484147313296901</v>
      </c>
      <c r="BO55" s="45">
        <f t="shared" si="556"/>
        <v>-24.484147313296901</v>
      </c>
      <c r="BP55" s="45">
        <f t="shared" si="556"/>
        <v>-97.936589253187606</v>
      </c>
      <c r="BQ55" s="16"/>
      <c r="BR55" s="45">
        <f t="shared" ref="BR55:BV55" si="557">SUM(BR53:BR54)</f>
        <v>-24.484147313296901</v>
      </c>
      <c r="BS55" s="45">
        <f t="shared" si="557"/>
        <v>-24.484147313296901</v>
      </c>
      <c r="BT55" s="45">
        <f t="shared" si="557"/>
        <v>-24.484147313296901</v>
      </c>
      <c r="BU55" s="45">
        <f t="shared" si="557"/>
        <v>-24.484147313296901</v>
      </c>
      <c r="BV55" s="45">
        <f t="shared" si="557"/>
        <v>-97.936589253187606</v>
      </c>
      <c r="BW55" s="16"/>
      <c r="BX55" s="45">
        <f t="shared" ref="BX55:CB55" si="558">SUM(BX53:BX54)</f>
        <v>-24.484147313296901</v>
      </c>
      <c r="BY55" s="45">
        <f t="shared" si="558"/>
        <v>-21.287584813296903</v>
      </c>
      <c r="BZ55" s="45">
        <f t="shared" si="558"/>
        <v>-21.287584813296903</v>
      </c>
      <c r="CA55" s="45">
        <f t="shared" si="558"/>
        <v>-21.287584813296903</v>
      </c>
      <c r="CB55" s="45">
        <f t="shared" si="558"/>
        <v>-88.346901753187637</v>
      </c>
      <c r="CC55" s="16"/>
      <c r="CD55" s="45">
        <f t="shared" ref="CD55:CH55" si="559">SUM(CD53:CD54)</f>
        <v>-21.287584813296903</v>
      </c>
      <c r="CE55" s="45">
        <f t="shared" si="559"/>
        <v>-21.287584813296903</v>
      </c>
      <c r="CF55" s="45">
        <f t="shared" si="559"/>
        <v>-21.287584813296903</v>
      </c>
      <c r="CG55" s="45">
        <f t="shared" si="559"/>
        <v>-21.287584813296903</v>
      </c>
      <c r="CH55" s="45">
        <f t="shared" si="559"/>
        <v>-85.15033925318761</v>
      </c>
      <c r="CI55" s="16"/>
      <c r="CJ55" s="45">
        <f t="shared" ref="CJ55:CN55" si="560">SUM(CJ53:CJ54)</f>
        <v>-18.936334813296909</v>
      </c>
      <c r="CK55" s="45">
        <f t="shared" si="560"/>
        <v>-14.538084813296905</v>
      </c>
      <c r="CL55" s="45">
        <f t="shared" si="560"/>
        <v>-14.538084813296905</v>
      </c>
      <c r="CM55" s="45">
        <f t="shared" si="560"/>
        <v>-14.538084813296905</v>
      </c>
      <c r="CN55" s="45">
        <f t="shared" si="560"/>
        <v>-62.550589253187638</v>
      </c>
    </row>
    <row r="56" spans="1:92" ht="12.95" customHeight="1" x14ac:dyDescent="0.25">
      <c r="AO56" s="251"/>
      <c r="AQ56" s="251"/>
      <c r="AR56" s="251"/>
      <c r="AU56" s="251"/>
      <c r="AV56" s="251"/>
      <c r="AW56" s="220"/>
    </row>
    <row r="57" spans="1:92" ht="12.95" customHeight="1" x14ac:dyDescent="0.25">
      <c r="B57" s="17" t="s">
        <v>34</v>
      </c>
      <c r="C57" s="17"/>
      <c r="D57" s="76">
        <f>D55+D35</f>
        <v>289</v>
      </c>
      <c r="E57" s="76">
        <f>E55+E35</f>
        <v>1159</v>
      </c>
      <c r="F57" s="76">
        <f>F55+F35</f>
        <v>1523</v>
      </c>
      <c r="G57" s="76">
        <f>G55+G35</f>
        <v>1111</v>
      </c>
      <c r="H57" s="76">
        <f>H55+H35</f>
        <v>4082</v>
      </c>
      <c r="I57" s="17"/>
      <c r="J57" s="76">
        <f>J55+J35</f>
        <v>2134</v>
      </c>
      <c r="K57" s="76">
        <f>K55+K35</f>
        <v>2186</v>
      </c>
      <c r="L57" s="76">
        <f>L55+L35</f>
        <v>2135</v>
      </c>
      <c r="M57" s="76">
        <f>M55+M35</f>
        <v>1367</v>
      </c>
      <c r="N57" s="76">
        <f>N55+N35</f>
        <v>7822</v>
      </c>
      <c r="O57" s="17"/>
      <c r="P57" s="76">
        <f>P55+P35</f>
        <v>2264</v>
      </c>
      <c r="Q57" s="76">
        <f>Q55+Q35</f>
        <v>2178</v>
      </c>
      <c r="R57" s="76">
        <f>R55+R35</f>
        <v>2005</v>
      </c>
      <c r="S57" s="76">
        <f>S55+S35</f>
        <v>1365</v>
      </c>
      <c r="T57" s="76">
        <f>T55+T35</f>
        <v>7812</v>
      </c>
      <c r="U57" s="76"/>
      <c r="V57" s="76">
        <f>V55+V35</f>
        <v>1513</v>
      </c>
      <c r="W57" s="76">
        <f>W55+W35</f>
        <v>678</v>
      </c>
      <c r="X57" s="76">
        <f>X55+X35</f>
        <v>863</v>
      </c>
      <c r="Y57" s="76">
        <f>Y55+Y35</f>
        <v>941</v>
      </c>
      <c r="Z57" s="76">
        <f>Z55+Z35</f>
        <v>3995</v>
      </c>
      <c r="AA57" s="76"/>
      <c r="AB57" s="76">
        <f>AB55+AB35</f>
        <v>1997</v>
      </c>
      <c r="AC57" s="76">
        <f>AC55+AC35</f>
        <v>1870</v>
      </c>
      <c r="AD57" s="76">
        <f>AD55+AD35</f>
        <v>1775</v>
      </c>
      <c r="AE57" s="76">
        <f>AE55+AE35</f>
        <v>2562</v>
      </c>
      <c r="AF57" s="76">
        <f>AF55+AF35</f>
        <v>8204</v>
      </c>
      <c r="AG57" s="76"/>
      <c r="AH57" s="76">
        <f>AH55+AH35</f>
        <v>1999</v>
      </c>
      <c r="AI57" s="76">
        <f>AI55+AI35</f>
        <v>2096</v>
      </c>
      <c r="AJ57" s="76">
        <f>AJ55+AJ35</f>
        <v>2558</v>
      </c>
      <c r="AK57" s="76">
        <f>AK55+AK35</f>
        <v>2099</v>
      </c>
      <c r="AL57" s="76">
        <f>AL55+AL35</f>
        <v>8752</v>
      </c>
      <c r="AM57" s="76"/>
      <c r="AN57" s="76">
        <f>AN55+AN35</f>
        <v>2634</v>
      </c>
      <c r="AO57" s="254">
        <f>AO55+AO35</f>
        <v>3652</v>
      </c>
      <c r="AP57" s="76">
        <f>AP55+AP35</f>
        <v>3515</v>
      </c>
      <c r="AQ57" s="254">
        <f>AQ55+AQ35</f>
        <v>3249</v>
      </c>
      <c r="AR57" s="254">
        <f>AR55+AR35</f>
        <v>13050</v>
      </c>
      <c r="AS57" s="76"/>
      <c r="AT57" s="76">
        <f>AT55+AT35</f>
        <v>3532</v>
      </c>
      <c r="AU57" s="254">
        <f>AU55+AU35</f>
        <v>3500</v>
      </c>
      <c r="AV57" s="254">
        <f>AV55+AV35</f>
        <v>3098</v>
      </c>
      <c r="AW57" s="353">
        <f t="shared" ref="AW57:BD57" si="561">AW55+AW35</f>
        <v>3075.1915876932271</v>
      </c>
      <c r="AX57" s="76">
        <f t="shared" si="561"/>
        <v>13205.191587693231</v>
      </c>
      <c r="AZ57" s="76">
        <f t="shared" si="561"/>
        <v>3207.084619624557</v>
      </c>
      <c r="BA57" s="76">
        <f t="shared" si="561"/>
        <v>3426.4139878797091</v>
      </c>
      <c r="BB57" s="76">
        <f t="shared" si="561"/>
        <v>3109.9895075904396</v>
      </c>
      <c r="BC57" s="76">
        <f t="shared" si="561"/>
        <v>3167.5951481962561</v>
      </c>
      <c r="BD57" s="76">
        <f t="shared" si="561"/>
        <v>12911.083263290961</v>
      </c>
      <c r="BF57" s="76">
        <f t="shared" ref="BF57:BJ57" si="562">BF55+BF35</f>
        <v>3473.1949957607267</v>
      </c>
      <c r="BG57" s="76">
        <f t="shared" si="562"/>
        <v>3711.0594890936536</v>
      </c>
      <c r="BH57" s="76">
        <f t="shared" si="562"/>
        <v>3388.7419059865665</v>
      </c>
      <c r="BI57" s="76">
        <f t="shared" si="562"/>
        <v>3456.571847779569</v>
      </c>
      <c r="BJ57" s="76">
        <f t="shared" si="562"/>
        <v>14029.568238620517</v>
      </c>
      <c r="BL57" s="76">
        <f t="shared" ref="BL57:BP57" si="563">BL55+BL35</f>
        <v>3672.4015043050699</v>
      </c>
      <c r="BM57" s="76">
        <f t="shared" si="563"/>
        <v>3924.5531797942167</v>
      </c>
      <c r="BN57" s="76">
        <f t="shared" si="563"/>
        <v>3597.9740105245664</v>
      </c>
      <c r="BO57" s="76">
        <f t="shared" si="563"/>
        <v>3674.308770479417</v>
      </c>
      <c r="BP57" s="76">
        <f t="shared" si="563"/>
        <v>14869.237465103262</v>
      </c>
      <c r="BR57" s="76">
        <f t="shared" ref="BR57:BV57" si="564">BR55+BR35</f>
        <v>3883.3563888025624</v>
      </c>
      <c r="BS57" s="76">
        <f t="shared" si="564"/>
        <v>4150.6623757703728</v>
      </c>
      <c r="BT57" s="76">
        <f t="shared" si="564"/>
        <v>3819.7161637482509</v>
      </c>
      <c r="BU57" s="76">
        <f t="shared" si="564"/>
        <v>3904.925362911275</v>
      </c>
      <c r="BV57" s="76">
        <f t="shared" si="564"/>
        <v>15758.66029123246</v>
      </c>
      <c r="BX57" s="76">
        <f t="shared" ref="BX57:CB57" si="565">BX55+BX35</f>
        <v>4103.1511073855527</v>
      </c>
      <c r="BY57" s="76">
        <f t="shared" si="565"/>
        <v>4389.4911283523033</v>
      </c>
      <c r="BZ57" s="76">
        <f t="shared" si="565"/>
        <v>4053.9777433840432</v>
      </c>
      <c r="CA57" s="76">
        <f t="shared" si="565"/>
        <v>4148.5223902179305</v>
      </c>
      <c r="CB57" s="76">
        <f t="shared" si="565"/>
        <v>16695.142369339828</v>
      </c>
      <c r="CD57" s="76">
        <f t="shared" ref="CD57:CH57" si="566">CD55+CD35</f>
        <v>4335.3654056021851</v>
      </c>
      <c r="CE57" s="76">
        <f t="shared" si="566"/>
        <v>4635.0610169115007</v>
      </c>
      <c r="CF57" s="76">
        <f t="shared" si="566"/>
        <v>4294.7708474268311</v>
      </c>
      <c r="CG57" s="76">
        <f t="shared" si="566"/>
        <v>4399.1360185601661</v>
      </c>
      <c r="CH57" s="76">
        <f t="shared" si="566"/>
        <v>17664.333288500686</v>
      </c>
      <c r="CJ57" s="76">
        <f t="shared" ref="CJ57:CN57" si="567">CJ55+CJ35</f>
        <v>4581.9975619827474</v>
      </c>
      <c r="CK57" s="76">
        <f t="shared" si="567"/>
        <v>4903.4645526693412</v>
      </c>
      <c r="CL57" s="76">
        <f t="shared" si="567"/>
        <v>4558.3492322595712</v>
      </c>
      <c r="CM57" s="76">
        <f t="shared" si="567"/>
        <v>4673.0485925205303</v>
      </c>
      <c r="CN57" s="76">
        <f t="shared" si="567"/>
        <v>18716.85993943219</v>
      </c>
    </row>
    <row r="58" spans="1:92" ht="12.95" customHeight="1" x14ac:dyDescent="0.25">
      <c r="B58" s="2" t="s">
        <v>540</v>
      </c>
      <c r="D58" s="74">
        <v>90</v>
      </c>
      <c r="E58" s="74">
        <v>361</v>
      </c>
      <c r="F58" s="74">
        <v>470</v>
      </c>
      <c r="G58" s="74">
        <v>2418</v>
      </c>
      <c r="H58" s="27">
        <f>SUM(D58:G58)</f>
        <v>3339</v>
      </c>
      <c r="I58" s="6"/>
      <c r="J58" s="74">
        <v>472</v>
      </c>
      <c r="K58" s="74">
        <v>490</v>
      </c>
      <c r="L58" s="74">
        <v>415</v>
      </c>
      <c r="M58" s="74">
        <v>321</v>
      </c>
      <c r="N58" s="27">
        <f>SUM(J58:M58)</f>
        <v>1698</v>
      </c>
      <c r="O58" s="6"/>
      <c r="P58" s="74">
        <v>387</v>
      </c>
      <c r="Q58" s="74">
        <v>565</v>
      </c>
      <c r="R58" s="74">
        <v>518</v>
      </c>
      <c r="S58" s="74">
        <v>276</v>
      </c>
      <c r="T58" s="27">
        <f>SUM(P58:S58)</f>
        <v>1746</v>
      </c>
      <c r="U58" s="27"/>
      <c r="V58" s="74">
        <v>425</v>
      </c>
      <c r="W58" s="74">
        <v>227</v>
      </c>
      <c r="X58" s="74">
        <v>187</v>
      </c>
      <c r="Y58" s="74">
        <v>167</v>
      </c>
      <c r="Z58" s="27">
        <f>SUM(V58:Y58)</f>
        <v>1006</v>
      </c>
      <c r="AA58" s="27"/>
      <c r="AB58" s="74">
        <v>475</v>
      </c>
      <c r="AC58" s="74">
        <v>470</v>
      </c>
      <c r="AD58" s="74">
        <v>368</v>
      </c>
      <c r="AE58" s="74">
        <v>429</v>
      </c>
      <c r="AF58" s="27">
        <f>SUM(AB58:AE58)</f>
        <v>1742</v>
      </c>
      <c r="AG58" s="27"/>
      <c r="AH58" s="74">
        <v>469</v>
      </c>
      <c r="AI58" s="74">
        <v>427</v>
      </c>
      <c r="AJ58" s="74">
        <v>527</v>
      </c>
      <c r="AK58" s="74">
        <v>644</v>
      </c>
      <c r="AL58" s="27">
        <f>SUM(AH58:AK58)</f>
        <v>2067</v>
      </c>
      <c r="AM58" s="27"/>
      <c r="AN58" s="74">
        <v>708</v>
      </c>
      <c r="AO58" s="248">
        <v>752</v>
      </c>
      <c r="AP58" s="74">
        <v>734</v>
      </c>
      <c r="AQ58" s="248">
        <v>587</v>
      </c>
      <c r="AR58" s="27">
        <f>SUM(AN58:AQ58)</f>
        <v>2781</v>
      </c>
      <c r="AS58" s="27"/>
      <c r="AT58" s="74">
        <v>688</v>
      </c>
      <c r="AU58" s="248">
        <v>836</v>
      </c>
      <c r="AV58" s="248">
        <v>642</v>
      </c>
      <c r="AW58" s="196">
        <f t="shared" ref="AW58" si="568">AW57*AW59</f>
        <v>691.91810723097615</v>
      </c>
      <c r="AX58" s="27">
        <f>SUM(AT58:AW58)</f>
        <v>2857.9181072309761</v>
      </c>
      <c r="AZ58" s="27">
        <f>AZ57*AZ59</f>
        <v>721.59403941552534</v>
      </c>
      <c r="BA58" s="27">
        <f t="shared" ref="BA58:BC58" si="569">BA57*BA59</f>
        <v>770.94314727293454</v>
      </c>
      <c r="BB58" s="27">
        <f t="shared" si="569"/>
        <v>699.74763920784892</v>
      </c>
      <c r="BC58" s="27">
        <f t="shared" si="569"/>
        <v>712.70890834415763</v>
      </c>
      <c r="BD58" s="27">
        <f>SUM(AZ58:BC58)</f>
        <v>2904.9937342404664</v>
      </c>
      <c r="BF58" s="27">
        <f>BF57*BF59</f>
        <v>781.46887404616348</v>
      </c>
      <c r="BG58" s="27">
        <f t="shared" ref="BG58:BI58" si="570">BG57*BG59</f>
        <v>834.98838504607204</v>
      </c>
      <c r="BH58" s="27">
        <f t="shared" si="570"/>
        <v>762.46692884697745</v>
      </c>
      <c r="BI58" s="27">
        <f t="shared" si="570"/>
        <v>777.72866575040302</v>
      </c>
      <c r="BJ58" s="27">
        <f>SUM(BF58:BI58)</f>
        <v>3156.6528536896158</v>
      </c>
      <c r="BL58" s="27">
        <f>BL57*BL59</f>
        <v>826.2903384686407</v>
      </c>
      <c r="BM58" s="27">
        <f t="shared" ref="BM58:BO58" si="571">BM57*BM59</f>
        <v>883.02446545369878</v>
      </c>
      <c r="BN58" s="27">
        <f t="shared" si="571"/>
        <v>809.54415236802743</v>
      </c>
      <c r="BO58" s="27">
        <f t="shared" si="571"/>
        <v>826.71947335786888</v>
      </c>
      <c r="BP58" s="27">
        <f>SUM(BL58:BO58)</f>
        <v>3345.5784296482361</v>
      </c>
      <c r="BR58" s="27">
        <f>BR57*BR59</f>
        <v>873.75518748057652</v>
      </c>
      <c r="BS58" s="27">
        <f t="shared" ref="BS58:BU58" si="572">BS57*BS59</f>
        <v>933.89903454833393</v>
      </c>
      <c r="BT58" s="27">
        <f t="shared" si="572"/>
        <v>859.43613684335651</v>
      </c>
      <c r="BU58" s="27">
        <f t="shared" si="572"/>
        <v>878.60820665503684</v>
      </c>
      <c r="BV58" s="27">
        <f>SUM(BR58:BU58)</f>
        <v>3545.6985655273038</v>
      </c>
      <c r="BX58" s="27">
        <f>BX57*BX59</f>
        <v>923.20899916174938</v>
      </c>
      <c r="BY58" s="27">
        <f t="shared" ref="BY58:CA58" si="573">BY57*BY59</f>
        <v>987.6355038792683</v>
      </c>
      <c r="BZ58" s="27">
        <f t="shared" si="573"/>
        <v>912.1449922614097</v>
      </c>
      <c r="CA58" s="27">
        <f t="shared" si="573"/>
        <v>933.41753779903433</v>
      </c>
      <c r="CB58" s="27">
        <f>SUM(BX58:CA58)</f>
        <v>3756.4070331014618</v>
      </c>
      <c r="CD58" s="27">
        <f>CD57*CD59</f>
        <v>975.45721626049169</v>
      </c>
      <c r="CE58" s="27">
        <f t="shared" ref="CE58:CG58" si="574">CE57*CE59</f>
        <v>1042.8887288050878</v>
      </c>
      <c r="CF58" s="27">
        <f t="shared" si="574"/>
        <v>966.32344067103702</v>
      </c>
      <c r="CG58" s="27">
        <f t="shared" si="574"/>
        <v>989.80560417603738</v>
      </c>
      <c r="CH58" s="27">
        <f>SUM(CD58:CG58)</f>
        <v>3974.4749899126541</v>
      </c>
      <c r="CJ58" s="27">
        <f>CJ57*CJ59</f>
        <v>1030.9494514461182</v>
      </c>
      <c r="CK58" s="27">
        <f t="shared" ref="CK58:CM58" si="575">CK57*CK59</f>
        <v>1103.2795243506018</v>
      </c>
      <c r="CL58" s="27">
        <f t="shared" si="575"/>
        <v>1025.6285772584035</v>
      </c>
      <c r="CM58" s="27">
        <f t="shared" si="575"/>
        <v>1051.4359333171194</v>
      </c>
      <c r="CN58" s="27">
        <f>SUM(CJ58:CM58)</f>
        <v>4211.293486372243</v>
      </c>
    </row>
    <row r="59" spans="1:92" ht="12.95" customHeight="1" x14ac:dyDescent="0.25">
      <c r="B59" s="14" t="s">
        <v>541</v>
      </c>
      <c r="D59" s="9">
        <f>D58/D57</f>
        <v>0.31141868512110726</v>
      </c>
      <c r="E59" s="9">
        <f t="shared" ref="E59:H59" si="576">E58/E57</f>
        <v>0.31147540983606559</v>
      </c>
      <c r="F59" s="9">
        <f t="shared" si="576"/>
        <v>0.30860144451739985</v>
      </c>
      <c r="G59" s="9">
        <f t="shared" si="576"/>
        <v>2.1764176417641763</v>
      </c>
      <c r="H59" s="9">
        <f t="shared" si="576"/>
        <v>0.81798138167564916</v>
      </c>
      <c r="I59" s="6"/>
      <c r="J59" s="9">
        <f>J58/J57</f>
        <v>0.2211808809746954</v>
      </c>
      <c r="K59" s="9">
        <f t="shared" ref="K59:N59" si="577">K58/K57</f>
        <v>0.22415370539798718</v>
      </c>
      <c r="L59" s="9">
        <f t="shared" si="577"/>
        <v>0.19437939110070257</v>
      </c>
      <c r="M59" s="9">
        <f t="shared" si="577"/>
        <v>0.23482077542062912</v>
      </c>
      <c r="N59" s="9">
        <f t="shared" si="577"/>
        <v>0.21708003068268986</v>
      </c>
      <c r="O59" s="6"/>
      <c r="P59" s="9">
        <f>P58/P57</f>
        <v>0.17093639575971731</v>
      </c>
      <c r="Q59" s="9">
        <f t="shared" ref="Q59:T59" si="578">Q58/Q57</f>
        <v>0.2594123048668503</v>
      </c>
      <c r="R59" s="9">
        <f t="shared" si="578"/>
        <v>0.25835411471321695</v>
      </c>
      <c r="S59" s="9">
        <f t="shared" si="578"/>
        <v>0.2021978021978022</v>
      </c>
      <c r="T59" s="9">
        <f t="shared" si="578"/>
        <v>0.22350230414746544</v>
      </c>
      <c r="U59" s="6"/>
      <c r="V59" s="9">
        <f>V58/V57</f>
        <v>0.2808988764044944</v>
      </c>
      <c r="W59" s="9">
        <f t="shared" ref="W59" si="579">W58/W57</f>
        <v>0.33480825958702065</v>
      </c>
      <c r="X59" s="9">
        <f t="shared" ref="X59" si="580">X58/X57</f>
        <v>0.21668597914252608</v>
      </c>
      <c r="Y59" s="9">
        <f t="shared" ref="Y59" si="581">Y58/Y57</f>
        <v>0.17747077577045697</v>
      </c>
      <c r="Z59" s="9">
        <f t="shared" ref="Z59" si="582">Z58/Z57</f>
        <v>0.25181476846057571</v>
      </c>
      <c r="AA59" s="6"/>
      <c r="AB59" s="9">
        <f>AB58/AB57</f>
        <v>0.23785678517776665</v>
      </c>
      <c r="AC59" s="9">
        <f>AC58/AC57</f>
        <v>0.25133689839572193</v>
      </c>
      <c r="AD59" s="9">
        <f>AD58/AD57</f>
        <v>0.20732394366197182</v>
      </c>
      <c r="AE59" s="9">
        <f>AE58/AE57</f>
        <v>0.16744730679156908</v>
      </c>
      <c r="AF59" s="9">
        <f t="shared" ref="AF59" si="583">AF58/AF57</f>
        <v>0.21233544612384203</v>
      </c>
      <c r="AG59" s="8"/>
      <c r="AH59" s="9">
        <f>AH58/AH57</f>
        <v>0.23461730865432717</v>
      </c>
      <c r="AI59" s="9">
        <f>AI58/AI57</f>
        <v>0.20372137404580154</v>
      </c>
      <c r="AJ59" s="9">
        <f>AJ58/AJ57</f>
        <v>0.20602032838154807</v>
      </c>
      <c r="AK59" s="9">
        <f>AK58/AK57</f>
        <v>0.30681276798475465</v>
      </c>
      <c r="AL59" s="9">
        <f t="shared" ref="AL59" si="584">AL58/AL57</f>
        <v>0.23617458866544791</v>
      </c>
      <c r="AM59" s="8"/>
      <c r="AN59" s="9">
        <f>AN58/AN57</f>
        <v>0.26879271070615035</v>
      </c>
      <c r="AO59" s="9">
        <f>AO58/AO57</f>
        <v>0.20591456736035049</v>
      </c>
      <c r="AP59" s="9">
        <f>AP58/AP57</f>
        <v>0.20881934566145091</v>
      </c>
      <c r="AQ59" s="241">
        <f>AQ58/AQ57</f>
        <v>0.1806709756848261</v>
      </c>
      <c r="AR59" s="241">
        <f t="shared" ref="AR59" si="585">AR58/AR57</f>
        <v>0.21310344827586206</v>
      </c>
      <c r="AS59" s="8"/>
      <c r="AT59" s="9">
        <f>AT58/AT57</f>
        <v>0.19479048697621745</v>
      </c>
      <c r="AU59" s="9">
        <f>AU58/AU57</f>
        <v>0.23885714285714285</v>
      </c>
      <c r="AV59" s="241">
        <f>AV58/AV57</f>
        <v>0.20723047127178826</v>
      </c>
      <c r="AW59" s="605">
        <v>0.22500000000000001</v>
      </c>
      <c r="AX59" s="9">
        <f>AX58/AX57</f>
        <v>0.21642382757206297</v>
      </c>
      <c r="AZ59" s="571">
        <v>0.22500000000000001</v>
      </c>
      <c r="BA59" s="571">
        <v>0.22500000000000001</v>
      </c>
      <c r="BB59" s="571">
        <v>0.22500000000000001</v>
      </c>
      <c r="BC59" s="571">
        <v>0.22500000000000001</v>
      </c>
      <c r="BD59" s="9">
        <f t="shared" ref="BD59" si="586">BD58/BD57</f>
        <v>0.22500000000000003</v>
      </c>
      <c r="BF59" s="571">
        <v>0.22500000000000001</v>
      </c>
      <c r="BG59" s="571">
        <v>0.22500000000000001</v>
      </c>
      <c r="BH59" s="571">
        <v>0.22500000000000001</v>
      </c>
      <c r="BI59" s="571">
        <v>0.22500000000000001</v>
      </c>
      <c r="BJ59" s="9">
        <f t="shared" ref="BJ59" si="587">BJ58/BJ57</f>
        <v>0.22499999999999995</v>
      </c>
      <c r="BL59" s="571">
        <v>0.22500000000000001</v>
      </c>
      <c r="BM59" s="571">
        <v>0.22500000000000001</v>
      </c>
      <c r="BN59" s="571">
        <v>0.22500000000000001</v>
      </c>
      <c r="BO59" s="571">
        <v>0.22500000000000001</v>
      </c>
      <c r="BP59" s="9">
        <f t="shared" ref="BP59" si="588">BP58/BP57</f>
        <v>0.22500000000000014</v>
      </c>
      <c r="BR59" s="571">
        <v>0.22500000000000001</v>
      </c>
      <c r="BS59" s="571">
        <v>0.22500000000000001</v>
      </c>
      <c r="BT59" s="571">
        <v>0.22500000000000001</v>
      </c>
      <c r="BU59" s="571">
        <v>0.22500000000000001</v>
      </c>
      <c r="BV59" s="9">
        <f t="shared" ref="BV59" si="589">BV58/BV57</f>
        <v>0.22500000000000003</v>
      </c>
      <c r="BX59" s="571">
        <v>0.22500000000000001</v>
      </c>
      <c r="BY59" s="571">
        <v>0.22500000000000001</v>
      </c>
      <c r="BZ59" s="571">
        <v>0.22500000000000001</v>
      </c>
      <c r="CA59" s="571">
        <v>0.22500000000000001</v>
      </c>
      <c r="CB59" s="9">
        <f t="shared" ref="CB59" si="590">CB58/CB57</f>
        <v>0.22500000000000003</v>
      </c>
      <c r="CD59" s="571">
        <v>0.22500000000000001</v>
      </c>
      <c r="CE59" s="571">
        <v>0.22500000000000001</v>
      </c>
      <c r="CF59" s="571">
        <v>0.22500000000000001</v>
      </c>
      <c r="CG59" s="571">
        <v>0.22500000000000001</v>
      </c>
      <c r="CH59" s="9">
        <f t="shared" ref="CH59" si="591">CH58/CH57</f>
        <v>0.22499999999999998</v>
      </c>
      <c r="CJ59" s="571">
        <v>0.22500000000000001</v>
      </c>
      <c r="CK59" s="571">
        <v>0.22500000000000001</v>
      </c>
      <c r="CL59" s="571">
        <v>0.22500000000000001</v>
      </c>
      <c r="CM59" s="571">
        <v>0.22500000000000001</v>
      </c>
      <c r="CN59" s="9">
        <f t="shared" ref="CN59" si="592">CN58/CN57</f>
        <v>0.22500000000000001</v>
      </c>
    </row>
    <row r="60" spans="1:92" ht="12.95" customHeight="1" x14ac:dyDescent="0.25">
      <c r="A60" s="1" t="s">
        <v>4</v>
      </c>
      <c r="B60" s="19" t="s">
        <v>35</v>
      </c>
      <c r="C60" s="19"/>
      <c r="D60" s="77">
        <f>D57-D58</f>
        <v>199</v>
      </c>
      <c r="E60" s="77">
        <f t="shared" ref="E60:H60" si="593">E57-E58</f>
        <v>798</v>
      </c>
      <c r="F60" s="77">
        <f t="shared" si="593"/>
        <v>1053</v>
      </c>
      <c r="G60" s="77">
        <f t="shared" si="593"/>
        <v>-1307</v>
      </c>
      <c r="H60" s="77">
        <f t="shared" si="593"/>
        <v>743</v>
      </c>
      <c r="I60" s="20"/>
      <c r="J60" s="77">
        <f>J57-J58</f>
        <v>1662</v>
      </c>
      <c r="K60" s="77">
        <f t="shared" ref="K60:N60" si="594">K57-K58</f>
        <v>1696</v>
      </c>
      <c r="L60" s="77">
        <f t="shared" si="594"/>
        <v>1720</v>
      </c>
      <c r="M60" s="77">
        <f t="shared" si="594"/>
        <v>1046</v>
      </c>
      <c r="N60" s="77">
        <f t="shared" si="594"/>
        <v>6124</v>
      </c>
      <c r="O60" s="20"/>
      <c r="P60" s="77">
        <f>P57-P58</f>
        <v>1877</v>
      </c>
      <c r="Q60" s="77">
        <f t="shared" ref="Q60:T60" si="595">Q57-Q58</f>
        <v>1613</v>
      </c>
      <c r="R60" s="77">
        <f t="shared" si="595"/>
        <v>1487</v>
      </c>
      <c r="S60" s="77">
        <f t="shared" si="595"/>
        <v>1089</v>
      </c>
      <c r="T60" s="77">
        <f t="shared" si="595"/>
        <v>6066</v>
      </c>
      <c r="U60" s="77"/>
      <c r="V60" s="77">
        <f>V57-V58</f>
        <v>1088</v>
      </c>
      <c r="W60" s="77">
        <f t="shared" ref="W60:Z60" si="596">W57-W58</f>
        <v>451</v>
      </c>
      <c r="X60" s="77">
        <f t="shared" si="596"/>
        <v>676</v>
      </c>
      <c r="Y60" s="77">
        <f t="shared" si="596"/>
        <v>774</v>
      </c>
      <c r="Z60" s="77">
        <f t="shared" si="596"/>
        <v>2989</v>
      </c>
      <c r="AA60" s="77"/>
      <c r="AB60" s="77">
        <f>AB57-AB58</f>
        <v>1522</v>
      </c>
      <c r="AC60" s="77">
        <f t="shared" ref="AC60:AF60" si="597">AC57-AC58</f>
        <v>1400</v>
      </c>
      <c r="AD60" s="77">
        <f t="shared" si="597"/>
        <v>1407</v>
      </c>
      <c r="AE60" s="77">
        <f t="shared" si="597"/>
        <v>2133</v>
      </c>
      <c r="AF60" s="77">
        <f t="shared" si="597"/>
        <v>6462</v>
      </c>
      <c r="AG60" s="77"/>
      <c r="AH60" s="77">
        <f>AH57-AH58</f>
        <v>1530</v>
      </c>
      <c r="AI60" s="77">
        <f t="shared" ref="AI60:AL60" si="598">AI57-AI58</f>
        <v>1669</v>
      </c>
      <c r="AJ60" s="77">
        <f t="shared" si="598"/>
        <v>2031</v>
      </c>
      <c r="AK60" s="77">
        <f t="shared" si="598"/>
        <v>1455</v>
      </c>
      <c r="AL60" s="77">
        <f t="shared" si="598"/>
        <v>6685</v>
      </c>
      <c r="AM60" s="77"/>
      <c r="AN60" s="77">
        <f>AN57-AN58</f>
        <v>1926</v>
      </c>
      <c r="AO60" s="77">
        <f t="shared" ref="AO60:AR60" si="599">AO57-AO58</f>
        <v>2900</v>
      </c>
      <c r="AP60" s="77">
        <f t="shared" si="599"/>
        <v>2781</v>
      </c>
      <c r="AQ60" s="77">
        <f t="shared" si="599"/>
        <v>2662</v>
      </c>
      <c r="AR60" s="77">
        <f t="shared" si="599"/>
        <v>10269</v>
      </c>
      <c r="AS60" s="77"/>
      <c r="AT60" s="77">
        <f>AT57-AT58</f>
        <v>2844</v>
      </c>
      <c r="AU60" s="77">
        <f t="shared" ref="AU60:AX60" si="600">AU57-AU58</f>
        <v>2664</v>
      </c>
      <c r="AV60" s="77">
        <f t="shared" si="600"/>
        <v>2456</v>
      </c>
      <c r="AW60" s="354">
        <f t="shared" si="600"/>
        <v>2383.273480462251</v>
      </c>
      <c r="AX60" s="77">
        <f t="shared" si="600"/>
        <v>10347.273480462254</v>
      </c>
      <c r="AY60" s="16"/>
      <c r="AZ60" s="77">
        <f>AZ57-AZ58</f>
        <v>2485.4905802090316</v>
      </c>
      <c r="BA60" s="77">
        <f t="shared" ref="BA60:BD60" si="601">BA57-BA58</f>
        <v>2655.4708406067748</v>
      </c>
      <c r="BB60" s="77">
        <f t="shared" si="601"/>
        <v>2410.2418683825908</v>
      </c>
      <c r="BC60" s="77">
        <f t="shared" si="601"/>
        <v>2454.8862398520987</v>
      </c>
      <c r="BD60" s="77">
        <f t="shared" si="601"/>
        <v>10006.089529050494</v>
      </c>
      <c r="BE60" s="16"/>
      <c r="BF60" s="77">
        <f>BF57-BF58</f>
        <v>2691.7261217145633</v>
      </c>
      <c r="BG60" s="77">
        <f t="shared" ref="BG60:BJ60" si="602">BG57-BG58</f>
        <v>2876.0711040475817</v>
      </c>
      <c r="BH60" s="77">
        <f t="shared" si="602"/>
        <v>2626.2749771395893</v>
      </c>
      <c r="BI60" s="77">
        <f t="shared" si="602"/>
        <v>2678.8431820291662</v>
      </c>
      <c r="BJ60" s="77">
        <f t="shared" si="602"/>
        <v>10872.9153849309</v>
      </c>
      <c r="BK60" s="16"/>
      <c r="BL60" s="77">
        <f>BL57-BL58</f>
        <v>2846.1111658364293</v>
      </c>
      <c r="BM60" s="77">
        <f t="shared" ref="BM60:BP60" si="603">BM57-BM58</f>
        <v>3041.528714340518</v>
      </c>
      <c r="BN60" s="77">
        <f t="shared" si="603"/>
        <v>2788.429858156539</v>
      </c>
      <c r="BO60" s="77">
        <f t="shared" si="603"/>
        <v>2847.589297121548</v>
      </c>
      <c r="BP60" s="77">
        <f t="shared" si="603"/>
        <v>11523.659035455026</v>
      </c>
      <c r="BQ60" s="16"/>
      <c r="BR60" s="77">
        <f>BR57-BR58</f>
        <v>3009.6012013219861</v>
      </c>
      <c r="BS60" s="77">
        <f t="shared" ref="BS60:BV60" si="604">BS57-BS58</f>
        <v>3216.7633412220389</v>
      </c>
      <c r="BT60" s="77">
        <f t="shared" si="604"/>
        <v>2960.2800269048944</v>
      </c>
      <c r="BU60" s="77">
        <f t="shared" si="604"/>
        <v>3026.3171562562384</v>
      </c>
      <c r="BV60" s="77">
        <f t="shared" si="604"/>
        <v>12212.961725705156</v>
      </c>
      <c r="BW60" s="16"/>
      <c r="BX60" s="77">
        <f>BX57-BX58</f>
        <v>3179.9421082238032</v>
      </c>
      <c r="BY60" s="77">
        <f t="shared" ref="BY60:CB60" si="605">BY57-BY58</f>
        <v>3401.8556244730353</v>
      </c>
      <c r="BZ60" s="77">
        <f t="shared" si="605"/>
        <v>3141.8327511226335</v>
      </c>
      <c r="CA60" s="77">
        <f t="shared" si="605"/>
        <v>3215.1048524188964</v>
      </c>
      <c r="CB60" s="77">
        <f t="shared" si="605"/>
        <v>12938.735336238366</v>
      </c>
      <c r="CC60" s="16"/>
      <c r="CD60" s="77">
        <f>CD57-CD58</f>
        <v>3359.9081893416933</v>
      </c>
      <c r="CE60" s="77">
        <f t="shared" ref="CE60:CH60" si="606">CE57-CE58</f>
        <v>3592.1722881064129</v>
      </c>
      <c r="CF60" s="77">
        <f t="shared" si="606"/>
        <v>3328.447406755794</v>
      </c>
      <c r="CG60" s="77">
        <f t="shared" si="606"/>
        <v>3409.3304143841287</v>
      </c>
      <c r="CH60" s="77">
        <f t="shared" si="606"/>
        <v>13689.858298588031</v>
      </c>
      <c r="CI60" s="16"/>
      <c r="CJ60" s="77">
        <f>CJ57-CJ58</f>
        <v>3551.0481105366289</v>
      </c>
      <c r="CK60" s="77">
        <f t="shared" ref="CK60:CN60" si="607">CK57-CK58</f>
        <v>3800.1850283187396</v>
      </c>
      <c r="CL60" s="77">
        <f t="shared" si="607"/>
        <v>3532.7206550011679</v>
      </c>
      <c r="CM60" s="77">
        <f t="shared" si="607"/>
        <v>3621.6126592034107</v>
      </c>
      <c r="CN60" s="77">
        <f t="shared" si="607"/>
        <v>14505.566453059946</v>
      </c>
    </row>
    <row r="61" spans="1:92" ht="12.95" customHeight="1" x14ac:dyDescent="0.25">
      <c r="B61" s="2" t="s">
        <v>118</v>
      </c>
      <c r="D61" s="74">
        <v>-5</v>
      </c>
      <c r="E61" s="74">
        <v>5</v>
      </c>
      <c r="F61" s="74">
        <v>8</v>
      </c>
      <c r="G61" s="74">
        <v>8</v>
      </c>
      <c r="H61" s="27">
        <f>SUM(D61:G61)</f>
        <v>16</v>
      </c>
      <c r="I61" s="6"/>
      <c r="J61" s="74">
        <v>5</v>
      </c>
      <c r="K61" s="74">
        <v>9</v>
      </c>
      <c r="L61" s="74">
        <v>7</v>
      </c>
      <c r="M61" s="104">
        <f>N61-SUM(J61:L61)</f>
        <v>3</v>
      </c>
      <c r="N61" s="74">
        <v>24</v>
      </c>
      <c r="O61" s="6"/>
      <c r="P61" s="74">
        <v>7</v>
      </c>
      <c r="Q61" s="74">
        <v>6</v>
      </c>
      <c r="R61" s="74">
        <v>7</v>
      </c>
      <c r="S61" s="74">
        <v>8</v>
      </c>
      <c r="T61" s="27">
        <f>SUM(P61:S61)</f>
        <v>28</v>
      </c>
      <c r="U61" s="27"/>
      <c r="V61" s="74">
        <v>5</v>
      </c>
      <c r="W61" s="74">
        <v>8</v>
      </c>
      <c r="X61" s="74">
        <v>-5</v>
      </c>
      <c r="Y61" s="74">
        <v>6</v>
      </c>
      <c r="Z61" s="27">
        <f>SUM(V61:Y61)</f>
        <v>14</v>
      </c>
      <c r="AA61" s="27"/>
      <c r="AB61" s="74">
        <v>9</v>
      </c>
      <c r="AC61" s="74">
        <v>14</v>
      </c>
      <c r="AD61" s="74">
        <v>21</v>
      </c>
      <c r="AE61" s="74">
        <v>-13</v>
      </c>
      <c r="AF61" s="27">
        <f>SUM(AB61:AE61)</f>
        <v>31</v>
      </c>
      <c r="AG61" s="27"/>
      <c r="AH61" s="74">
        <v>7</v>
      </c>
      <c r="AI61" s="74">
        <v>4</v>
      </c>
      <c r="AJ61" s="74">
        <v>9</v>
      </c>
      <c r="AK61" s="74">
        <v>-1</v>
      </c>
      <c r="AL61" s="27">
        <f>SUM(AH61:AK61)</f>
        <v>19</v>
      </c>
      <c r="AM61" s="27"/>
      <c r="AN61" s="74">
        <v>16</v>
      </c>
      <c r="AO61" s="248">
        <v>24</v>
      </c>
      <c r="AP61" s="74">
        <v>12</v>
      </c>
      <c r="AQ61" s="248">
        <v>11</v>
      </c>
      <c r="AR61" s="27">
        <f>SUM(AN61:AQ61)</f>
        <v>63</v>
      </c>
      <c r="AS61" s="27"/>
      <c r="AT61" s="74">
        <v>10</v>
      </c>
      <c r="AU61" s="248">
        <v>17</v>
      </c>
      <c r="AV61" s="248">
        <v>7</v>
      </c>
      <c r="AW61" s="606">
        <v>10</v>
      </c>
      <c r="AX61" s="27">
        <f>SUM(AT61:AW61)</f>
        <v>44</v>
      </c>
      <c r="AZ61" s="75">
        <v>10</v>
      </c>
      <c r="BA61" s="75">
        <v>10</v>
      </c>
      <c r="BB61" s="75">
        <v>10</v>
      </c>
      <c r="BC61" s="75">
        <v>10</v>
      </c>
      <c r="BD61" s="27">
        <f>SUM(AZ61:BC61)</f>
        <v>40</v>
      </c>
      <c r="BF61" s="75">
        <v>10</v>
      </c>
      <c r="BG61" s="75">
        <v>10</v>
      </c>
      <c r="BH61" s="75">
        <v>10</v>
      </c>
      <c r="BI61" s="75">
        <v>10</v>
      </c>
      <c r="BJ61" s="27">
        <f>SUM(BF61:BI61)</f>
        <v>40</v>
      </c>
      <c r="BL61" s="75">
        <v>10</v>
      </c>
      <c r="BM61" s="75">
        <v>10</v>
      </c>
      <c r="BN61" s="75">
        <v>10</v>
      </c>
      <c r="BO61" s="75">
        <v>10</v>
      </c>
      <c r="BP61" s="27">
        <f>SUM(BL61:BO61)</f>
        <v>40</v>
      </c>
      <c r="BR61" s="75">
        <v>10</v>
      </c>
      <c r="BS61" s="75">
        <v>10</v>
      </c>
      <c r="BT61" s="75">
        <v>10</v>
      </c>
      <c r="BU61" s="75">
        <v>10</v>
      </c>
      <c r="BV61" s="27">
        <f>SUM(BR61:BU61)</f>
        <v>40</v>
      </c>
      <c r="BX61" s="75">
        <v>10</v>
      </c>
      <c r="BY61" s="75">
        <v>10</v>
      </c>
      <c r="BZ61" s="75">
        <v>10</v>
      </c>
      <c r="CA61" s="75">
        <v>10</v>
      </c>
      <c r="CB61" s="27">
        <f>SUM(BX61:CA61)</f>
        <v>40</v>
      </c>
      <c r="CD61" s="75">
        <v>10</v>
      </c>
      <c r="CE61" s="75">
        <v>10</v>
      </c>
      <c r="CF61" s="75">
        <v>10</v>
      </c>
      <c r="CG61" s="75">
        <v>10</v>
      </c>
      <c r="CH61" s="27">
        <f>SUM(CD61:CG61)</f>
        <v>40</v>
      </c>
      <c r="CJ61" s="75">
        <v>10</v>
      </c>
      <c r="CK61" s="75">
        <v>10</v>
      </c>
      <c r="CL61" s="75">
        <v>10</v>
      </c>
      <c r="CM61" s="75">
        <v>10</v>
      </c>
      <c r="CN61" s="27">
        <f>SUM(CJ61:CM61)</f>
        <v>40</v>
      </c>
    </row>
    <row r="62" spans="1:92" ht="12.95" customHeight="1" x14ac:dyDescent="0.25">
      <c r="B62" s="2" t="s">
        <v>119</v>
      </c>
      <c r="C62" s="17"/>
      <c r="D62" s="74">
        <v>-2</v>
      </c>
      <c r="E62" s="74">
        <v>-1</v>
      </c>
      <c r="F62" s="74">
        <v>-2</v>
      </c>
      <c r="G62" s="74">
        <v>0</v>
      </c>
      <c r="H62" s="27">
        <f>SUM(D62:G62)</f>
        <v>-5</v>
      </c>
      <c r="I62" s="36"/>
      <c r="J62" s="74">
        <v>-2</v>
      </c>
      <c r="K62" s="74">
        <v>2</v>
      </c>
      <c r="L62" s="74">
        <v>0</v>
      </c>
      <c r="M62" s="74">
        <v>1</v>
      </c>
      <c r="N62" s="27">
        <v>-1</v>
      </c>
      <c r="O62" s="36"/>
      <c r="P62" s="74">
        <v>-3</v>
      </c>
      <c r="Q62" s="74">
        <v>1</v>
      </c>
      <c r="R62" s="74">
        <v>0</v>
      </c>
      <c r="S62" s="74">
        <v>1</v>
      </c>
      <c r="T62" s="27">
        <f>SUM(P62:S62)</f>
        <v>-1</v>
      </c>
      <c r="U62" s="27"/>
      <c r="V62" s="74">
        <v>-1</v>
      </c>
      <c r="W62" s="74">
        <v>-1</v>
      </c>
      <c r="X62" s="74">
        <v>-3</v>
      </c>
      <c r="Y62" s="74">
        <v>0</v>
      </c>
      <c r="Z62" s="27">
        <f>SUM(V62:Y62)</f>
        <v>-5</v>
      </c>
      <c r="AA62" s="27"/>
      <c r="AB62" s="74">
        <v>-1</v>
      </c>
      <c r="AC62" s="74">
        <v>-1</v>
      </c>
      <c r="AD62" s="75">
        <v>-2</v>
      </c>
      <c r="AE62" s="75">
        <v>0</v>
      </c>
      <c r="AF62" s="27">
        <f>SUM(AB62:AE62)</f>
        <v>-4</v>
      </c>
      <c r="AG62" s="27"/>
      <c r="AH62" s="75">
        <v>0</v>
      </c>
      <c r="AI62" s="75">
        <v>0</v>
      </c>
      <c r="AJ62" s="75">
        <v>1</v>
      </c>
      <c r="AK62" s="75">
        <v>0</v>
      </c>
      <c r="AL62" s="27">
        <f>SUM(AH62:AK62)</f>
        <v>1</v>
      </c>
      <c r="AM62" s="27"/>
      <c r="AN62" s="75">
        <v>1</v>
      </c>
      <c r="AO62" s="255">
        <v>-2</v>
      </c>
      <c r="AP62" s="75">
        <v>1</v>
      </c>
      <c r="AQ62" s="255">
        <v>3</v>
      </c>
      <c r="AR62" s="27">
        <f>SUM(AN62:AQ62)</f>
        <v>3</v>
      </c>
      <c r="AS62" s="27"/>
      <c r="AT62" s="75">
        <v>2</v>
      </c>
      <c r="AU62" s="255">
        <v>0</v>
      </c>
      <c r="AV62" s="255">
        <v>1</v>
      </c>
      <c r="AW62" s="355">
        <f t="shared" ref="AW62" si="608">AV62</f>
        <v>1</v>
      </c>
      <c r="AX62" s="27">
        <f>SUM(AT62:AW62)</f>
        <v>4</v>
      </c>
      <c r="AZ62" s="75">
        <v>1</v>
      </c>
      <c r="BA62" s="75">
        <v>1</v>
      </c>
      <c r="BB62" s="75">
        <v>1</v>
      </c>
      <c r="BC62" s="75">
        <v>1</v>
      </c>
      <c r="BD62" s="27">
        <f>SUM(AZ62:BC62)</f>
        <v>4</v>
      </c>
      <c r="BF62" s="75">
        <v>1</v>
      </c>
      <c r="BG62" s="75">
        <v>1</v>
      </c>
      <c r="BH62" s="75">
        <v>1</v>
      </c>
      <c r="BI62" s="75">
        <v>1</v>
      </c>
      <c r="BJ62" s="27">
        <f>SUM(BF62:BI62)</f>
        <v>4</v>
      </c>
      <c r="BL62" s="75">
        <v>1</v>
      </c>
      <c r="BM62" s="75">
        <v>1</v>
      </c>
      <c r="BN62" s="75">
        <v>1</v>
      </c>
      <c r="BO62" s="75">
        <v>1</v>
      </c>
      <c r="BP62" s="27">
        <f>SUM(BL62:BO62)</f>
        <v>4</v>
      </c>
      <c r="BR62" s="75">
        <v>1</v>
      </c>
      <c r="BS62" s="75">
        <v>1</v>
      </c>
      <c r="BT62" s="75">
        <v>1</v>
      </c>
      <c r="BU62" s="75">
        <v>1</v>
      </c>
      <c r="BV62" s="27">
        <f>SUM(BR62:BU62)</f>
        <v>4</v>
      </c>
      <c r="BX62" s="75">
        <v>1</v>
      </c>
      <c r="BY62" s="75">
        <v>1</v>
      </c>
      <c r="BZ62" s="75">
        <v>1</v>
      </c>
      <c r="CA62" s="75">
        <v>1</v>
      </c>
      <c r="CB62" s="27">
        <f>SUM(BX62:CA62)</f>
        <v>4</v>
      </c>
      <c r="CD62" s="75">
        <v>1</v>
      </c>
      <c r="CE62" s="75">
        <v>1</v>
      </c>
      <c r="CF62" s="75">
        <v>1</v>
      </c>
      <c r="CG62" s="75">
        <v>1</v>
      </c>
      <c r="CH62" s="27">
        <f>SUM(CD62:CG62)</f>
        <v>4</v>
      </c>
      <c r="CJ62" s="75">
        <v>1</v>
      </c>
      <c r="CK62" s="75">
        <v>1</v>
      </c>
      <c r="CL62" s="75">
        <v>1</v>
      </c>
      <c r="CM62" s="75">
        <v>1</v>
      </c>
      <c r="CN62" s="27">
        <f>SUM(CJ62:CM62)</f>
        <v>4</v>
      </c>
    </row>
    <row r="63" spans="1:92" ht="12.95" customHeight="1" x14ac:dyDescent="0.25">
      <c r="B63" s="19" t="s">
        <v>488</v>
      </c>
      <c r="C63" s="19"/>
      <c r="D63" s="77">
        <f t="shared" ref="D63:H63" si="609">SUM(D60:D62)</f>
        <v>192</v>
      </c>
      <c r="E63" s="77">
        <f t="shared" si="609"/>
        <v>802</v>
      </c>
      <c r="F63" s="77">
        <f t="shared" si="609"/>
        <v>1059</v>
      </c>
      <c r="G63" s="77">
        <f t="shared" si="609"/>
        <v>-1299</v>
      </c>
      <c r="H63" s="77">
        <f t="shared" si="609"/>
        <v>754</v>
      </c>
      <c r="I63" s="20"/>
      <c r="J63" s="77">
        <f t="shared" ref="J63:N63" si="610">SUM(J60:J62)</f>
        <v>1665</v>
      </c>
      <c r="K63" s="77">
        <f t="shared" si="610"/>
        <v>1707</v>
      </c>
      <c r="L63" s="77">
        <f t="shared" si="610"/>
        <v>1727</v>
      </c>
      <c r="M63" s="77">
        <f t="shared" si="610"/>
        <v>1050</v>
      </c>
      <c r="N63" s="77">
        <f t="shared" si="610"/>
        <v>6147</v>
      </c>
      <c r="O63" s="20"/>
      <c r="P63" s="77">
        <f t="shared" ref="P63:T63" si="611">SUM(P60:P62)</f>
        <v>1881</v>
      </c>
      <c r="Q63" s="77">
        <f t="shared" si="611"/>
        <v>1620</v>
      </c>
      <c r="R63" s="77">
        <f t="shared" si="611"/>
        <v>1494</v>
      </c>
      <c r="S63" s="77">
        <f t="shared" si="611"/>
        <v>1098</v>
      </c>
      <c r="T63" s="77">
        <f t="shared" si="611"/>
        <v>6093</v>
      </c>
      <c r="U63" s="77"/>
      <c r="V63" s="77">
        <f>SUM(V60:V62)</f>
        <v>1092</v>
      </c>
      <c r="W63" s="77">
        <f t="shared" ref="W63:Z63" si="612">SUM(W60:W62)</f>
        <v>458</v>
      </c>
      <c r="X63" s="77">
        <f t="shared" si="612"/>
        <v>668</v>
      </c>
      <c r="Y63" s="77">
        <f t="shared" si="612"/>
        <v>780</v>
      </c>
      <c r="Z63" s="77">
        <f t="shared" si="612"/>
        <v>2998</v>
      </c>
      <c r="AA63" s="77"/>
      <c r="AB63" s="77">
        <f>SUM(AB60:AB62)</f>
        <v>1530</v>
      </c>
      <c r="AC63" s="77">
        <f t="shared" ref="AC63" si="613">SUM(AC60:AC62)</f>
        <v>1413</v>
      </c>
      <c r="AD63" s="77">
        <f t="shared" ref="AD63" si="614">SUM(AD60:AD62)</f>
        <v>1426</v>
      </c>
      <c r="AE63" s="77">
        <f t="shared" ref="AE63" si="615">SUM(AE60:AE62)</f>
        <v>2120</v>
      </c>
      <c r="AF63" s="77">
        <f t="shared" ref="AF63" si="616">SUM(AF60:AF62)</f>
        <v>6489</v>
      </c>
      <c r="AG63" s="77"/>
      <c r="AH63" s="77">
        <f t="shared" ref="AH63:AL63" si="617">SUM(AH60:AH62)</f>
        <v>1537</v>
      </c>
      <c r="AI63" s="77">
        <f t="shared" si="617"/>
        <v>1673</v>
      </c>
      <c r="AJ63" s="77">
        <f t="shared" si="617"/>
        <v>2041</v>
      </c>
      <c r="AK63" s="77">
        <f t="shared" si="617"/>
        <v>1454</v>
      </c>
      <c r="AL63" s="77">
        <f t="shared" si="617"/>
        <v>6705</v>
      </c>
      <c r="AM63" s="77"/>
      <c r="AN63" s="77">
        <f t="shared" ref="AN63:AR63" si="618">SUM(AN60:AN62)</f>
        <v>1943</v>
      </c>
      <c r="AO63" s="77">
        <f t="shared" si="618"/>
        <v>2922</v>
      </c>
      <c r="AP63" s="77">
        <f t="shared" si="618"/>
        <v>2794</v>
      </c>
      <c r="AQ63" s="77">
        <f t="shared" si="618"/>
        <v>2676</v>
      </c>
      <c r="AR63" s="77">
        <f t="shared" si="618"/>
        <v>10335</v>
      </c>
      <c r="AS63" s="77"/>
      <c r="AT63" s="77">
        <f>SUM(AT60:AT62)</f>
        <v>2856</v>
      </c>
      <c r="AU63" s="77">
        <f t="shared" ref="AU63" si="619">SUM(AU60:AU62)</f>
        <v>2681</v>
      </c>
      <c r="AV63" s="77">
        <f t="shared" ref="AV63" si="620">SUM(AV60:AV62)</f>
        <v>2464</v>
      </c>
      <c r="AW63" s="354">
        <f t="shared" ref="AW63:AX63" si="621">SUM(AW60:AW62)</f>
        <v>2394.273480462251</v>
      </c>
      <c r="AX63" s="77">
        <f t="shared" si="621"/>
        <v>10395.273480462254</v>
      </c>
      <c r="AY63" s="16"/>
      <c r="AZ63" s="77">
        <f>SUM(AZ60:AZ62)</f>
        <v>2496.4905802090316</v>
      </c>
      <c r="BA63" s="77">
        <f t="shared" ref="BA63:BD63" si="622">SUM(BA60:BA62)</f>
        <v>2666.4708406067748</v>
      </c>
      <c r="BB63" s="77">
        <f t="shared" si="622"/>
        <v>2421.2418683825908</v>
      </c>
      <c r="BC63" s="77">
        <f t="shared" si="622"/>
        <v>2465.8862398520987</v>
      </c>
      <c r="BD63" s="77">
        <f t="shared" si="622"/>
        <v>10050.089529050494</v>
      </c>
      <c r="BE63" s="16"/>
      <c r="BF63" s="77">
        <f>SUM(BF60:BF62)</f>
        <v>2702.7261217145633</v>
      </c>
      <c r="BG63" s="77">
        <f t="shared" ref="BG63:BJ63" si="623">SUM(BG60:BG62)</f>
        <v>2887.0711040475817</v>
      </c>
      <c r="BH63" s="77">
        <f t="shared" si="623"/>
        <v>2637.2749771395893</v>
      </c>
      <c r="BI63" s="77">
        <f t="shared" si="623"/>
        <v>2689.8431820291662</v>
      </c>
      <c r="BJ63" s="77">
        <f t="shared" si="623"/>
        <v>10916.9153849309</v>
      </c>
      <c r="BK63" s="16"/>
      <c r="BL63" s="77">
        <f>SUM(BL60:BL62)</f>
        <v>2857.1111658364293</v>
      </c>
      <c r="BM63" s="77">
        <f t="shared" ref="BM63:BP63" si="624">SUM(BM60:BM62)</f>
        <v>3052.528714340518</v>
      </c>
      <c r="BN63" s="77">
        <f t="shared" si="624"/>
        <v>2799.429858156539</v>
      </c>
      <c r="BO63" s="77">
        <f t="shared" si="624"/>
        <v>2858.589297121548</v>
      </c>
      <c r="BP63" s="77">
        <f t="shared" si="624"/>
        <v>11567.659035455026</v>
      </c>
      <c r="BQ63" s="16"/>
      <c r="BR63" s="77">
        <f>SUM(BR60:BR62)</f>
        <v>3020.6012013219861</v>
      </c>
      <c r="BS63" s="77">
        <f t="shared" ref="BS63:BV63" si="625">SUM(BS60:BS62)</f>
        <v>3227.7633412220389</v>
      </c>
      <c r="BT63" s="77">
        <f t="shared" si="625"/>
        <v>2971.2800269048944</v>
      </c>
      <c r="BU63" s="77">
        <f t="shared" si="625"/>
        <v>3037.3171562562384</v>
      </c>
      <c r="BV63" s="77">
        <f t="shared" si="625"/>
        <v>12256.961725705156</v>
      </c>
      <c r="BW63" s="16"/>
      <c r="BX63" s="77">
        <f>SUM(BX60:BX62)</f>
        <v>3190.9421082238032</v>
      </c>
      <c r="BY63" s="77">
        <f t="shared" ref="BY63:CB63" si="626">SUM(BY60:BY62)</f>
        <v>3412.8556244730353</v>
      </c>
      <c r="BZ63" s="77">
        <f t="shared" si="626"/>
        <v>3152.8327511226335</v>
      </c>
      <c r="CA63" s="77">
        <f t="shared" si="626"/>
        <v>3226.1048524188964</v>
      </c>
      <c r="CB63" s="77">
        <f t="shared" si="626"/>
        <v>12982.735336238366</v>
      </c>
      <c r="CC63" s="16"/>
      <c r="CD63" s="77">
        <f>SUM(CD60:CD62)</f>
        <v>3370.9081893416933</v>
      </c>
      <c r="CE63" s="77">
        <f t="shared" ref="CE63:CH63" si="627">SUM(CE60:CE62)</f>
        <v>3603.1722881064129</v>
      </c>
      <c r="CF63" s="77">
        <f t="shared" si="627"/>
        <v>3339.447406755794</v>
      </c>
      <c r="CG63" s="77">
        <f t="shared" si="627"/>
        <v>3420.3304143841287</v>
      </c>
      <c r="CH63" s="77">
        <f t="shared" si="627"/>
        <v>13733.858298588031</v>
      </c>
      <c r="CI63" s="16"/>
      <c r="CJ63" s="77">
        <f>SUM(CJ60:CJ62)</f>
        <v>3562.0481105366289</v>
      </c>
      <c r="CK63" s="77">
        <f t="shared" ref="CK63:CN63" si="628">SUM(CK60:CK62)</f>
        <v>3811.1850283187396</v>
      </c>
      <c r="CL63" s="77">
        <f t="shared" si="628"/>
        <v>3543.7206550011679</v>
      </c>
      <c r="CM63" s="77">
        <f t="shared" si="628"/>
        <v>3632.6126592034107</v>
      </c>
      <c r="CN63" s="77">
        <f t="shared" si="628"/>
        <v>14549.566453059946</v>
      </c>
    </row>
    <row r="64" spans="1:92" s="10" customFormat="1" ht="12.95" customHeight="1" x14ac:dyDescent="0.25">
      <c r="A64" s="1"/>
      <c r="B64" s="10" t="s">
        <v>54</v>
      </c>
      <c r="D64" s="30">
        <f t="shared" ref="D64" si="629">D63/D80</f>
        <v>0.32680851063829786</v>
      </c>
      <c r="E64" s="30">
        <f t="shared" ref="E64" si="630">E63/E80</f>
        <v>1.3588614029142663</v>
      </c>
      <c r="F64" s="30">
        <f t="shared" ref="F64" si="631">F63/F80</f>
        <v>1.786135941980098</v>
      </c>
      <c r="G64" s="30">
        <f t="shared" ref="G64" si="632">G63/G80</f>
        <v>-2.1780684104627768</v>
      </c>
      <c r="H64" s="30">
        <f t="shared" ref="H64" si="633">H63/H80</f>
        <v>1.27418673426278</v>
      </c>
      <c r="I64" s="30"/>
      <c r="J64" s="30">
        <f t="shared" ref="J64:N64" si="634">J63/J80</f>
        <v>2.7842809364548495</v>
      </c>
      <c r="K64" s="30">
        <f t="shared" si="634"/>
        <v>2.8631331767863131</v>
      </c>
      <c r="L64" s="30">
        <f t="shared" si="634"/>
        <v>2.9172297297297298</v>
      </c>
      <c r="M64" s="30">
        <f t="shared" si="634"/>
        <v>1.8059855521155832</v>
      </c>
      <c r="N64" s="30">
        <f t="shared" si="634"/>
        <v>10.385200202736948</v>
      </c>
      <c r="O64" s="30"/>
      <c r="P64" s="30">
        <f t="shared" ref="P64:T64" si="635">P63/P80</f>
        <v>3.2861635220125787</v>
      </c>
      <c r="Q64" s="30">
        <f t="shared" si="635"/>
        <v>2.8531172948221206</v>
      </c>
      <c r="R64" s="30">
        <f t="shared" si="635"/>
        <v>2.6856012942656844</v>
      </c>
      <c r="S64" s="30">
        <f t="shared" si="635"/>
        <v>1.9952753043794296</v>
      </c>
      <c r="T64" s="30">
        <f t="shared" si="635"/>
        <v>10.847427452376715</v>
      </c>
      <c r="U64" s="30"/>
      <c r="V64" s="30">
        <f t="shared" ref="V64:Z64" si="636">V63/V80</f>
        <v>1.9970738844184346</v>
      </c>
      <c r="W64" s="30">
        <f t="shared" si="636"/>
        <v>0.83893539464766553</v>
      </c>
      <c r="X64" s="30">
        <f t="shared" si="636"/>
        <v>1.2317905218513738</v>
      </c>
      <c r="Y64" s="30">
        <f t="shared" si="636"/>
        <v>1.4325068870523416</v>
      </c>
      <c r="Z64" s="30">
        <f t="shared" si="636"/>
        <v>5.502103664551532</v>
      </c>
      <c r="AA64" s="30"/>
      <c r="AB64" s="30">
        <f t="shared" ref="AB64:AF64" si="637">AB63/AB80</f>
        <v>2.8001464128843341</v>
      </c>
      <c r="AC64" s="30">
        <f t="shared" si="637"/>
        <v>2.5789377623653951</v>
      </c>
      <c r="AD64" s="30">
        <f t="shared" si="637"/>
        <v>2.6213235294117645</v>
      </c>
      <c r="AE64" s="30">
        <f t="shared" si="637"/>
        <v>3.9354000371264153</v>
      </c>
      <c r="AF64" s="30">
        <f t="shared" si="637"/>
        <v>11.92282958199357</v>
      </c>
      <c r="AG64" s="30"/>
      <c r="AH64" s="30">
        <f t="shared" ref="AH64:AL64" si="638">AH63/AH80</f>
        <v>2.8755846585594012</v>
      </c>
      <c r="AI64" s="30">
        <f t="shared" si="638"/>
        <v>3.150659133709981</v>
      </c>
      <c r="AJ64" s="30">
        <f t="shared" si="638"/>
        <v>3.8876190476190478</v>
      </c>
      <c r="AK64" s="30">
        <f t="shared" si="638"/>
        <v>2.8102048705063782</v>
      </c>
      <c r="AL64" s="30">
        <f t="shared" si="638"/>
        <v>12.723563736420132</v>
      </c>
      <c r="AM64" s="30"/>
      <c r="AN64" s="30">
        <f t="shared" ref="AN64:AR64" si="639">AN63/AN80</f>
        <v>3.7640449438202244</v>
      </c>
      <c r="AO64" s="256">
        <f t="shared" si="639"/>
        <v>5.6970169623708324</v>
      </c>
      <c r="AP64" s="30">
        <f t="shared" si="639"/>
        <v>5.4805806198509215</v>
      </c>
      <c r="AQ64" s="256">
        <f t="shared" si="639"/>
        <v>5.3053132434575732</v>
      </c>
      <c r="AR64" s="256">
        <f t="shared" si="639"/>
        <v>20.231977683159599</v>
      </c>
      <c r="AS64" s="30"/>
      <c r="AT64" s="30">
        <f t="shared" ref="AT64:AU64" si="640">AT63/AT80</f>
        <v>5.7825470743065397</v>
      </c>
      <c r="AU64" s="256">
        <f t="shared" si="640"/>
        <v>5.5028735632183912</v>
      </c>
      <c r="AV64" s="256">
        <f>AV63/AV80</f>
        <v>5.0888062783973567</v>
      </c>
      <c r="AW64" s="356">
        <f>AW60/AW80</f>
        <v>4.9447787643875376</v>
      </c>
      <c r="AX64" s="256">
        <f t="shared" ref="AX64" si="641">AX63/AX80</f>
        <v>21.353447564785093</v>
      </c>
      <c r="AZ64" s="30">
        <f>AZ60/AZ80</f>
        <v>5.2018266683443679</v>
      </c>
      <c r="BA64" s="30">
        <f>BA60/BA80</f>
        <v>5.6064646630057648</v>
      </c>
      <c r="BB64" s="30">
        <f>BB60/BB80</f>
        <v>5.1338784974897216</v>
      </c>
      <c r="BC64" s="30">
        <f>BC60/BC80</f>
        <v>5.2757954435906429</v>
      </c>
      <c r="BD64" s="30">
        <f>BD60/BD80</f>
        <v>21.219072763387441</v>
      </c>
      <c r="BF64" s="30">
        <f>BF60/BF80</f>
        <v>5.8370563803655342</v>
      </c>
      <c r="BG64" s="30">
        <f>BG60/BG80</f>
        <v>6.2936782572525392</v>
      </c>
      <c r="BH64" s="30">
        <f>BH60/BH80</f>
        <v>5.8088435370065028</v>
      </c>
      <c r="BI64" s="30">
        <f>BI60/BI80</f>
        <v>5.9895134867618562</v>
      </c>
      <c r="BJ64" s="30">
        <f>BJ60/BJ80</f>
        <v>23.929460512336121</v>
      </c>
      <c r="BL64" s="30">
        <f>BL60/BL80</f>
        <v>6.4334242926819627</v>
      </c>
      <c r="BM64" s="30">
        <f>BM60/BM80</f>
        <v>6.9515359919408466</v>
      </c>
      <c r="BN64" s="30">
        <f>BN60/BN80</f>
        <v>6.4446703877476796</v>
      </c>
      <c r="BO64" s="30">
        <f>BO60/BO80</f>
        <v>6.6561835893550976</v>
      </c>
      <c r="BP64" s="30">
        <f>BP60/BP80</f>
        <v>26.484912586194895</v>
      </c>
      <c r="BR64" s="30">
        <f>BR60/BR80</f>
        <v>7.1157375607565569</v>
      </c>
      <c r="BS64" s="30">
        <f>BS60/BS80</f>
        <v>7.6939699348884725</v>
      </c>
      <c r="BT64" s="30">
        <f>BT60/BT80</f>
        <v>7.1758565616634469</v>
      </c>
      <c r="BU64" s="30">
        <f>BU60/BU80</f>
        <v>7.4360746986748225</v>
      </c>
      <c r="BV64" s="30">
        <f>BV60/BV80</f>
        <v>29.41907615116715</v>
      </c>
      <c r="BX64" s="30">
        <f>BX60/BX80</f>
        <v>7.9216892642864876</v>
      </c>
      <c r="BY64" s="30">
        <f>BY60/BY80</f>
        <v>8.5934379196860071</v>
      </c>
      <c r="BZ64" s="30">
        <f>BZ60/BZ80</f>
        <v>8.0495601116214104</v>
      </c>
      <c r="CA64" s="30">
        <f>CA60/CA80</f>
        <v>8.3562272356965632</v>
      </c>
      <c r="CB64" s="30">
        <f>CB60/CB80</f>
        <v>32.915545826826062</v>
      </c>
      <c r="CD64" s="30">
        <f>CD60/CD80</f>
        <v>8.8605173769559382</v>
      </c>
      <c r="CE64" s="30">
        <f>CE60/CE80</f>
        <v>9.6138784920178733</v>
      </c>
      <c r="CF64" s="30">
        <f>CF60/CF80</f>
        <v>9.076758676727005</v>
      </c>
      <c r="CG64" s="30">
        <f>CG60/CG80</f>
        <v>9.4767971244231095</v>
      </c>
      <c r="CH64" s="30">
        <f>CH60/CH80</f>
        <v>37.017125122931184</v>
      </c>
      <c r="CJ64" s="30">
        <f>CJ60/CJ80</f>
        <v>10.065012123210295</v>
      </c>
      <c r="CK64" s="30">
        <f>CK60/CK80</f>
        <v>10.987427799687948</v>
      </c>
      <c r="CL64" s="30">
        <f>CL60/CL80</f>
        <v>10.423396352821198</v>
      </c>
      <c r="CM64" s="30">
        <f>CM60/CM80</f>
        <v>10.909202066012011</v>
      </c>
      <c r="CN64" s="30">
        <f>CN60/CN80</f>
        <v>42.365075393077987</v>
      </c>
    </row>
    <row r="65" spans="1:92" s="10" customFormat="1" ht="12.95" customHeight="1" x14ac:dyDescent="0.25">
      <c r="A65" s="1"/>
      <c r="B65" s="41" t="s">
        <v>55</v>
      </c>
      <c r="C65" s="41"/>
      <c r="D65" s="42">
        <f t="shared" ref="D65:H65" si="642">D63/D81</f>
        <v>0.32366824005394468</v>
      </c>
      <c r="E65" s="42">
        <f t="shared" si="642"/>
        <v>1.3469936177359758</v>
      </c>
      <c r="F65" s="42">
        <f t="shared" si="642"/>
        <v>1.7647058823529411</v>
      </c>
      <c r="G65" s="42">
        <f t="shared" si="642"/>
        <v>-2.165</v>
      </c>
      <c r="H65" s="42">
        <f t="shared" si="642"/>
        <v>1.2626114623016704</v>
      </c>
      <c r="I65" s="42"/>
      <c r="J65" s="42">
        <f t="shared" ref="J65:N65" si="643">J63/J81</f>
        <v>2.7384868421052633</v>
      </c>
      <c r="K65" s="42">
        <f t="shared" si="643"/>
        <v>2.8252234359483612</v>
      </c>
      <c r="L65" s="42">
        <f t="shared" si="643"/>
        <v>2.8812145478812146</v>
      </c>
      <c r="M65" s="42">
        <f t="shared" si="643"/>
        <v>1.786929884275017</v>
      </c>
      <c r="N65" s="42">
        <f t="shared" si="643"/>
        <v>10.248416138712905</v>
      </c>
      <c r="O65" s="42"/>
      <c r="P65" s="42">
        <f t="shared" ref="P65:T65" si="644">P63/P81</f>
        <v>3.2498272287491363</v>
      </c>
      <c r="Q65" s="42">
        <f t="shared" si="644"/>
        <v>2.8267318094573373</v>
      </c>
      <c r="R65" s="42">
        <f t="shared" si="644"/>
        <v>2.6621525302922309</v>
      </c>
      <c r="S65" s="42">
        <f t="shared" si="644"/>
        <v>1.9744650242762092</v>
      </c>
      <c r="T65" s="42">
        <f t="shared" si="644"/>
        <v>10.740349021681649</v>
      </c>
      <c r="U65" s="42"/>
      <c r="V65" s="42">
        <f t="shared" ref="V65:Z65" si="645">V63/V81</f>
        <v>1.9814915623298857</v>
      </c>
      <c r="W65" s="42">
        <f t="shared" si="645"/>
        <v>0.83237918688548418</v>
      </c>
      <c r="X65" s="42">
        <f t="shared" si="645"/>
        <v>1.2225475841874085</v>
      </c>
      <c r="Y65" s="42">
        <f t="shared" si="645"/>
        <v>1.4194722474977253</v>
      </c>
      <c r="Z65" s="42">
        <f t="shared" si="645"/>
        <v>5.4577809332659761</v>
      </c>
      <c r="AA65" s="42"/>
      <c r="AB65" s="42">
        <f t="shared" ref="AB65:AF65" si="646">AB63/AB81</f>
        <v>2.774755168661589</v>
      </c>
      <c r="AC65" s="42">
        <f t="shared" si="646"/>
        <v>2.5593189639558052</v>
      </c>
      <c r="AD65" s="42">
        <f t="shared" si="646"/>
        <v>2.6040905770635501</v>
      </c>
      <c r="AE65" s="42">
        <f t="shared" si="646"/>
        <v>3.9071138960560265</v>
      </c>
      <c r="AF65" s="42">
        <f t="shared" si="646"/>
        <v>11.832064548479739</v>
      </c>
      <c r="AG65" s="42"/>
      <c r="AH65" s="42">
        <f t="shared" ref="AH65:AL65" si="647">AH63/AH81</f>
        <v>2.8552851569756643</v>
      </c>
      <c r="AI65" s="42">
        <f t="shared" si="647"/>
        <v>3.132372214941022</v>
      </c>
      <c r="AJ65" s="42">
        <f t="shared" si="647"/>
        <v>3.8688275992796894</v>
      </c>
      <c r="AK65" s="42">
        <f t="shared" si="647"/>
        <v>2.7913227106930316</v>
      </c>
      <c r="AL65" s="42">
        <f t="shared" si="647"/>
        <v>12.645873116910673</v>
      </c>
      <c r="AM65" s="42"/>
      <c r="AN65" s="42">
        <f t="shared" ref="AN65:AR65" si="648">AN63/AN81</f>
        <v>3.7408548324990374</v>
      </c>
      <c r="AO65" s="257">
        <f t="shared" si="648"/>
        <v>5.6737864077669906</v>
      </c>
      <c r="AP65" s="42">
        <f t="shared" si="648"/>
        <v>5.4506437768240339</v>
      </c>
      <c r="AQ65" s="257">
        <f t="shared" si="648"/>
        <v>5.27810650887574</v>
      </c>
      <c r="AR65" s="257">
        <f t="shared" si="648"/>
        <v>20.126582278481013</v>
      </c>
      <c r="AS65" s="42"/>
      <c r="AT65" s="42">
        <f t="shared" ref="AT65:AU65" si="649">AT63/AT81</f>
        <v>5.7476353391024357</v>
      </c>
      <c r="AU65" s="257">
        <f t="shared" si="649"/>
        <v>5.4770173646578142</v>
      </c>
      <c r="AV65" s="257">
        <f>AV63/AV81</f>
        <v>5.0626669406205052</v>
      </c>
      <c r="AW65" s="357">
        <f>AW60/AW81</f>
        <v>4.9192627397564985</v>
      </c>
      <c r="AX65" s="257">
        <f t="shared" ref="AX65:CN65" si="650">AX63/AX81</f>
        <v>21.241094169474817</v>
      </c>
      <c r="AZ65" s="42">
        <f t="shared" si="650"/>
        <v>5.1976531928105132</v>
      </c>
      <c r="BA65" s="42">
        <f t="shared" si="650"/>
        <v>5.6001301111849759</v>
      </c>
      <c r="BB65" s="42">
        <f t="shared" si="650"/>
        <v>5.129991246161147</v>
      </c>
      <c r="BC65" s="42">
        <f t="shared" si="650"/>
        <v>5.2711151601237187</v>
      </c>
      <c r="BD65" s="42">
        <f t="shared" si="650"/>
        <v>21.199987287493283</v>
      </c>
      <c r="BF65" s="42">
        <f t="shared" si="650"/>
        <v>5.8293076819955605</v>
      </c>
      <c r="BG65" s="42">
        <f t="shared" si="650"/>
        <v>6.2833748304665304</v>
      </c>
      <c r="BH65" s="42">
        <f t="shared" si="650"/>
        <v>5.8010961113163253</v>
      </c>
      <c r="BI65" s="42">
        <f t="shared" si="650"/>
        <v>5.9806780567870206</v>
      </c>
      <c r="BJ65" s="42">
        <f t="shared" si="650"/>
        <v>23.894825876200414</v>
      </c>
      <c r="BL65" s="42">
        <f t="shared" si="650"/>
        <v>6.4219978503085295</v>
      </c>
      <c r="BM65" s="42">
        <f t="shared" si="650"/>
        <v>6.9370397265521966</v>
      </c>
      <c r="BN65" s="42">
        <f t="shared" si="650"/>
        <v>6.4329240590338053</v>
      </c>
      <c r="BO65" s="42">
        <f t="shared" si="650"/>
        <v>6.6430757266303271</v>
      </c>
      <c r="BP65" s="42">
        <f t="shared" si="650"/>
        <v>26.434153581468543</v>
      </c>
      <c r="BR65" s="42">
        <f t="shared" si="650"/>
        <v>7.0997795306663196</v>
      </c>
      <c r="BS65" s="42">
        <f t="shared" si="650"/>
        <v>7.6743904237440477</v>
      </c>
      <c r="BT65" s="42">
        <f t="shared" si="650"/>
        <v>7.1591358772104101</v>
      </c>
      <c r="BU65" s="42">
        <f t="shared" si="650"/>
        <v>7.4175384382020839</v>
      </c>
      <c r="BV65" s="42">
        <f t="shared" si="650"/>
        <v>29.348326540852181</v>
      </c>
      <c r="BX65" s="42">
        <f t="shared" si="650"/>
        <v>7.8998924363915553</v>
      </c>
      <c r="BY65" s="42">
        <f t="shared" si="650"/>
        <v>8.5671214738675445</v>
      </c>
      <c r="BZ65" s="42">
        <f t="shared" si="650"/>
        <v>8.0263329166134962</v>
      </c>
      <c r="CA65" s="42">
        <f t="shared" si="650"/>
        <v>8.3306870776604764</v>
      </c>
      <c r="CB65" s="42">
        <f t="shared" si="650"/>
        <v>32.818756291926313</v>
      </c>
      <c r="CD65" s="42">
        <f t="shared" si="650"/>
        <v>8.8313025657366833</v>
      </c>
      <c r="CE65" s="42">
        <f t="shared" si="650"/>
        <v>9.5792250592141617</v>
      </c>
      <c r="CF65" s="42">
        <f t="shared" si="650"/>
        <v>9.0450904841706183</v>
      </c>
      <c r="CG65" s="42">
        <f t="shared" si="650"/>
        <v>9.4417611046398022</v>
      </c>
      <c r="CH65" s="42">
        <f t="shared" si="650"/>
        <v>36.886747595751089</v>
      </c>
      <c r="CJ65" s="42">
        <f t="shared" si="650"/>
        <v>10.025152603299032</v>
      </c>
      <c r="CK65" s="42">
        <f t="shared" si="650"/>
        <v>10.940154133533838</v>
      </c>
      <c r="CL65" s="42">
        <f t="shared" si="650"/>
        <v>10.379291166040908</v>
      </c>
      <c r="CM65" s="42">
        <f t="shared" si="650"/>
        <v>10.860550088971427</v>
      </c>
      <c r="CN65" s="42">
        <f t="shared" si="650"/>
        <v>42.185563401858694</v>
      </c>
    </row>
    <row r="66" spans="1:92" ht="12.95" customHeight="1" x14ac:dyDescent="0.25">
      <c r="B66" s="14" t="s">
        <v>130</v>
      </c>
      <c r="D66" s="6"/>
      <c r="E66" s="6"/>
      <c r="F66" s="6"/>
      <c r="G66" s="6"/>
      <c r="H66" s="6"/>
      <c r="I66" s="6"/>
      <c r="J66" s="6">
        <f t="shared" ref="J66" si="651">J65/D65-1</f>
        <v>7.4607833059210531</v>
      </c>
      <c r="K66" s="6">
        <f t="shared" ref="K66" si="652">K65/E65-1</f>
        <v>1.0974289697801174</v>
      </c>
      <c r="L66" s="6">
        <f t="shared" ref="L66" si="653">L65/F65-1</f>
        <v>0.63268824379935507</v>
      </c>
      <c r="M66" s="6">
        <f t="shared" ref="M66" si="654">M65/G65-1</f>
        <v>-1.8253717710277213</v>
      </c>
      <c r="N66" s="6">
        <f t="shared" ref="N66" si="655">N65/H65-1</f>
        <v>7.1168407263075313</v>
      </c>
      <c r="O66" s="6"/>
      <c r="P66" s="9">
        <f t="shared" ref="P66" si="656">P65/J65-1</f>
        <v>0.18672369674442924</v>
      </c>
      <c r="Q66" s="9">
        <f t="shared" ref="Q66" si="657">Q65/K65-1</f>
        <v>5.3389529825609294E-4</v>
      </c>
      <c r="R66" s="9">
        <f t="shared" ref="R66" si="658">R65/L65-1</f>
        <v>-7.6031136851671621E-2</v>
      </c>
      <c r="S66" s="9">
        <f t="shared" ref="S66" si="659">S65/M65-1</f>
        <v>0.10494823644257201</v>
      </c>
      <c r="T66" s="9">
        <f t="shared" ref="T66" si="660">T65/N65-1</f>
        <v>4.8000869237783128E-2</v>
      </c>
      <c r="U66" s="6"/>
      <c r="V66" s="9">
        <f t="shared" ref="V66" si="661">V65/P65-1</f>
        <v>-0.39027787545106973</v>
      </c>
      <c r="W66" s="9">
        <f t="shared" ref="W66" si="662">W65/Q65-1</f>
        <v>-0.70553301728143758</v>
      </c>
      <c r="X66" s="9">
        <f t="shared" ref="X66" si="663">X65/R65-1</f>
        <v>-0.54076726623428806</v>
      </c>
      <c r="Y66" s="9">
        <f t="shared" ref="Y66" si="664">Y65/S65-1</f>
        <v>-0.28108513949591518</v>
      </c>
      <c r="Z66" s="9">
        <f t="shared" ref="Z66" si="665">Z65/T65-1</f>
        <v>-0.49184324250093736</v>
      </c>
      <c r="AA66" s="6"/>
      <c r="AB66" s="9">
        <f t="shared" ref="AB66" si="666">AB65/V65-1</f>
        <v>0.40033660572289542</v>
      </c>
      <c r="AC66" s="9">
        <f t="shared" ref="AC66" si="667">AC65/W65-1</f>
        <v>2.0747032173305739</v>
      </c>
      <c r="AD66" s="9">
        <f t="shared" ref="AD66" si="668">AD65/X65-1</f>
        <v>1.1300525318974906</v>
      </c>
      <c r="AE66" s="9">
        <f t="shared" ref="AE66" si="669">AE65/Y65-1</f>
        <v>1.7525116485676748</v>
      </c>
      <c r="AF66" s="9">
        <f t="shared" ref="AF66" si="670">AF65/Z65-1</f>
        <v>1.1679258829099513</v>
      </c>
      <c r="AG66" s="6"/>
      <c r="AH66" s="9">
        <f t="shared" ref="AH66" si="671">AH65/AB65-1</f>
        <v>2.9022376180641185E-2</v>
      </c>
      <c r="AI66" s="9">
        <f t="shared" ref="AI66" si="672">AI65/AC65-1</f>
        <v>0.22390849247624778</v>
      </c>
      <c r="AJ66" s="9">
        <f t="shared" ref="AJ66" si="673">AJ65/AD65-1</f>
        <v>0.4856732071287222</v>
      </c>
      <c r="AK66" s="9">
        <f t="shared" ref="AK66" si="674">AK65/AE65-1</f>
        <v>-0.28557938546130235</v>
      </c>
      <c r="AL66" s="9">
        <f t="shared" ref="AL66" si="675">AL65/AF65-1</f>
        <v>6.8779929749072988E-2</v>
      </c>
      <c r="AM66" s="6"/>
      <c r="AN66" s="9">
        <f t="shared" ref="AN66" si="676">AN65/AH65-1</f>
        <v>0.31015104511010527</v>
      </c>
      <c r="AO66" s="241">
        <f t="shared" ref="AO66" si="677">AO65/AI65-1</f>
        <v>0.81133850591054979</v>
      </c>
      <c r="AP66" s="9">
        <f t="shared" ref="AP66" si="678">AP65/AJ65-1</f>
        <v>0.40886189341671675</v>
      </c>
      <c r="AQ66" s="241">
        <f t="shared" ref="AQ66" si="679">AQ65/AK65-1</f>
        <v>0.89089799207247089</v>
      </c>
      <c r="AR66" s="241">
        <f t="shared" ref="AR66" si="680">AR65/AL65-1</f>
        <v>0.59155339393424522</v>
      </c>
      <c r="AS66" s="6"/>
      <c r="AT66" s="9">
        <f t="shared" ref="AT66" si="681">AT65/AN65-1</f>
        <v>0.53644971442604472</v>
      </c>
      <c r="AU66" s="241">
        <f t="shared" ref="AU66" si="682">AU65/AO65-1</f>
        <v>-3.4680375496654925E-2</v>
      </c>
      <c r="AV66" s="241">
        <f t="shared" ref="AV66" si="683">AV65/AP65-1</f>
        <v>-7.1180002232615891E-2</v>
      </c>
      <c r="AW66" s="160">
        <f t="shared" ref="AW66:AX66" si="684">AW65/AQ65-1</f>
        <v>-6.7987216346582779E-2</v>
      </c>
      <c r="AX66" s="241">
        <f t="shared" si="684"/>
        <v>5.5375119112270665E-2</v>
      </c>
      <c r="AZ66" s="9">
        <f>AZ65/AT65-1</f>
        <v>-9.568842034049585E-2</v>
      </c>
      <c r="BA66" s="9">
        <f t="shared" ref="BA66" si="685">BA65/AU65-1</f>
        <v>2.2478063940710724E-2</v>
      </c>
      <c r="BB66" s="9">
        <f t="shared" ref="BB66" si="686">BB65/AV65-1</f>
        <v>1.3298189734833654E-2</v>
      </c>
      <c r="BC66" s="9">
        <f t="shared" ref="BC66:BD66" si="687">BC65/AW65-1</f>
        <v>7.1525437648129575E-2</v>
      </c>
      <c r="BD66" s="241">
        <f t="shared" si="687"/>
        <v>-1.9352525653131281E-3</v>
      </c>
      <c r="BF66" s="9">
        <f>BF65/AZ65-1</f>
        <v>0.12152686332723461</v>
      </c>
      <c r="BG66" s="9">
        <f t="shared" ref="BG66" si="688">BG65/BA65-1</f>
        <v>0.12200515090121389</v>
      </c>
      <c r="BH66" s="9">
        <f t="shared" ref="BH66" si="689">BH65/BB65-1</f>
        <v>0.1308198850548481</v>
      </c>
      <c r="BI66" s="9">
        <f t="shared" ref="BI66:BJ66" si="690">BI65/BC65-1</f>
        <v>0.13461343095502531</v>
      </c>
      <c r="BJ66" s="241">
        <f t="shared" si="690"/>
        <v>0.12711510399333714</v>
      </c>
      <c r="BL66" s="9">
        <f>BL65/BF65-1</f>
        <v>0.10167419540120615</v>
      </c>
      <c r="BM66" s="9">
        <f t="shared" ref="BM66" si="691">BM65/BG65-1</f>
        <v>0.10403086139572748</v>
      </c>
      <c r="BN66" s="9">
        <f t="shared" ref="BN66" si="692">BN65/BH65-1</f>
        <v>0.10891526973410404</v>
      </c>
      <c r="BO66" s="9">
        <f t="shared" ref="BO66:BP66" si="693">BO65/BI65-1</f>
        <v>0.1107562827414863</v>
      </c>
      <c r="BP66" s="241">
        <f t="shared" si="693"/>
        <v>0.10627102781265019</v>
      </c>
      <c r="BR66" s="9">
        <f>BR65/BL65-1</f>
        <v>0.10554062710021417</v>
      </c>
      <c r="BS66" s="9">
        <f t="shared" ref="BS66" si="694">BS65/BM65-1</f>
        <v>0.1062918371895103</v>
      </c>
      <c r="BT66" s="9">
        <f t="shared" ref="BT66" si="695">BT65/BN65-1</f>
        <v>0.11288984783782419</v>
      </c>
      <c r="BU66" s="9">
        <f t="shared" ref="BU66:BV66" si="696">BU65/BO65-1</f>
        <v>0.11658194839886304</v>
      </c>
      <c r="BV66" s="241">
        <f t="shared" si="696"/>
        <v>0.1102427187767645</v>
      </c>
      <c r="BX66" s="9">
        <f>BX65/BR65-1</f>
        <v>0.11269545797433289</v>
      </c>
      <c r="BY66" s="9">
        <f t="shared" ref="BY66" si="697">BY65/BS65-1</f>
        <v>0.11632598823242657</v>
      </c>
      <c r="BZ66" s="9">
        <f t="shared" ref="BZ66" si="698">BZ65/BT65-1</f>
        <v>0.12113152401026839</v>
      </c>
      <c r="CA66" s="9">
        <f t="shared" ref="CA66:CB66" si="699">CA65/BU65-1</f>
        <v>0.12310669463544133</v>
      </c>
      <c r="CB66" s="241">
        <f t="shared" si="699"/>
        <v>0.11824966395420788</v>
      </c>
      <c r="CD66" s="9">
        <f>CD65/BX65-1</f>
        <v>0.11790162167961982</v>
      </c>
      <c r="CE66" s="9">
        <f t="shared" ref="CE66" si="700">CE65/BY65-1</f>
        <v>0.11813811540245522</v>
      </c>
      <c r="CF66" s="9">
        <f t="shared" ref="CF66" si="701">CF65/BZ65-1</f>
        <v>0.12692690150547103</v>
      </c>
      <c r="CG66" s="9">
        <f t="shared" ref="CG66:CH66" si="702">CG65/CA65-1</f>
        <v>0.13337123536410056</v>
      </c>
      <c r="CH66" s="241">
        <f t="shared" si="702"/>
        <v>0.12395324392062768</v>
      </c>
      <c r="CJ66" s="9">
        <f>CJ65/CD65-1</f>
        <v>0.13518391298178356</v>
      </c>
      <c r="CK66" s="9">
        <f t="shared" ref="CK66" si="703">CK65/CE65-1</f>
        <v>0.14207089466079648</v>
      </c>
      <c r="CL66" s="9">
        <f t="shared" ref="CL66" si="704">CL65/CF65-1</f>
        <v>0.14750550966905318</v>
      </c>
      <c r="CM66" s="9">
        <f t="shared" ref="CM66:CN66" si="705">CM65/CG65-1</f>
        <v>0.15026740971389474</v>
      </c>
      <c r="CN66" s="241">
        <f t="shared" si="705"/>
        <v>0.14365093567419773</v>
      </c>
    </row>
    <row r="67" spans="1:92" ht="12.95" customHeight="1" x14ac:dyDescent="0.25">
      <c r="A67" s="1" t="s">
        <v>4</v>
      </c>
      <c r="B67" s="3" t="s">
        <v>484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258"/>
      <c r="AP67" s="7"/>
      <c r="AQ67" s="258"/>
      <c r="AR67" s="258"/>
      <c r="AS67" s="7"/>
      <c r="AT67" s="7"/>
      <c r="AU67" s="258"/>
      <c r="AV67" s="258"/>
      <c r="AW67" s="555"/>
      <c r="AX67" s="7"/>
      <c r="AZ67" s="558"/>
      <c r="BA67" s="558"/>
      <c r="BB67" s="558"/>
      <c r="BC67" s="558"/>
      <c r="BD67" s="7"/>
      <c r="BF67" s="7"/>
      <c r="BG67" s="7"/>
      <c r="BH67" s="7"/>
      <c r="BI67" s="7"/>
      <c r="BJ67" s="7"/>
      <c r="BL67" s="7"/>
      <c r="BM67" s="7"/>
      <c r="BN67" s="7"/>
      <c r="BO67" s="7"/>
      <c r="BP67" s="7"/>
      <c r="BR67" s="7"/>
      <c r="BS67" s="7"/>
      <c r="BT67" s="7"/>
      <c r="BU67" s="7"/>
      <c r="BV67" s="7"/>
      <c r="BX67" s="7"/>
      <c r="BY67" s="7"/>
      <c r="BZ67" s="7"/>
      <c r="CA67" s="7"/>
      <c r="CB67" s="7"/>
      <c r="CD67" s="7"/>
      <c r="CE67" s="7"/>
      <c r="CF67" s="7"/>
      <c r="CG67" s="7"/>
      <c r="CH67" s="7"/>
      <c r="CJ67" s="7"/>
      <c r="CK67" s="7"/>
      <c r="CL67" s="7"/>
      <c r="CM67" s="7"/>
      <c r="CN67" s="7"/>
    </row>
    <row r="68" spans="1:92" ht="12.95" customHeight="1" x14ac:dyDescent="0.25">
      <c r="B68" s="2" t="s">
        <v>482</v>
      </c>
      <c r="D68" s="481">
        <v>0</v>
      </c>
      <c r="E68" s="481">
        <v>0</v>
      </c>
      <c r="F68" s="481">
        <v>0</v>
      </c>
      <c r="G68" s="483">
        <f>H68-SUM(D68:F68)</f>
        <v>0</v>
      </c>
      <c r="H68" s="481">
        <v>0</v>
      </c>
      <c r="I68" s="6"/>
      <c r="J68" s="481">
        <v>0</v>
      </c>
      <c r="K68" s="481">
        <v>0</v>
      </c>
      <c r="L68" s="481">
        <v>0</v>
      </c>
      <c r="M68" s="483">
        <f>N68-SUM(J68:L68)</f>
        <v>0</v>
      </c>
      <c r="N68" s="481">
        <v>0</v>
      </c>
      <c r="O68" s="6"/>
      <c r="P68" s="481">
        <v>0</v>
      </c>
      <c r="Q68" s="481">
        <v>0</v>
      </c>
      <c r="R68" s="481">
        <v>0</v>
      </c>
      <c r="S68" s="483">
        <f>T68-SUM(P68:R68)</f>
        <v>0</v>
      </c>
      <c r="T68" s="481">
        <v>0</v>
      </c>
      <c r="U68" s="27"/>
      <c r="V68" s="481">
        <v>0</v>
      </c>
      <c r="W68" s="481">
        <v>0</v>
      </c>
      <c r="X68" s="481">
        <v>0</v>
      </c>
      <c r="Y68" s="483">
        <f>Z68-SUM(V68:X68)</f>
        <v>0</v>
      </c>
      <c r="Z68" s="481">
        <v>0</v>
      </c>
      <c r="AA68" s="27"/>
      <c r="AB68" s="481">
        <v>0</v>
      </c>
      <c r="AC68" s="481">
        <v>0</v>
      </c>
      <c r="AD68" s="481">
        <v>0</v>
      </c>
      <c r="AE68" s="483">
        <f>AF68-SUM(AB68:AD68)</f>
        <v>0</v>
      </c>
      <c r="AF68" s="481">
        <v>0</v>
      </c>
      <c r="AG68" s="27"/>
      <c r="AH68" s="481">
        <v>0</v>
      </c>
      <c r="AI68" s="481">
        <v>0</v>
      </c>
      <c r="AJ68" s="481">
        <v>0</v>
      </c>
      <c r="AK68" s="483">
        <f>AL68-SUM(AH68:AJ68)</f>
        <v>0</v>
      </c>
      <c r="AL68" s="481">
        <v>0</v>
      </c>
      <c r="AM68" s="27"/>
      <c r="AN68" s="480">
        <v>586</v>
      </c>
      <c r="AO68" s="481">
        <v>0</v>
      </c>
      <c r="AP68" s="481">
        <v>0</v>
      </c>
      <c r="AQ68" s="483">
        <f>AR68-SUM(AN68:AP68)</f>
        <v>0</v>
      </c>
      <c r="AR68" s="480">
        <v>586</v>
      </c>
      <c r="AS68" s="27"/>
      <c r="AT68" s="74">
        <v>-64</v>
      </c>
      <c r="AU68" s="248">
        <v>228</v>
      </c>
      <c r="AV68" s="482">
        <v>0</v>
      </c>
      <c r="AW68" s="607">
        <v>0</v>
      </c>
      <c r="AX68" s="27">
        <f>SUM(AT68:AW68)</f>
        <v>164</v>
      </c>
      <c r="AZ68" s="556">
        <v>0</v>
      </c>
      <c r="BA68" s="556">
        <v>0</v>
      </c>
      <c r="BB68" s="556">
        <v>0</v>
      </c>
      <c r="BC68" s="556">
        <v>0</v>
      </c>
      <c r="BD68" s="27"/>
      <c r="BF68" s="559">
        <v>0</v>
      </c>
      <c r="BG68" s="559">
        <v>0</v>
      </c>
      <c r="BH68" s="559">
        <v>0</v>
      </c>
      <c r="BI68" s="559">
        <v>0</v>
      </c>
      <c r="BJ68" s="27"/>
      <c r="BL68" s="559">
        <v>0</v>
      </c>
      <c r="BM68" s="559">
        <v>0</v>
      </c>
      <c r="BN68" s="559">
        <v>0</v>
      </c>
      <c r="BO68" s="559">
        <v>0</v>
      </c>
      <c r="BP68" s="27"/>
      <c r="BR68" s="559">
        <v>0</v>
      </c>
      <c r="BS68" s="559">
        <v>0</v>
      </c>
      <c r="BT68" s="559">
        <v>0</v>
      </c>
      <c r="BU68" s="559">
        <v>0</v>
      </c>
      <c r="BV68" s="27"/>
      <c r="BX68" s="559">
        <v>0</v>
      </c>
      <c r="BY68" s="559">
        <v>0</v>
      </c>
      <c r="BZ68" s="559">
        <v>0</v>
      </c>
      <c r="CA68" s="559">
        <v>0</v>
      </c>
      <c r="CB68" s="27"/>
      <c r="CD68" s="559">
        <v>0</v>
      </c>
      <c r="CE68" s="559">
        <v>0</v>
      </c>
      <c r="CF68" s="559">
        <v>0</v>
      </c>
      <c r="CG68" s="559">
        <v>0</v>
      </c>
      <c r="CH68" s="27"/>
      <c r="CJ68" s="559">
        <v>0</v>
      </c>
      <c r="CK68" s="559">
        <v>0</v>
      </c>
      <c r="CL68" s="559">
        <v>0</v>
      </c>
      <c r="CM68" s="559">
        <v>0</v>
      </c>
      <c r="CN68" s="27"/>
    </row>
    <row r="69" spans="1:92" ht="12.95" customHeight="1" x14ac:dyDescent="0.25">
      <c r="B69" s="2" t="s">
        <v>481</v>
      </c>
      <c r="D69" s="74">
        <v>752</v>
      </c>
      <c r="E69" s="74">
        <f>1.5%*E9</f>
        <v>169.965</v>
      </c>
      <c r="F69" s="74">
        <f>0.8%*F9</f>
        <v>91.304000000000002</v>
      </c>
      <c r="G69" s="483">
        <f t="shared" ref="G69:G74" si="706">H69-SUM(D69:F69)</f>
        <v>157.73099999999999</v>
      </c>
      <c r="H69" s="74">
        <f>1256-85</f>
        <v>1171</v>
      </c>
      <c r="I69" s="6"/>
      <c r="J69" s="104">
        <f>J75-J73</f>
        <v>60.313600000000001</v>
      </c>
      <c r="K69" s="74">
        <f>0.8%*K9</f>
        <v>112.08800000000001</v>
      </c>
      <c r="L69" s="74">
        <f>0.8%*L9</f>
        <v>108.08</v>
      </c>
      <c r="M69" s="483">
        <f t="shared" ref="M69:M74" si="707">N69-SUM(J69:L69)</f>
        <v>105.51839999999999</v>
      </c>
      <c r="N69" s="503">
        <v>386</v>
      </c>
      <c r="O69" s="6"/>
      <c r="P69" s="481">
        <v>0</v>
      </c>
      <c r="Q69" s="481">
        <v>0</v>
      </c>
      <c r="R69" s="481">
        <v>0</v>
      </c>
      <c r="S69" s="483">
        <f t="shared" ref="S69:S74" si="708">T69-SUM(P69:R69)</f>
        <v>236</v>
      </c>
      <c r="T69" s="74">
        <v>236</v>
      </c>
      <c r="U69" s="27"/>
      <c r="V69" s="74">
        <v>37</v>
      </c>
      <c r="W69" s="74">
        <v>147</v>
      </c>
      <c r="X69" s="74">
        <v>112</v>
      </c>
      <c r="Y69" s="483">
        <f t="shared" ref="Y69:Y74" si="709">Z69-SUM(V69:X69)</f>
        <v>58</v>
      </c>
      <c r="Z69" s="74">
        <v>354</v>
      </c>
      <c r="AA69" s="27"/>
      <c r="AB69" s="74">
        <v>64</v>
      </c>
      <c r="AC69" s="74">
        <v>25</v>
      </c>
      <c r="AD69" s="74">
        <v>35</v>
      </c>
      <c r="AE69" s="483">
        <f t="shared" ref="AE69:AE74" si="710">AF69-SUM(AB69:AD69)</f>
        <v>-34</v>
      </c>
      <c r="AF69" s="74">
        <v>90</v>
      </c>
      <c r="AG69" s="27"/>
      <c r="AH69" s="74">
        <v>13</v>
      </c>
      <c r="AI69" s="74">
        <v>28</v>
      </c>
      <c r="AJ69" s="74">
        <v>49</v>
      </c>
      <c r="AK69" s="483">
        <f t="shared" ref="AK69:AK74" si="711">AL69-SUM(AH69:AJ69)</f>
        <v>209</v>
      </c>
      <c r="AL69" s="74">
        <v>299</v>
      </c>
      <c r="AM69" s="27"/>
      <c r="AN69" s="480">
        <v>25</v>
      </c>
      <c r="AO69" s="482">
        <v>31</v>
      </c>
      <c r="AP69" s="480">
        <v>46</v>
      </c>
      <c r="AQ69" s="483">
        <f t="shared" ref="AQ69:AQ74" si="712">AR69-SUM(AN69:AP69)</f>
        <v>92</v>
      </c>
      <c r="AR69" s="480">
        <v>194</v>
      </c>
      <c r="AS69" s="27"/>
      <c r="AT69" s="74">
        <v>58</v>
      </c>
      <c r="AU69" s="248">
        <v>30</v>
      </c>
      <c r="AV69" s="248">
        <v>70</v>
      </c>
      <c r="AW69" s="607">
        <v>80</v>
      </c>
      <c r="AX69" s="27">
        <f t="shared" ref="AX69:AX74" si="713">SUM(AT69:AW69)</f>
        <v>238</v>
      </c>
      <c r="AZ69" s="556">
        <v>0</v>
      </c>
      <c r="BA69" s="556">
        <v>0</v>
      </c>
      <c r="BB69" s="556">
        <v>0</v>
      </c>
      <c r="BC69" s="556">
        <v>0</v>
      </c>
      <c r="BD69" s="27"/>
      <c r="BF69" s="556">
        <v>0</v>
      </c>
      <c r="BG69" s="556">
        <v>0</v>
      </c>
      <c r="BH69" s="556">
        <v>0</v>
      </c>
      <c r="BI69" s="556">
        <v>0</v>
      </c>
      <c r="BJ69" s="27"/>
      <c r="BL69" s="556">
        <v>0</v>
      </c>
      <c r="BM69" s="556">
        <v>0</v>
      </c>
      <c r="BN69" s="556">
        <v>0</v>
      </c>
      <c r="BO69" s="556">
        <v>0</v>
      </c>
      <c r="BP69" s="27"/>
      <c r="BR69" s="556">
        <v>0</v>
      </c>
      <c r="BS69" s="556">
        <v>0</v>
      </c>
      <c r="BT69" s="556">
        <v>0</v>
      </c>
      <c r="BU69" s="556">
        <v>0</v>
      </c>
      <c r="BV69" s="27"/>
      <c r="BX69" s="556">
        <v>0</v>
      </c>
      <c r="BY69" s="556">
        <v>0</v>
      </c>
      <c r="BZ69" s="556">
        <v>0</v>
      </c>
      <c r="CA69" s="556">
        <v>0</v>
      </c>
      <c r="CB69" s="27"/>
      <c r="CD69" s="556">
        <v>0</v>
      </c>
      <c r="CE69" s="556">
        <v>0</v>
      </c>
      <c r="CF69" s="556">
        <v>0</v>
      </c>
      <c r="CG69" s="556">
        <v>0</v>
      </c>
      <c r="CH69" s="27"/>
      <c r="CJ69" s="556">
        <v>0</v>
      </c>
      <c r="CK69" s="556">
        <v>0</v>
      </c>
      <c r="CL69" s="556">
        <v>0</v>
      </c>
      <c r="CM69" s="556">
        <v>0</v>
      </c>
      <c r="CN69" s="27"/>
    </row>
    <row r="70" spans="1:92" ht="12.95" customHeight="1" x14ac:dyDescent="0.25">
      <c r="B70" s="2" t="s">
        <v>483</v>
      </c>
      <c r="D70" s="481">
        <v>0</v>
      </c>
      <c r="E70" s="481">
        <v>0</v>
      </c>
      <c r="F70" s="481">
        <v>0</v>
      </c>
      <c r="G70" s="483">
        <f t="shared" si="706"/>
        <v>301</v>
      </c>
      <c r="H70" s="74">
        <v>301</v>
      </c>
      <c r="J70" s="481">
        <v>0</v>
      </c>
      <c r="K70" s="481">
        <v>0</v>
      </c>
      <c r="L70" s="481">
        <v>0</v>
      </c>
      <c r="M70" s="483">
        <f t="shared" si="707"/>
        <v>495</v>
      </c>
      <c r="N70" s="74">
        <v>495</v>
      </c>
      <c r="P70" s="481">
        <v>0</v>
      </c>
      <c r="Q70" s="481">
        <v>0</v>
      </c>
      <c r="R70" s="481">
        <v>0</v>
      </c>
      <c r="S70" s="483">
        <f t="shared" si="708"/>
        <v>468</v>
      </c>
      <c r="T70" s="74">
        <v>468</v>
      </c>
      <c r="V70" s="481">
        <v>-254</v>
      </c>
      <c r="W70" s="481">
        <v>122</v>
      </c>
      <c r="X70" s="481">
        <v>77</v>
      </c>
      <c r="Y70" s="483">
        <f t="shared" si="709"/>
        <v>438</v>
      </c>
      <c r="Z70" s="74">
        <v>383</v>
      </c>
      <c r="AB70" s="481">
        <v>0</v>
      </c>
      <c r="AC70" s="481">
        <v>0</v>
      </c>
      <c r="AD70" s="481">
        <v>0</v>
      </c>
      <c r="AE70" s="483">
        <f t="shared" si="710"/>
        <v>-833</v>
      </c>
      <c r="AF70" s="74">
        <v>-833</v>
      </c>
      <c r="AH70" s="481">
        <v>0</v>
      </c>
      <c r="AI70" s="481">
        <v>0</v>
      </c>
      <c r="AJ70" s="481">
        <v>0</v>
      </c>
      <c r="AK70" s="483">
        <f t="shared" si="711"/>
        <v>-606</v>
      </c>
      <c r="AL70" s="74">
        <f>-606</f>
        <v>-606</v>
      </c>
      <c r="AN70" s="481">
        <v>0</v>
      </c>
      <c r="AO70" s="481">
        <v>0</v>
      </c>
      <c r="AP70" s="481">
        <v>0</v>
      </c>
      <c r="AQ70" s="483">
        <f t="shared" si="712"/>
        <v>-97</v>
      </c>
      <c r="AR70" s="480">
        <v>-97</v>
      </c>
      <c r="AT70" s="480">
        <v>0</v>
      </c>
      <c r="AU70" s="480">
        <v>0</v>
      </c>
      <c r="AV70" s="482">
        <v>0</v>
      </c>
      <c r="AW70" s="607">
        <v>0</v>
      </c>
      <c r="AX70" s="27">
        <f t="shared" si="713"/>
        <v>0</v>
      </c>
      <c r="AZ70" s="556">
        <v>0</v>
      </c>
      <c r="BA70" s="556">
        <v>0</v>
      </c>
      <c r="BB70" s="556">
        <v>0</v>
      </c>
      <c r="BC70" s="556">
        <v>0</v>
      </c>
      <c r="BF70" s="556">
        <v>0</v>
      </c>
      <c r="BG70" s="556">
        <v>0</v>
      </c>
      <c r="BH70" s="556">
        <v>0</v>
      </c>
      <c r="BI70" s="556">
        <v>0</v>
      </c>
      <c r="BL70" s="556">
        <v>0</v>
      </c>
      <c r="BM70" s="556">
        <v>0</v>
      </c>
      <c r="BN70" s="556">
        <v>0</v>
      </c>
      <c r="BO70" s="556">
        <v>0</v>
      </c>
      <c r="BR70" s="556">
        <v>0</v>
      </c>
      <c r="BS70" s="556">
        <v>0</v>
      </c>
      <c r="BT70" s="556">
        <v>0</v>
      </c>
      <c r="BU70" s="556">
        <v>0</v>
      </c>
      <c r="BX70" s="556">
        <v>0</v>
      </c>
      <c r="BY70" s="556">
        <v>0</v>
      </c>
      <c r="BZ70" s="556">
        <v>0</v>
      </c>
      <c r="CA70" s="556">
        <v>0</v>
      </c>
      <c r="CD70" s="556">
        <v>0</v>
      </c>
      <c r="CE70" s="556">
        <v>0</v>
      </c>
      <c r="CF70" s="556">
        <v>0</v>
      </c>
      <c r="CG70" s="556">
        <v>0</v>
      </c>
      <c r="CJ70" s="556">
        <v>0</v>
      </c>
      <c r="CK70" s="556">
        <v>0</v>
      </c>
      <c r="CL70" s="556">
        <v>0</v>
      </c>
      <c r="CM70" s="556">
        <v>0</v>
      </c>
    </row>
    <row r="71" spans="1:92" ht="12.95" customHeight="1" x14ac:dyDescent="0.25">
      <c r="B71" s="2" t="s">
        <v>545</v>
      </c>
      <c r="D71" s="481">
        <v>0</v>
      </c>
      <c r="E71" s="481">
        <v>0</v>
      </c>
      <c r="F71" s="481">
        <v>0</v>
      </c>
      <c r="G71" s="483">
        <f>H71-SUM(E71:F71)</f>
        <v>0</v>
      </c>
      <c r="H71" s="481">
        <v>0</v>
      </c>
      <c r="I71" s="6"/>
      <c r="J71" s="481">
        <v>0</v>
      </c>
      <c r="K71" s="481">
        <v>0</v>
      </c>
      <c r="L71" s="481">
        <v>0</v>
      </c>
      <c r="M71" s="483">
        <f>N71-SUM(K71:L71)</f>
        <v>0</v>
      </c>
      <c r="N71" s="481">
        <v>0</v>
      </c>
      <c r="O71" s="6"/>
      <c r="P71" s="481">
        <v>0</v>
      </c>
      <c r="Q71" s="481">
        <v>0</v>
      </c>
      <c r="R71" s="481">
        <v>0</v>
      </c>
      <c r="S71" s="483">
        <f>T71-SUM(Q71:R71)</f>
        <v>0</v>
      </c>
      <c r="T71" s="481">
        <v>0</v>
      </c>
      <c r="U71" s="27"/>
      <c r="V71" s="481">
        <v>0</v>
      </c>
      <c r="W71" s="481">
        <v>0</v>
      </c>
      <c r="X71" s="481">
        <v>0</v>
      </c>
      <c r="Y71" s="483">
        <f>Z71-SUM(W71:X71)</f>
        <v>0</v>
      </c>
      <c r="Z71" s="481">
        <v>0</v>
      </c>
      <c r="AA71" s="27"/>
      <c r="AB71" s="481">
        <v>0</v>
      </c>
      <c r="AC71" s="481">
        <v>0</v>
      </c>
      <c r="AD71" s="481">
        <v>0</v>
      </c>
      <c r="AE71" s="483">
        <f>AF71-SUM(AC71:AD71)</f>
        <v>0</v>
      </c>
      <c r="AF71" s="481">
        <v>0</v>
      </c>
      <c r="AG71" s="27"/>
      <c r="AH71" s="481">
        <v>0</v>
      </c>
      <c r="AI71" s="481">
        <v>0</v>
      </c>
      <c r="AJ71" s="481">
        <v>0</v>
      </c>
      <c r="AK71" s="483">
        <f>AL71-SUM(AI71:AJ71)</f>
        <v>0</v>
      </c>
      <c r="AL71" s="481">
        <v>0</v>
      </c>
      <c r="AM71" s="27"/>
      <c r="AN71" s="481">
        <v>0</v>
      </c>
      <c r="AO71" s="482">
        <v>-88</v>
      </c>
      <c r="AP71" s="481">
        <v>0</v>
      </c>
      <c r="AQ71" s="483">
        <f>AR71-SUM(AO71:AP71)</f>
        <v>-18</v>
      </c>
      <c r="AR71" s="480">
        <v>-106</v>
      </c>
      <c r="AS71" s="27"/>
      <c r="AT71" s="480">
        <v>0</v>
      </c>
      <c r="AU71" s="480">
        <v>0</v>
      </c>
      <c r="AV71" s="482">
        <v>0</v>
      </c>
      <c r="AW71" s="607">
        <v>0</v>
      </c>
      <c r="AX71" s="27">
        <f t="shared" si="713"/>
        <v>0</v>
      </c>
      <c r="AZ71" s="556">
        <v>0</v>
      </c>
      <c r="BA71" s="556">
        <v>0</v>
      </c>
      <c r="BB71" s="556">
        <v>0</v>
      </c>
      <c r="BC71" s="556">
        <v>0</v>
      </c>
      <c r="BD71" s="27"/>
      <c r="BF71" s="556">
        <v>0</v>
      </c>
      <c r="BG71" s="556">
        <v>0</v>
      </c>
      <c r="BH71" s="556">
        <v>0</v>
      </c>
      <c r="BI71" s="556">
        <v>0</v>
      </c>
      <c r="BJ71" s="27"/>
      <c r="BL71" s="556">
        <v>0</v>
      </c>
      <c r="BM71" s="556">
        <v>0</v>
      </c>
      <c r="BN71" s="556">
        <v>0</v>
      </c>
      <c r="BO71" s="556">
        <v>0</v>
      </c>
      <c r="BP71" s="27"/>
      <c r="BR71" s="556">
        <v>0</v>
      </c>
      <c r="BS71" s="556">
        <v>0</v>
      </c>
      <c r="BT71" s="556">
        <v>0</v>
      </c>
      <c r="BU71" s="556">
        <v>0</v>
      </c>
      <c r="BV71" s="27"/>
      <c r="BX71" s="556">
        <v>0</v>
      </c>
      <c r="BY71" s="556">
        <v>0</v>
      </c>
      <c r="BZ71" s="556">
        <v>0</v>
      </c>
      <c r="CA71" s="556">
        <v>0</v>
      </c>
      <c r="CB71" s="27"/>
      <c r="CD71" s="556">
        <v>0</v>
      </c>
      <c r="CE71" s="556">
        <v>0</v>
      </c>
      <c r="CF71" s="556">
        <v>0</v>
      </c>
      <c r="CG71" s="556">
        <v>0</v>
      </c>
      <c r="CH71" s="27"/>
      <c r="CJ71" s="556">
        <v>0</v>
      </c>
      <c r="CK71" s="556">
        <v>0</v>
      </c>
      <c r="CL71" s="556">
        <v>0</v>
      </c>
      <c r="CM71" s="556">
        <v>0</v>
      </c>
      <c r="CN71" s="27"/>
    </row>
    <row r="72" spans="1:92" ht="12.95" customHeight="1" x14ac:dyDescent="0.25">
      <c r="B72" s="2" t="s">
        <v>454</v>
      </c>
      <c r="D72" s="481">
        <v>0</v>
      </c>
      <c r="E72" s="481">
        <v>0</v>
      </c>
      <c r="F72" s="481">
        <v>0</v>
      </c>
      <c r="G72" s="483">
        <f t="shared" si="706"/>
        <v>0</v>
      </c>
      <c r="H72" s="481">
        <v>0</v>
      </c>
      <c r="I72" s="6"/>
      <c r="J72" s="481">
        <v>0</v>
      </c>
      <c r="K72" s="481">
        <v>0</v>
      </c>
      <c r="L72" s="481">
        <v>0</v>
      </c>
      <c r="M72" s="483">
        <f t="shared" si="707"/>
        <v>0</v>
      </c>
      <c r="N72" s="481">
        <v>0</v>
      </c>
      <c r="O72" s="6"/>
      <c r="P72" s="481">
        <v>0</v>
      </c>
      <c r="Q72" s="481">
        <v>0</v>
      </c>
      <c r="R72" s="481">
        <v>0</v>
      </c>
      <c r="S72" s="483">
        <f t="shared" si="708"/>
        <v>0</v>
      </c>
      <c r="T72" s="481">
        <v>0</v>
      </c>
      <c r="U72" s="27"/>
      <c r="V72" s="481">
        <v>0</v>
      </c>
      <c r="W72" s="481">
        <v>0</v>
      </c>
      <c r="X72" s="481">
        <v>0</v>
      </c>
      <c r="Y72" s="483">
        <f t="shared" si="709"/>
        <v>0</v>
      </c>
      <c r="Z72" s="481">
        <v>0</v>
      </c>
      <c r="AA72" s="27"/>
      <c r="AB72" s="481">
        <v>0</v>
      </c>
      <c r="AC72" s="481">
        <v>0</v>
      </c>
      <c r="AD72" s="481">
        <v>0</v>
      </c>
      <c r="AE72" s="483">
        <f t="shared" si="710"/>
        <v>0</v>
      </c>
      <c r="AF72" s="481">
        <v>0</v>
      </c>
      <c r="AG72" s="27"/>
      <c r="AH72" s="481">
        <v>0</v>
      </c>
      <c r="AI72" s="481">
        <v>0</v>
      </c>
      <c r="AJ72" s="481">
        <v>0</v>
      </c>
      <c r="AK72" s="483">
        <f t="shared" si="711"/>
        <v>925</v>
      </c>
      <c r="AL72" s="74">
        <v>925</v>
      </c>
      <c r="AM72" s="27"/>
      <c r="AN72" s="481">
        <v>0</v>
      </c>
      <c r="AO72" s="481">
        <v>0</v>
      </c>
      <c r="AP72" s="481">
        <v>0</v>
      </c>
      <c r="AQ72" s="483">
        <f t="shared" si="712"/>
        <v>0</v>
      </c>
      <c r="AR72" s="480">
        <v>0</v>
      </c>
      <c r="AS72" s="27"/>
      <c r="AT72" s="480">
        <v>0</v>
      </c>
      <c r="AU72" s="480">
        <v>0</v>
      </c>
      <c r="AV72" s="482">
        <v>0</v>
      </c>
      <c r="AW72" s="607">
        <v>0</v>
      </c>
      <c r="AX72" s="27">
        <f t="shared" si="713"/>
        <v>0</v>
      </c>
      <c r="AZ72" s="556">
        <v>0</v>
      </c>
      <c r="BA72" s="556">
        <v>0</v>
      </c>
      <c r="BB72" s="556">
        <v>0</v>
      </c>
      <c r="BC72" s="556">
        <v>0</v>
      </c>
      <c r="BD72" s="27"/>
      <c r="BF72" s="556">
        <v>0</v>
      </c>
      <c r="BG72" s="556">
        <v>0</v>
      </c>
      <c r="BH72" s="556">
        <v>0</v>
      </c>
      <c r="BI72" s="556">
        <v>0</v>
      </c>
      <c r="BJ72" s="27"/>
      <c r="BL72" s="556">
        <v>0</v>
      </c>
      <c r="BM72" s="556">
        <v>0</v>
      </c>
      <c r="BN72" s="556">
        <v>0</v>
      </c>
      <c r="BO72" s="556">
        <v>0</v>
      </c>
      <c r="BP72" s="27"/>
      <c r="BR72" s="556">
        <v>0</v>
      </c>
      <c r="BS72" s="556">
        <v>0</v>
      </c>
      <c r="BT72" s="556">
        <v>0</v>
      </c>
      <c r="BU72" s="556">
        <v>0</v>
      </c>
      <c r="BV72" s="27"/>
      <c r="BX72" s="556">
        <v>0</v>
      </c>
      <c r="BY72" s="556">
        <v>0</v>
      </c>
      <c r="BZ72" s="556">
        <v>0</v>
      </c>
      <c r="CA72" s="556">
        <v>0</v>
      </c>
      <c r="CB72" s="27"/>
      <c r="CD72" s="556">
        <v>0</v>
      </c>
      <c r="CE72" s="556">
        <v>0</v>
      </c>
      <c r="CF72" s="556">
        <v>0</v>
      </c>
      <c r="CG72" s="556">
        <v>0</v>
      </c>
      <c r="CH72" s="27"/>
      <c r="CJ72" s="556">
        <v>0</v>
      </c>
      <c r="CK72" s="556">
        <v>0</v>
      </c>
      <c r="CL72" s="556">
        <v>0</v>
      </c>
      <c r="CM72" s="556">
        <v>0</v>
      </c>
      <c r="CN72" s="27"/>
    </row>
    <row r="73" spans="1:92" ht="12.95" customHeight="1" x14ac:dyDescent="0.25">
      <c r="B73" s="2" t="s">
        <v>546</v>
      </c>
      <c r="D73" s="104">
        <f>D75-SUM(D68:D72,D74)</f>
        <v>-182.52800000000002</v>
      </c>
      <c r="E73" s="104">
        <f>E75-SUM(E68:E72,E74)</f>
        <v>-86.608999999999995</v>
      </c>
      <c r="F73" s="104">
        <f>F75-SUM(F68:F72,F74)</f>
        <v>16.713999999999999</v>
      </c>
      <c r="G73" s="483">
        <f t="shared" si="706"/>
        <v>2136.5464999999995</v>
      </c>
      <c r="H73" s="104">
        <f>H75-SUM(H68:H72,H74)</f>
        <v>1884.1234999999997</v>
      </c>
      <c r="I73" s="6"/>
      <c r="J73" s="74">
        <f>-24%*J75</f>
        <v>-11.6736</v>
      </c>
      <c r="K73" s="104">
        <f>K75-SUM(K68:K72,K74)</f>
        <v>-21.457999999999998</v>
      </c>
      <c r="L73" s="104">
        <f>L75-SUM(L68:L72,L74)</f>
        <v>-120.068</v>
      </c>
      <c r="M73" s="483">
        <f t="shared" si="707"/>
        <v>-151.9924</v>
      </c>
      <c r="N73" s="104">
        <f>N75-SUM(N68:N72,N74)</f>
        <v>-305.19200000000001</v>
      </c>
      <c r="O73" s="6"/>
      <c r="P73" s="502">
        <f>P75-SUM(P68:P72,P74)</f>
        <v>0</v>
      </c>
      <c r="Q73" s="502">
        <f>Q75-SUM(Q68:Q72,Q74)</f>
        <v>0</v>
      </c>
      <c r="R73" s="502">
        <f>R75-SUM(R68:R72,R74)</f>
        <v>0</v>
      </c>
      <c r="S73" s="483">
        <f t="shared" si="708"/>
        <v>-150</v>
      </c>
      <c r="T73" s="74">
        <f>-105-45</f>
        <v>-150</v>
      </c>
      <c r="U73" s="27"/>
      <c r="V73" s="74">
        <f>43-7</f>
        <v>36</v>
      </c>
      <c r="W73" s="74">
        <f>-15-21</f>
        <v>-36</v>
      </c>
      <c r="X73" s="74">
        <f>-13-12</f>
        <v>-25</v>
      </c>
      <c r="Y73" s="483">
        <f t="shared" si="709"/>
        <v>-110</v>
      </c>
      <c r="Z73" s="74">
        <f>-82-53</f>
        <v>-135</v>
      </c>
      <c r="AA73" s="27"/>
      <c r="AB73" s="74">
        <v>-10</v>
      </c>
      <c r="AC73" s="74">
        <v>-3</v>
      </c>
      <c r="AD73" s="74">
        <v>-6</v>
      </c>
      <c r="AE73" s="483">
        <f t="shared" si="710"/>
        <v>205</v>
      </c>
      <c r="AF73" s="74">
        <f>190-4</f>
        <v>186</v>
      </c>
      <c r="AG73" s="27"/>
      <c r="AH73" s="74">
        <v>-2</v>
      </c>
      <c r="AI73" s="74">
        <v>-2</v>
      </c>
      <c r="AJ73" s="74">
        <v>-9</v>
      </c>
      <c r="AK73" s="483">
        <f t="shared" si="711"/>
        <v>29</v>
      </c>
      <c r="AL73" s="74">
        <f>-36-72+124</f>
        <v>16</v>
      </c>
      <c r="AM73" s="27"/>
      <c r="AN73" s="480">
        <v>-5</v>
      </c>
      <c r="AO73" s="482">
        <v>-6</v>
      </c>
      <c r="AP73" s="480">
        <f>-10</f>
        <v>-10</v>
      </c>
      <c r="AQ73" s="483">
        <f t="shared" si="712"/>
        <v>-1</v>
      </c>
      <c r="AR73" s="480">
        <f>-48+26</f>
        <v>-22</v>
      </c>
      <c r="AS73" s="27"/>
      <c r="AT73" s="74">
        <f>-54-14</f>
        <v>-68</v>
      </c>
      <c r="AU73" s="248">
        <f>-6</f>
        <v>-6</v>
      </c>
      <c r="AV73" s="248">
        <v>-16</v>
      </c>
      <c r="AW73" s="607">
        <v>0</v>
      </c>
      <c r="AX73" s="27">
        <f t="shared" si="713"/>
        <v>-90</v>
      </c>
      <c r="AZ73" s="556">
        <v>0</v>
      </c>
      <c r="BA73" s="556">
        <v>0</v>
      </c>
      <c r="BB73" s="556">
        <v>0</v>
      </c>
      <c r="BC73" s="556">
        <v>0</v>
      </c>
      <c r="BD73" s="27"/>
      <c r="BF73" s="556">
        <v>0</v>
      </c>
      <c r="BG73" s="556">
        <v>0</v>
      </c>
      <c r="BH73" s="556">
        <v>0</v>
      </c>
      <c r="BI73" s="556">
        <v>0</v>
      </c>
      <c r="BJ73" s="27"/>
      <c r="BL73" s="556">
        <v>0</v>
      </c>
      <c r="BM73" s="556">
        <v>0</v>
      </c>
      <c r="BN73" s="556">
        <v>0</v>
      </c>
      <c r="BO73" s="556">
        <v>0</v>
      </c>
      <c r="BP73" s="27"/>
      <c r="BR73" s="556">
        <v>0</v>
      </c>
      <c r="BS73" s="556">
        <v>0</v>
      </c>
      <c r="BT73" s="556">
        <v>0</v>
      </c>
      <c r="BU73" s="556">
        <v>0</v>
      </c>
      <c r="BV73" s="27"/>
      <c r="BX73" s="556">
        <v>0</v>
      </c>
      <c r="BY73" s="556">
        <v>0</v>
      </c>
      <c r="BZ73" s="556">
        <v>0</v>
      </c>
      <c r="CA73" s="556">
        <v>0</v>
      </c>
      <c r="CB73" s="27"/>
      <c r="CD73" s="556">
        <v>0</v>
      </c>
      <c r="CE73" s="556">
        <v>0</v>
      </c>
      <c r="CF73" s="556">
        <v>0</v>
      </c>
      <c r="CG73" s="556">
        <v>0</v>
      </c>
      <c r="CH73" s="27"/>
      <c r="CJ73" s="556">
        <v>0</v>
      </c>
      <c r="CK73" s="556">
        <v>0</v>
      </c>
      <c r="CL73" s="556">
        <v>0</v>
      </c>
      <c r="CM73" s="556">
        <v>0</v>
      </c>
      <c r="CN73" s="27"/>
    </row>
    <row r="74" spans="1:92" ht="12.95" customHeight="1" x14ac:dyDescent="0.25">
      <c r="B74" s="2" t="s">
        <v>547</v>
      </c>
      <c r="D74" s="501">
        <v>0</v>
      </c>
      <c r="E74" s="501">
        <v>0</v>
      </c>
      <c r="F74" s="501">
        <v>0</v>
      </c>
      <c r="G74" s="483">
        <f t="shared" si="706"/>
        <v>0</v>
      </c>
      <c r="H74" s="501">
        <v>0</v>
      </c>
      <c r="I74" s="6"/>
      <c r="J74" s="501">
        <v>0</v>
      </c>
      <c r="K74" s="501">
        <v>0</v>
      </c>
      <c r="L74" s="501">
        <v>0</v>
      </c>
      <c r="M74" s="483">
        <f t="shared" si="707"/>
        <v>0</v>
      </c>
      <c r="N74" s="501">
        <v>0</v>
      </c>
      <c r="O74" s="6"/>
      <c r="P74" s="501">
        <v>0</v>
      </c>
      <c r="Q74" s="501">
        <v>0</v>
      </c>
      <c r="R74" s="501">
        <v>0</v>
      </c>
      <c r="S74" s="483">
        <f t="shared" si="708"/>
        <v>-178</v>
      </c>
      <c r="T74" s="481">
        <v>-178</v>
      </c>
      <c r="U74" s="104"/>
      <c r="V74" s="481">
        <v>0</v>
      </c>
      <c r="W74" s="481">
        <v>0</v>
      </c>
      <c r="X74" s="481">
        <v>0</v>
      </c>
      <c r="Y74" s="483">
        <f t="shared" si="709"/>
        <v>0</v>
      </c>
      <c r="Z74" s="481">
        <v>0</v>
      </c>
      <c r="AA74" s="104"/>
      <c r="AB74" s="481">
        <v>0</v>
      </c>
      <c r="AC74" s="481">
        <v>0</v>
      </c>
      <c r="AD74" s="481">
        <v>0</v>
      </c>
      <c r="AE74" s="483">
        <f t="shared" si="710"/>
        <v>0</v>
      </c>
      <c r="AF74" s="481">
        <v>0</v>
      </c>
      <c r="AG74" s="27"/>
      <c r="AH74" s="481">
        <v>0</v>
      </c>
      <c r="AI74" s="481">
        <v>0</v>
      </c>
      <c r="AJ74" s="481">
        <v>0</v>
      </c>
      <c r="AK74" s="483">
        <f t="shared" si="711"/>
        <v>0</v>
      </c>
      <c r="AL74" s="481">
        <v>0</v>
      </c>
      <c r="AM74" s="27"/>
      <c r="AN74" s="481">
        <v>0</v>
      </c>
      <c r="AO74" s="481">
        <v>0</v>
      </c>
      <c r="AP74" s="481">
        <v>0</v>
      </c>
      <c r="AQ74" s="483">
        <f t="shared" si="712"/>
        <v>0</v>
      </c>
      <c r="AR74" s="480">
        <v>0</v>
      </c>
      <c r="AS74" s="27"/>
      <c r="AT74" s="480">
        <v>0</v>
      </c>
      <c r="AU74" s="480">
        <v>0</v>
      </c>
      <c r="AV74" s="482">
        <v>0</v>
      </c>
      <c r="AW74" s="607">
        <v>0</v>
      </c>
      <c r="AX74" s="27">
        <f t="shared" si="713"/>
        <v>0</v>
      </c>
      <c r="AZ74" s="556">
        <v>0</v>
      </c>
      <c r="BA74" s="556">
        <v>0</v>
      </c>
      <c r="BB74" s="556">
        <v>0</v>
      </c>
      <c r="BC74" s="556">
        <v>0</v>
      </c>
      <c r="BD74" s="27"/>
      <c r="BF74" s="556">
        <v>0</v>
      </c>
      <c r="BG74" s="556">
        <v>0</v>
      </c>
      <c r="BH74" s="556">
        <v>0</v>
      </c>
      <c r="BI74" s="556">
        <v>0</v>
      </c>
      <c r="BJ74" s="27"/>
      <c r="BL74" s="556">
        <v>0</v>
      </c>
      <c r="BM74" s="556">
        <v>0</v>
      </c>
      <c r="BN74" s="556">
        <v>0</v>
      </c>
      <c r="BO74" s="556">
        <v>0</v>
      </c>
      <c r="BP74" s="27"/>
      <c r="BR74" s="556">
        <v>0</v>
      </c>
      <c r="BS74" s="556">
        <v>0</v>
      </c>
      <c r="BT74" s="556">
        <v>0</v>
      </c>
      <c r="BU74" s="556">
        <v>0</v>
      </c>
      <c r="BV74" s="27"/>
      <c r="BX74" s="556">
        <v>0</v>
      </c>
      <c r="BY74" s="556">
        <v>0</v>
      </c>
      <c r="BZ74" s="556">
        <v>0</v>
      </c>
      <c r="CA74" s="556">
        <v>0</v>
      </c>
      <c r="CB74" s="27"/>
      <c r="CD74" s="556">
        <v>0</v>
      </c>
      <c r="CE74" s="556">
        <v>0</v>
      </c>
      <c r="CF74" s="556">
        <v>0</v>
      </c>
      <c r="CG74" s="556">
        <v>0</v>
      </c>
      <c r="CH74" s="27"/>
      <c r="CJ74" s="556">
        <v>0</v>
      </c>
      <c r="CK74" s="556">
        <v>0</v>
      </c>
      <c r="CL74" s="556">
        <v>0</v>
      </c>
      <c r="CM74" s="556">
        <v>0</v>
      </c>
      <c r="CN74" s="27"/>
    </row>
    <row r="75" spans="1:92" ht="12.95" customHeight="1" x14ac:dyDescent="0.25">
      <c r="B75" s="16" t="s">
        <v>56</v>
      </c>
      <c r="C75" s="16"/>
      <c r="D75" s="74">
        <f>(0.96)*D81</f>
        <v>569.47199999999998</v>
      </c>
      <c r="E75" s="74">
        <f>(0.23-0.09)*E81</f>
        <v>83.356000000000009</v>
      </c>
      <c r="F75" s="74">
        <f>(0.18)*F81</f>
        <v>108.018</v>
      </c>
      <c r="G75" s="45">
        <f t="shared" ref="G75" si="714">SUM(G68:G74)</f>
        <v>2595.2774999999992</v>
      </c>
      <c r="H75" s="74">
        <f>(1.68+0.26-0.18+3.95-0.09)*H81</f>
        <v>3356.1234999999997</v>
      </c>
      <c r="I75" s="18"/>
      <c r="J75" s="74">
        <f>(0.08)*J81</f>
        <v>48.64</v>
      </c>
      <c r="K75" s="74">
        <f>(0.15)*K81</f>
        <v>90.63000000000001</v>
      </c>
      <c r="L75" s="74">
        <f>(0.14-0.16)*L81</f>
        <v>-11.987999999999994</v>
      </c>
      <c r="M75" s="45">
        <f t="shared" ref="M75" si="715">SUM(M68:M74)</f>
        <v>448.52599999999995</v>
      </c>
      <c r="N75" s="74">
        <f>(0.5+0.64-0.01-0.17)*N81</f>
        <v>575.80799999999999</v>
      </c>
      <c r="O75" s="18"/>
      <c r="P75" s="502">
        <v>0</v>
      </c>
      <c r="Q75" s="502">
        <v>0</v>
      </c>
      <c r="R75" s="502">
        <v>0</v>
      </c>
      <c r="S75" s="45">
        <f t="shared" ref="S75" si="716">SUM(S68:S74)</f>
        <v>376</v>
      </c>
      <c r="T75" s="45">
        <f>SUM(T68:T74)</f>
        <v>376</v>
      </c>
      <c r="U75" s="45"/>
      <c r="V75" s="105">
        <f>SUM(V68:V74)</f>
        <v>-181</v>
      </c>
      <c r="W75" s="105">
        <f t="shared" ref="W75" si="717">SUM(W68:W74)</f>
        <v>233</v>
      </c>
      <c r="X75" s="45">
        <f t="shared" ref="X75" si="718">SUM(X68:X74)</f>
        <v>164</v>
      </c>
      <c r="Y75" s="45">
        <f t="shared" ref="Y75" si="719">SUM(Y68:Y74)</f>
        <v>386</v>
      </c>
      <c r="Z75" s="45">
        <f>SUM(Z68:Z74)</f>
        <v>602</v>
      </c>
      <c r="AA75" s="45"/>
      <c r="AB75" s="105">
        <f t="shared" ref="AB75" si="720">SUM(AB68:AB74)</f>
        <v>54</v>
      </c>
      <c r="AC75" s="105">
        <f t="shared" ref="AC75" si="721">SUM(AC68:AC74)</f>
        <v>22</v>
      </c>
      <c r="AD75" s="45">
        <f t="shared" ref="AD75:AF75" si="722">SUM(AD68:AD74)</f>
        <v>29</v>
      </c>
      <c r="AE75" s="45">
        <f t="shared" si="722"/>
        <v>-662</v>
      </c>
      <c r="AF75" s="45">
        <f t="shared" si="722"/>
        <v>-557</v>
      </c>
      <c r="AG75" s="45"/>
      <c r="AH75" s="45">
        <f>SUM(AH68:AH74)</f>
        <v>11</v>
      </c>
      <c r="AI75" s="45">
        <f>SUM(AI68:AI74)</f>
        <v>26</v>
      </c>
      <c r="AJ75" s="45">
        <f t="shared" ref="AJ75" si="723">SUM(AJ68:AJ74)</f>
        <v>40</v>
      </c>
      <c r="AK75" s="45">
        <f t="shared" ref="AK75" si="724">SUM(AK68:AK74)</f>
        <v>557</v>
      </c>
      <c r="AL75" s="45">
        <f t="shared" ref="AL75" si="725">SUM(AL68:AL74)</f>
        <v>634</v>
      </c>
      <c r="AM75" s="45"/>
      <c r="AN75" s="45">
        <f>SUM(AN68:AN74)</f>
        <v>606</v>
      </c>
      <c r="AO75" s="45">
        <f>SUM(AO68:AO74)</f>
        <v>-63</v>
      </c>
      <c r="AP75" s="45">
        <f t="shared" ref="AP75" si="726">SUM(AP68:AP74)</f>
        <v>36</v>
      </c>
      <c r="AQ75" s="45">
        <f t="shared" ref="AQ75" si="727">SUM(AQ68:AQ74)</f>
        <v>-24</v>
      </c>
      <c r="AR75" s="45">
        <f t="shared" ref="AR75" si="728">SUM(AR68:AR74)</f>
        <v>555</v>
      </c>
      <c r="AS75" s="45"/>
      <c r="AT75" s="45">
        <f>SUM(AT68:AT74)</f>
        <v>-74</v>
      </c>
      <c r="AU75" s="45">
        <f>SUM(AU68:AU74)</f>
        <v>252</v>
      </c>
      <c r="AV75" s="45">
        <f t="shared" ref="AV75" si="729">SUM(AV68:AV74)</f>
        <v>54</v>
      </c>
      <c r="AW75" s="608">
        <f t="shared" ref="AW75" si="730">SUM(AW68:AW74)</f>
        <v>80</v>
      </c>
      <c r="AX75" s="557">
        <f>SUM(AX68:AX74)</f>
        <v>312</v>
      </c>
      <c r="AY75" s="557"/>
      <c r="AZ75" s="557">
        <f>SUM(AZ68:AZ74)</f>
        <v>0</v>
      </c>
      <c r="BA75" s="557">
        <f>SUM(BA68:BA74)</f>
        <v>0</v>
      </c>
      <c r="BB75" s="557">
        <f t="shared" ref="BB75:BD75" si="731">SUM(BB68:BB74)</f>
        <v>0</v>
      </c>
      <c r="BC75" s="557">
        <f t="shared" si="731"/>
        <v>0</v>
      </c>
      <c r="BD75" s="557">
        <f t="shared" si="731"/>
        <v>0</v>
      </c>
      <c r="BE75" s="16"/>
      <c r="BF75" s="557">
        <f>SUM(BF68:BF74)</f>
        <v>0</v>
      </c>
      <c r="BG75" s="557">
        <f>SUM(BG68:BG74)</f>
        <v>0</v>
      </c>
      <c r="BH75" s="557">
        <f t="shared" ref="BH75:BJ75" si="732">SUM(BH68:BH74)</f>
        <v>0</v>
      </c>
      <c r="BI75" s="557">
        <f t="shared" si="732"/>
        <v>0</v>
      </c>
      <c r="BJ75" s="557">
        <f t="shared" si="732"/>
        <v>0</v>
      </c>
      <c r="BK75" s="16"/>
      <c r="BL75" s="557">
        <f>SUM(BL68:BL74)</f>
        <v>0</v>
      </c>
      <c r="BM75" s="557">
        <f>SUM(BM68:BM74)</f>
        <v>0</v>
      </c>
      <c r="BN75" s="557">
        <f t="shared" ref="BN75:BP75" si="733">SUM(BN68:BN74)</f>
        <v>0</v>
      </c>
      <c r="BO75" s="557">
        <f t="shared" si="733"/>
        <v>0</v>
      </c>
      <c r="BP75" s="557">
        <f t="shared" si="733"/>
        <v>0</v>
      </c>
      <c r="BQ75" s="16"/>
      <c r="BR75" s="557">
        <f>SUM(BR68:BR74)</f>
        <v>0</v>
      </c>
      <c r="BS75" s="557">
        <f>SUM(BS68:BS74)</f>
        <v>0</v>
      </c>
      <c r="BT75" s="557">
        <f t="shared" ref="BT75:BV75" si="734">SUM(BT68:BT74)</f>
        <v>0</v>
      </c>
      <c r="BU75" s="557">
        <f t="shared" si="734"/>
        <v>0</v>
      </c>
      <c r="BV75" s="557">
        <f t="shared" si="734"/>
        <v>0</v>
      </c>
      <c r="BW75" s="16"/>
      <c r="BX75" s="557">
        <f>SUM(BX68:BX74)</f>
        <v>0</v>
      </c>
      <c r="BY75" s="557">
        <f>SUM(BY68:BY74)</f>
        <v>0</v>
      </c>
      <c r="BZ75" s="557">
        <f t="shared" ref="BZ75:CB75" si="735">SUM(BZ68:BZ74)</f>
        <v>0</v>
      </c>
      <c r="CA75" s="557">
        <f t="shared" si="735"/>
        <v>0</v>
      </c>
      <c r="CB75" s="557">
        <f t="shared" si="735"/>
        <v>0</v>
      </c>
      <c r="CC75" s="16"/>
      <c r="CD75" s="557">
        <f>SUM(CD68:CD74)</f>
        <v>0</v>
      </c>
      <c r="CE75" s="557">
        <f>SUM(CE68:CE74)</f>
        <v>0</v>
      </c>
      <c r="CF75" s="557">
        <f t="shared" ref="CF75:CH75" si="736">SUM(CF68:CF74)</f>
        <v>0</v>
      </c>
      <c r="CG75" s="557">
        <f t="shared" si="736"/>
        <v>0</v>
      </c>
      <c r="CH75" s="557">
        <f t="shared" si="736"/>
        <v>0</v>
      </c>
      <c r="CI75" s="16"/>
      <c r="CJ75" s="557">
        <f>SUM(CJ68:CJ74)</f>
        <v>0</v>
      </c>
      <c r="CK75" s="557">
        <f>SUM(CK68:CK74)</f>
        <v>0</v>
      </c>
      <c r="CL75" s="557">
        <f t="shared" ref="CL75:CN75" si="737">SUM(CL68:CL74)</f>
        <v>0</v>
      </c>
      <c r="CM75" s="557">
        <f t="shared" si="737"/>
        <v>0</v>
      </c>
      <c r="CN75" s="557">
        <f t="shared" si="737"/>
        <v>0</v>
      </c>
    </row>
    <row r="76" spans="1:92" ht="12.95" customHeight="1" x14ac:dyDescent="0.25"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243"/>
      <c r="AP76" s="6"/>
      <c r="AQ76" s="243"/>
      <c r="AR76" s="243"/>
      <c r="AS76" s="6"/>
      <c r="AT76" s="6"/>
      <c r="AU76" s="243"/>
      <c r="AV76" s="243"/>
      <c r="AW76" s="164"/>
      <c r="AX76" s="6"/>
      <c r="AZ76" s="6"/>
      <c r="BA76" s="6"/>
      <c r="BB76" s="6"/>
      <c r="BC76" s="6"/>
      <c r="BD76" s="6"/>
      <c r="BF76" s="6"/>
      <c r="BG76" s="6"/>
      <c r="BH76" s="6"/>
      <c r="BI76" s="6"/>
      <c r="BJ76" s="6"/>
      <c r="BL76" s="6"/>
      <c r="BM76" s="6"/>
      <c r="BN76" s="6"/>
      <c r="BO76" s="6"/>
      <c r="BP76" s="6"/>
      <c r="BR76" s="6"/>
      <c r="BS76" s="6"/>
      <c r="BT76" s="6"/>
      <c r="BU76" s="6"/>
      <c r="BV76" s="6"/>
      <c r="BX76" s="6"/>
      <c r="BY76" s="6"/>
      <c r="BZ76" s="6"/>
      <c r="CA76" s="6"/>
      <c r="CB76" s="6"/>
      <c r="CD76" s="6"/>
      <c r="CE76" s="6"/>
      <c r="CF76" s="6"/>
      <c r="CG76" s="6"/>
      <c r="CH76" s="6"/>
      <c r="CJ76" s="6"/>
      <c r="CK76" s="6"/>
      <c r="CL76" s="6"/>
      <c r="CM76" s="6"/>
      <c r="CN76" s="6"/>
    </row>
    <row r="77" spans="1:92" ht="12.95" customHeight="1" x14ac:dyDescent="0.25">
      <c r="B77" s="2" t="s">
        <v>57</v>
      </c>
      <c r="D77" s="27">
        <f>D75+D63</f>
        <v>761.47199999999998</v>
      </c>
      <c r="E77" s="27">
        <f>E75+E63</f>
        <v>885.35599999999999</v>
      </c>
      <c r="F77" s="27">
        <f>F75+F63</f>
        <v>1167.018</v>
      </c>
      <c r="G77" s="27">
        <f>G75+G63</f>
        <v>1296.2774999999992</v>
      </c>
      <c r="H77" s="27">
        <f>H75+H63</f>
        <v>4110.1234999999997</v>
      </c>
      <c r="I77" s="6"/>
      <c r="J77" s="27">
        <f>J75+J63</f>
        <v>1713.64</v>
      </c>
      <c r="K77" s="27">
        <f>K75+K63</f>
        <v>1797.63</v>
      </c>
      <c r="L77" s="27">
        <f>L75+L63</f>
        <v>1715.0119999999999</v>
      </c>
      <c r="M77" s="27">
        <f>M75+M63</f>
        <v>1498.5259999999998</v>
      </c>
      <c r="N77" s="27">
        <f>N75+N63</f>
        <v>6722.808</v>
      </c>
      <c r="O77" s="6"/>
      <c r="P77" s="27">
        <f>P75+P63</f>
        <v>1881</v>
      </c>
      <c r="Q77" s="27">
        <f>Q75+Q63</f>
        <v>1620</v>
      </c>
      <c r="R77" s="27">
        <f>R75+R63</f>
        <v>1494</v>
      </c>
      <c r="S77" s="27">
        <f>S75+S63</f>
        <v>1474</v>
      </c>
      <c r="T77" s="27">
        <f>T75+T63</f>
        <v>6469</v>
      </c>
      <c r="U77" s="27"/>
      <c r="V77" s="27">
        <f>V75+V63</f>
        <v>911</v>
      </c>
      <c r="W77" s="27">
        <f>W75+W63</f>
        <v>691</v>
      </c>
      <c r="X77" s="27">
        <f>X75+X63</f>
        <v>832</v>
      </c>
      <c r="Y77" s="27">
        <f>Y75+Y63</f>
        <v>1166</v>
      </c>
      <c r="Z77" s="27">
        <f>Z75+Z63</f>
        <v>3600</v>
      </c>
      <c r="AA77" s="27"/>
      <c r="AB77" s="27">
        <f>AB75+AB63</f>
        <v>1584</v>
      </c>
      <c r="AC77" s="27">
        <f>AC75+AC63</f>
        <v>1435</v>
      </c>
      <c r="AD77" s="27">
        <f>AD75+AD63</f>
        <v>1455</v>
      </c>
      <c r="AE77" s="27">
        <f>AE75+AE63</f>
        <v>1458</v>
      </c>
      <c r="AF77" s="27">
        <f>AF75+AF63</f>
        <v>5932</v>
      </c>
      <c r="AG77" s="27"/>
      <c r="AH77" s="27">
        <f>AH75+AH63</f>
        <v>1548</v>
      </c>
      <c r="AI77" s="27">
        <f t="shared" ref="AI77:AL77" si="738">AI75+AI63</f>
        <v>1699</v>
      </c>
      <c r="AJ77" s="27">
        <f t="shared" si="738"/>
        <v>2081</v>
      </c>
      <c r="AK77" s="27">
        <f t="shared" si="738"/>
        <v>2011</v>
      </c>
      <c r="AL77" s="27">
        <f t="shared" si="738"/>
        <v>7339</v>
      </c>
      <c r="AM77" s="27"/>
      <c r="AN77" s="27">
        <f>AN75+AN63</f>
        <v>2549</v>
      </c>
      <c r="AO77" s="235">
        <f t="shared" ref="AO77:AR77" si="739">AO75+AO63</f>
        <v>2859</v>
      </c>
      <c r="AP77" s="27">
        <f t="shared" si="739"/>
        <v>2830</v>
      </c>
      <c r="AQ77" s="235">
        <f t="shared" si="739"/>
        <v>2652</v>
      </c>
      <c r="AR77" s="235">
        <f t="shared" si="739"/>
        <v>10890</v>
      </c>
      <c r="AS77" s="27"/>
      <c r="AT77" s="27">
        <f>AT75+AT63</f>
        <v>2782</v>
      </c>
      <c r="AU77" s="235">
        <f t="shared" ref="AU77:AX77" si="740">AU75+AU63</f>
        <v>2933</v>
      </c>
      <c r="AV77" s="235">
        <f t="shared" si="740"/>
        <v>2518</v>
      </c>
      <c r="AW77" s="158">
        <f t="shared" si="740"/>
        <v>2474.273480462251</v>
      </c>
      <c r="AX77" s="27">
        <f t="shared" si="740"/>
        <v>10707.273480462254</v>
      </c>
      <c r="AY77" s="27"/>
      <c r="AZ77" s="27">
        <f>AZ75+AZ63</f>
        <v>2496.4905802090316</v>
      </c>
      <c r="BA77" s="27">
        <f t="shared" ref="BA77:BD77" si="741">BA75+BA63</f>
        <v>2666.4708406067748</v>
      </c>
      <c r="BB77" s="27">
        <f t="shared" si="741"/>
        <v>2421.2418683825908</v>
      </c>
      <c r="BC77" s="27">
        <f t="shared" si="741"/>
        <v>2465.8862398520987</v>
      </c>
      <c r="BD77" s="27">
        <f t="shared" si="741"/>
        <v>10050.089529050494</v>
      </c>
      <c r="BE77" s="27"/>
      <c r="BF77" s="27">
        <f>BF75+BF63</f>
        <v>2702.7261217145633</v>
      </c>
      <c r="BG77" s="27">
        <f t="shared" ref="BG77:BJ77" si="742">BG75+BG63</f>
        <v>2887.0711040475817</v>
      </c>
      <c r="BH77" s="27">
        <f t="shared" si="742"/>
        <v>2637.2749771395893</v>
      </c>
      <c r="BI77" s="27">
        <f t="shared" si="742"/>
        <v>2689.8431820291662</v>
      </c>
      <c r="BJ77" s="27">
        <f t="shared" si="742"/>
        <v>10916.9153849309</v>
      </c>
      <c r="BK77" s="27"/>
      <c r="BL77" s="27">
        <f>BL75+BL63</f>
        <v>2857.1111658364293</v>
      </c>
      <c r="BM77" s="27">
        <f t="shared" ref="BM77:BP77" si="743">BM75+BM63</f>
        <v>3052.528714340518</v>
      </c>
      <c r="BN77" s="27">
        <f t="shared" si="743"/>
        <v>2799.429858156539</v>
      </c>
      <c r="BO77" s="27">
        <f t="shared" si="743"/>
        <v>2858.589297121548</v>
      </c>
      <c r="BP77" s="27">
        <f t="shared" si="743"/>
        <v>11567.659035455026</v>
      </c>
      <c r="BQ77" s="27"/>
      <c r="BR77" s="27">
        <f>BR75+BR63</f>
        <v>3020.6012013219861</v>
      </c>
      <c r="BS77" s="27">
        <f t="shared" ref="BS77:BV77" si="744">BS75+BS63</f>
        <v>3227.7633412220389</v>
      </c>
      <c r="BT77" s="27">
        <f t="shared" si="744"/>
        <v>2971.2800269048944</v>
      </c>
      <c r="BU77" s="27">
        <f t="shared" si="744"/>
        <v>3037.3171562562384</v>
      </c>
      <c r="BV77" s="27">
        <f t="shared" si="744"/>
        <v>12256.961725705156</v>
      </c>
      <c r="BW77" s="27"/>
      <c r="BX77" s="27">
        <f>BX75+BX63</f>
        <v>3190.9421082238032</v>
      </c>
      <c r="BY77" s="27">
        <f t="shared" ref="BY77:CB77" si="745">BY75+BY63</f>
        <v>3412.8556244730353</v>
      </c>
      <c r="BZ77" s="27">
        <f t="shared" si="745"/>
        <v>3152.8327511226335</v>
      </c>
      <c r="CA77" s="27">
        <f t="shared" si="745"/>
        <v>3226.1048524188964</v>
      </c>
      <c r="CB77" s="27">
        <f t="shared" si="745"/>
        <v>12982.735336238366</v>
      </c>
      <c r="CC77" s="27"/>
      <c r="CD77" s="27">
        <f>CD75+CD63</f>
        <v>3370.9081893416933</v>
      </c>
      <c r="CE77" s="27">
        <f t="shared" ref="CE77:CH77" si="746">CE75+CE63</f>
        <v>3603.1722881064129</v>
      </c>
      <c r="CF77" s="27">
        <f t="shared" si="746"/>
        <v>3339.447406755794</v>
      </c>
      <c r="CG77" s="27">
        <f t="shared" si="746"/>
        <v>3420.3304143841287</v>
      </c>
      <c r="CH77" s="27">
        <f t="shared" si="746"/>
        <v>13733.858298588031</v>
      </c>
      <c r="CI77" s="27"/>
      <c r="CJ77" s="27">
        <f>CJ75+CJ63</f>
        <v>3562.0481105366289</v>
      </c>
      <c r="CK77" s="27">
        <f t="shared" ref="CK77:CN77" si="747">CK75+CK63</f>
        <v>3811.1850283187396</v>
      </c>
      <c r="CL77" s="27">
        <f t="shared" si="747"/>
        <v>3543.7206550011679</v>
      </c>
      <c r="CM77" s="27">
        <f t="shared" si="747"/>
        <v>3632.6126592034107</v>
      </c>
      <c r="CN77" s="27">
        <f t="shared" si="747"/>
        <v>14549.566453059946</v>
      </c>
    </row>
    <row r="78" spans="1:92" s="10" customFormat="1" ht="12.95" customHeight="1" x14ac:dyDescent="0.25">
      <c r="A78" s="1" t="s">
        <v>4</v>
      </c>
      <c r="B78" s="41" t="s">
        <v>58</v>
      </c>
      <c r="C78" s="41"/>
      <c r="D78" s="42">
        <f>D77/D81</f>
        <v>1.2836682400539445</v>
      </c>
      <c r="E78" s="42">
        <f>E77/E81</f>
        <v>1.4869936177359759</v>
      </c>
      <c r="F78" s="42">
        <f>F77/F81</f>
        <v>1.9447058823529411</v>
      </c>
      <c r="G78" s="42">
        <f>G77/G81</f>
        <v>2.1604624999999986</v>
      </c>
      <c r="H78" s="42">
        <f>H77/H81</f>
        <v>6.8826114623016705</v>
      </c>
      <c r="I78" s="43"/>
      <c r="J78" s="42">
        <f>J77/J81</f>
        <v>2.8184868421052633</v>
      </c>
      <c r="K78" s="42">
        <f>K77/K81</f>
        <v>2.9752234359483616</v>
      </c>
      <c r="L78" s="42">
        <f>L77/L81</f>
        <v>2.8612145478812145</v>
      </c>
      <c r="M78" s="42">
        <f>M77/M81</f>
        <v>2.5502484683458131</v>
      </c>
      <c r="N78" s="42">
        <f>N77/N81</f>
        <v>11.208416138712906</v>
      </c>
      <c r="O78" s="43"/>
      <c r="P78" s="42">
        <f>P77/P81</f>
        <v>3.2498272287491363</v>
      </c>
      <c r="Q78" s="42">
        <f>Q77/Q81</f>
        <v>2.8267318094573373</v>
      </c>
      <c r="R78" s="42">
        <f>R77/R81</f>
        <v>2.6621525302922309</v>
      </c>
      <c r="S78" s="42">
        <f>S77/S81</f>
        <v>2.6506024096385543</v>
      </c>
      <c r="T78" s="42">
        <f>T77/T81</f>
        <v>11.403137669663316</v>
      </c>
      <c r="U78" s="43"/>
      <c r="V78" s="42">
        <f>V77/V81</f>
        <v>1.6530575213209944</v>
      </c>
      <c r="W78" s="42">
        <f>W77/W81</f>
        <v>1.2558384675499337</v>
      </c>
      <c r="X78" s="42">
        <f>X77/X81</f>
        <v>1.5226939970717424</v>
      </c>
      <c r="Y78" s="42">
        <f>Y77/Y81</f>
        <v>2.1219290263876252</v>
      </c>
      <c r="Z78" s="42">
        <f>Z77/Z81</f>
        <v>6.5537062574241203</v>
      </c>
      <c r="AA78" s="43"/>
      <c r="AB78" s="42">
        <f>AB77/AB81</f>
        <v>2.8726877040261156</v>
      </c>
      <c r="AC78" s="42">
        <f>AC77/AC81</f>
        <v>2.5991668176055063</v>
      </c>
      <c r="AD78" s="42">
        <f>AD77/AD81</f>
        <v>2.6570489408327247</v>
      </c>
      <c r="AE78" s="42">
        <f>AE77/AE81</f>
        <v>2.6870622926649466</v>
      </c>
      <c r="AF78" s="42">
        <f>AF77/AF81</f>
        <v>10.816428864475544</v>
      </c>
      <c r="AG78" s="43"/>
      <c r="AH78" s="42">
        <f>AH77/AH81</f>
        <v>2.8757198588147874</v>
      </c>
      <c r="AI78" s="42">
        <f>AI77/AI81</f>
        <v>3.1810522374087249</v>
      </c>
      <c r="AJ78" s="42">
        <f>AJ77/AJ81</f>
        <v>3.944649796227846</v>
      </c>
      <c r="AK78" s="42">
        <f>AK77/AK81</f>
        <v>3.860625839892494</v>
      </c>
      <c r="AL78" s="42">
        <f>AL77/AL81</f>
        <v>13.841620105146522</v>
      </c>
      <c r="AM78" s="43"/>
      <c r="AN78" s="42">
        <f>AN77/AN81</f>
        <v>4.907585675779746</v>
      </c>
      <c r="AO78" s="257">
        <f>AO77/AO81</f>
        <v>5.5514563106796118</v>
      </c>
      <c r="AP78" s="42">
        <f>AP77/AP81</f>
        <v>5.5208739758095975</v>
      </c>
      <c r="AQ78" s="257">
        <f>AQ77/AQ81</f>
        <v>5.2307692307692308</v>
      </c>
      <c r="AR78" s="257">
        <f>AR77/AR81</f>
        <v>21.207400194741968</v>
      </c>
      <c r="AS78" s="43"/>
      <c r="AT78" s="42">
        <f>AT77/AT81</f>
        <v>5.5987120144898377</v>
      </c>
      <c r="AU78" s="257">
        <f>AU77/AU81</f>
        <v>5.9918283963227781</v>
      </c>
      <c r="AV78" s="257">
        <f>AV77/AV81</f>
        <v>5.1736182453256632</v>
      </c>
      <c r="AW78" s="357">
        <f>AW77/AW81</f>
        <v>5.1070938522946268</v>
      </c>
      <c r="AX78" s="42">
        <f>AX77/AX81</f>
        <v>21.878616731371036</v>
      </c>
      <c r="AZ78" s="42">
        <f>AZ77/AZ81</f>
        <v>5.1976531928105132</v>
      </c>
      <c r="BA78" s="42">
        <f>BA77/BA81</f>
        <v>5.6001301111849759</v>
      </c>
      <c r="BB78" s="42">
        <f>BB77/BB81</f>
        <v>5.129991246161147</v>
      </c>
      <c r="BC78" s="42">
        <f>BC77/BC81</f>
        <v>5.2711151601237187</v>
      </c>
      <c r="BD78" s="42">
        <f>BD77/BD81</f>
        <v>21.199987287493283</v>
      </c>
      <c r="BF78" s="42">
        <f>BF77/BF81</f>
        <v>5.8293076819955605</v>
      </c>
      <c r="BG78" s="42">
        <f>BG77/BG81</f>
        <v>6.2833748304665304</v>
      </c>
      <c r="BH78" s="42">
        <f>BH77/BH81</f>
        <v>5.8010961113163253</v>
      </c>
      <c r="BI78" s="42">
        <f>BI77/BI81</f>
        <v>5.9806780567870206</v>
      </c>
      <c r="BJ78" s="42">
        <f>BJ77/BJ81</f>
        <v>23.894825876200414</v>
      </c>
      <c r="BL78" s="42">
        <f>BL77/BL81</f>
        <v>6.4219978503085295</v>
      </c>
      <c r="BM78" s="42">
        <f>BM77/BM81</f>
        <v>6.9370397265521966</v>
      </c>
      <c r="BN78" s="42">
        <f>BN77/BN81</f>
        <v>6.4329240590338053</v>
      </c>
      <c r="BO78" s="42">
        <f>BO77/BO81</f>
        <v>6.6430757266303271</v>
      </c>
      <c r="BP78" s="42">
        <f>BP77/BP81</f>
        <v>26.434153581468543</v>
      </c>
      <c r="BR78" s="42">
        <f>BR77/BR81</f>
        <v>7.0997795306663196</v>
      </c>
      <c r="BS78" s="42">
        <f>BS77/BS81</f>
        <v>7.6743904237440477</v>
      </c>
      <c r="BT78" s="42">
        <f>BT77/BT81</f>
        <v>7.1591358772104101</v>
      </c>
      <c r="BU78" s="42">
        <f>BU77/BU81</f>
        <v>7.4175384382020839</v>
      </c>
      <c r="BV78" s="42">
        <f>BV77/BV81</f>
        <v>29.348326540852181</v>
      </c>
      <c r="BX78" s="42">
        <f>BX77/BX81</f>
        <v>7.8998924363915553</v>
      </c>
      <c r="BY78" s="42">
        <f>BY77/BY81</f>
        <v>8.5671214738675445</v>
      </c>
      <c r="BZ78" s="42">
        <f>BZ77/BZ81</f>
        <v>8.0263329166134962</v>
      </c>
      <c r="CA78" s="42">
        <f>CA77/CA81</f>
        <v>8.3306870776604764</v>
      </c>
      <c r="CB78" s="42">
        <f>CB77/CB81</f>
        <v>32.818756291926313</v>
      </c>
      <c r="CD78" s="42">
        <f>CD77/CD81</f>
        <v>8.8313025657366833</v>
      </c>
      <c r="CE78" s="42">
        <f>CE77/CE81</f>
        <v>9.5792250592141617</v>
      </c>
      <c r="CF78" s="42">
        <f>CF77/CF81</f>
        <v>9.0450904841706183</v>
      </c>
      <c r="CG78" s="42">
        <f>CG77/CG81</f>
        <v>9.4417611046398022</v>
      </c>
      <c r="CH78" s="42">
        <f>CH77/CH81</f>
        <v>36.886747595751089</v>
      </c>
      <c r="CJ78" s="42">
        <f>CJ77/CJ81</f>
        <v>10.025152603299032</v>
      </c>
      <c r="CK78" s="42">
        <f>CK77/CK81</f>
        <v>10.940154133533838</v>
      </c>
      <c r="CL78" s="42">
        <f>CL77/CL81</f>
        <v>10.379291166040908</v>
      </c>
      <c r="CM78" s="42">
        <f>CM77/CM81</f>
        <v>10.860550088971427</v>
      </c>
      <c r="CN78" s="42">
        <f>CN77/CN81</f>
        <v>42.185563401858694</v>
      </c>
    </row>
    <row r="79" spans="1:92" ht="12.95" customHeight="1" x14ac:dyDescent="0.25">
      <c r="B79" s="14" t="s">
        <v>130</v>
      </c>
      <c r="D79" s="9"/>
      <c r="E79" s="9"/>
      <c r="F79" s="9"/>
      <c r="G79" s="9"/>
      <c r="H79" s="9"/>
      <c r="I79" s="6"/>
      <c r="J79" s="9">
        <f>J78/D78-1</f>
        <v>1.1956505225889362</v>
      </c>
      <c r="K79" s="9">
        <f t="shared" ref="K79" si="748">K78/E78-1</f>
        <v>1.0008313421535</v>
      </c>
      <c r="L79" s="9">
        <f t="shared" ref="L79" si="749">L78/F78-1</f>
        <v>0.47128394779130822</v>
      </c>
      <c r="M79" s="9">
        <f t="shared" ref="M79" si="750">M78/G78-1</f>
        <v>0.18041783569296599</v>
      </c>
      <c r="N79" s="9">
        <f t="shared" ref="N79" si="751">N78/H78-1</f>
        <v>0.62851211347685276</v>
      </c>
      <c r="O79" s="6"/>
      <c r="P79" s="9">
        <f>P78/J78-1</f>
        <v>0.15303970208414519</v>
      </c>
      <c r="Q79" s="9">
        <f t="shared" ref="Q79" si="752">Q78/K78-1</f>
        <v>-4.9909403339884695E-2</v>
      </c>
      <c r="R79" s="9">
        <f t="shared" ref="R79" si="753">R78/L78-1</f>
        <v>-6.9572558875877766E-2</v>
      </c>
      <c r="S79" s="9">
        <f t="shared" ref="S79" si="754">S78/M78-1</f>
        <v>3.9350652510276696E-2</v>
      </c>
      <c r="T79" s="9">
        <f t="shared" ref="T79" si="755">T78/N78-1</f>
        <v>1.7372796347010944E-2</v>
      </c>
      <c r="U79" s="6"/>
      <c r="V79" s="9">
        <f>V78/P78-1</f>
        <v>-0.49133987594864881</v>
      </c>
      <c r="W79" s="9">
        <f t="shared" ref="W79:Z79" si="756">W78/Q78-1</f>
        <v>-0.5557277618809463</v>
      </c>
      <c r="X79" s="9">
        <f t="shared" si="756"/>
        <v>-0.42802150524989169</v>
      </c>
      <c r="Y79" s="9">
        <f t="shared" si="756"/>
        <v>-0.19945404913557785</v>
      </c>
      <c r="Z79" s="9">
        <f t="shared" si="756"/>
        <v>-0.42527167107177244</v>
      </c>
      <c r="AA79" s="6"/>
      <c r="AB79" s="9">
        <f>AB78/V78-1</f>
        <v>0.73780262753983794</v>
      </c>
      <c r="AC79" s="9">
        <f t="shared" ref="AC79" si="757">AC78/W78-1</f>
        <v>1.0696665094805757</v>
      </c>
      <c r="AD79" s="9">
        <f t="shared" ref="AD79" si="758">AD78/X78-1</f>
        <v>0.74496579479687597</v>
      </c>
      <c r="AE79" s="9">
        <f t="shared" ref="AE79" si="759">AE78/Y78-1</f>
        <v>0.26632995696345474</v>
      </c>
      <c r="AF79" s="9">
        <f t="shared" ref="AF79" si="760">AF78/Z78-1</f>
        <v>0.65042930513136099</v>
      </c>
      <c r="AG79" s="6"/>
      <c r="AH79" s="9">
        <f>AH78/AB78-1</f>
        <v>1.0555114586323633E-3</v>
      </c>
      <c r="AI79" s="9">
        <f t="shared" ref="AI79" si="761">AI78/AC78-1</f>
        <v>0.22387382597446481</v>
      </c>
      <c r="AJ79" s="9">
        <f t="shared" ref="AJ79" si="762">AJ78/AD78-1</f>
        <v>0.48459809513015006</v>
      </c>
      <c r="AK79" s="9">
        <f t="shared" ref="AK79" si="763">AK78/AE78-1</f>
        <v>0.43674594014106116</v>
      </c>
      <c r="AL79" s="9">
        <f t="shared" ref="AL79" si="764">AL78/AF78-1</f>
        <v>0.2796848459482435</v>
      </c>
      <c r="AM79" s="6"/>
      <c r="AN79" s="9">
        <f>AN78/AH78-1</f>
        <v>0.70655902407767268</v>
      </c>
      <c r="AO79" s="241">
        <f t="shared" ref="AO79" si="765">AO78/AI78-1</f>
        <v>0.74516351708886441</v>
      </c>
      <c r="AP79" s="9">
        <f t="shared" ref="AP79" si="766">AP78/AJ78-1</f>
        <v>0.39958532721689233</v>
      </c>
      <c r="AQ79" s="241">
        <f t="shared" ref="AQ79" si="767">AQ78/AK78-1</f>
        <v>0.35490188578204496</v>
      </c>
      <c r="AR79" s="241">
        <f t="shared" ref="AR79" si="768">AR78/AL78-1</f>
        <v>0.53214725109069705</v>
      </c>
      <c r="AS79" s="6"/>
      <c r="AT79" s="9">
        <f>AT78/AN78-1</f>
        <v>0.14082817588309982</v>
      </c>
      <c r="AU79" s="241">
        <f t="shared" ref="AU79" si="769">AU78/AO78-1</f>
        <v>7.9325506857723216E-2</v>
      </c>
      <c r="AV79" s="241">
        <f t="shared" ref="AV79" si="770">AV78/AP78-1</f>
        <v>-6.2898688143485759E-2</v>
      </c>
      <c r="AW79" s="160">
        <f t="shared" ref="AW79:AX79" si="771">AW78/AQ78-1</f>
        <v>-2.3643822355439048E-2</v>
      </c>
      <c r="AX79" s="9">
        <f t="shared" si="771"/>
        <v>3.1650109417725059E-2</v>
      </c>
      <c r="AZ79" s="9">
        <f>AZ78/AT78-1</f>
        <v>-7.1634122391249555E-2</v>
      </c>
      <c r="BA79" s="9">
        <f t="shared" ref="BA79" si="772">BA78/AU78-1</f>
        <v>-6.5372079977822795E-2</v>
      </c>
      <c r="BB79" s="9">
        <f t="shared" ref="BB79" si="773">BB78/AV78-1</f>
        <v>-8.432589552569536E-3</v>
      </c>
      <c r="BC79" s="9">
        <f t="shared" ref="BC79:BD79" si="774">BC78/AW78-1</f>
        <v>3.211636844218102E-2</v>
      </c>
      <c r="BD79" s="9">
        <f t="shared" si="774"/>
        <v>-3.1017931901731632E-2</v>
      </c>
      <c r="BF79" s="9">
        <f>BF78/AZ78-1</f>
        <v>0.12152686332723461</v>
      </c>
      <c r="BG79" s="9">
        <f t="shared" ref="BG79" si="775">BG78/BA78-1</f>
        <v>0.12200515090121389</v>
      </c>
      <c r="BH79" s="9">
        <f t="shared" ref="BH79" si="776">BH78/BB78-1</f>
        <v>0.1308198850548481</v>
      </c>
      <c r="BI79" s="9">
        <f t="shared" ref="BI79" si="777">BI78/BC78-1</f>
        <v>0.13461343095502531</v>
      </c>
      <c r="BJ79" s="9">
        <f t="shared" ref="BJ79" si="778">BJ78/BD78-1</f>
        <v>0.12711510399333714</v>
      </c>
      <c r="BL79" s="9">
        <f>BL78/BF78-1</f>
        <v>0.10167419540120615</v>
      </c>
      <c r="BM79" s="9">
        <f t="shared" ref="BM79" si="779">BM78/BG78-1</f>
        <v>0.10403086139572748</v>
      </c>
      <c r="BN79" s="9">
        <f t="shared" ref="BN79" si="780">BN78/BH78-1</f>
        <v>0.10891526973410404</v>
      </c>
      <c r="BO79" s="9">
        <f t="shared" ref="BO79" si="781">BO78/BI78-1</f>
        <v>0.1107562827414863</v>
      </c>
      <c r="BP79" s="9">
        <f t="shared" ref="BP79" si="782">BP78/BJ78-1</f>
        <v>0.10627102781265019</v>
      </c>
      <c r="BR79" s="9">
        <f>BR78/BL78-1</f>
        <v>0.10554062710021417</v>
      </c>
      <c r="BS79" s="9">
        <f t="shared" ref="BS79" si="783">BS78/BM78-1</f>
        <v>0.1062918371895103</v>
      </c>
      <c r="BT79" s="9">
        <f t="shared" ref="BT79" si="784">BT78/BN78-1</f>
        <v>0.11288984783782419</v>
      </c>
      <c r="BU79" s="9">
        <f t="shared" ref="BU79" si="785">BU78/BO78-1</f>
        <v>0.11658194839886304</v>
      </c>
      <c r="BV79" s="9">
        <f t="shared" ref="BV79" si="786">BV78/BP78-1</f>
        <v>0.1102427187767645</v>
      </c>
      <c r="BX79" s="9">
        <f>BX78/BR78-1</f>
        <v>0.11269545797433289</v>
      </c>
      <c r="BY79" s="9">
        <f t="shared" ref="BY79" si="787">BY78/BS78-1</f>
        <v>0.11632598823242657</v>
      </c>
      <c r="BZ79" s="9">
        <f t="shared" ref="BZ79" si="788">BZ78/BT78-1</f>
        <v>0.12113152401026839</v>
      </c>
      <c r="CA79" s="9">
        <f t="shared" ref="CA79" si="789">CA78/BU78-1</f>
        <v>0.12310669463544133</v>
      </c>
      <c r="CB79" s="9">
        <f t="shared" ref="CB79" si="790">CB78/BV78-1</f>
        <v>0.11824966395420788</v>
      </c>
      <c r="CD79" s="9">
        <f>CD78/BX78-1</f>
        <v>0.11790162167961982</v>
      </c>
      <c r="CE79" s="9">
        <f t="shared" ref="CE79" si="791">CE78/BY78-1</f>
        <v>0.11813811540245522</v>
      </c>
      <c r="CF79" s="9">
        <f t="shared" ref="CF79" si="792">CF78/BZ78-1</f>
        <v>0.12692690150547103</v>
      </c>
      <c r="CG79" s="9">
        <f t="shared" ref="CG79" si="793">CG78/CA78-1</f>
        <v>0.13337123536410056</v>
      </c>
      <c r="CH79" s="9">
        <f t="shared" ref="CH79" si="794">CH78/CB78-1</f>
        <v>0.12395324392062768</v>
      </c>
      <c r="CJ79" s="9">
        <f>CJ78/CD78-1</f>
        <v>0.13518391298178356</v>
      </c>
      <c r="CK79" s="9">
        <f t="shared" ref="CK79" si="795">CK78/CE78-1</f>
        <v>0.14207089466079648</v>
      </c>
      <c r="CL79" s="9">
        <f t="shared" ref="CL79" si="796">CL78/CF78-1</f>
        <v>0.14750550966905318</v>
      </c>
      <c r="CM79" s="9">
        <f t="shared" ref="CM79" si="797">CM78/CG78-1</f>
        <v>0.15026740971389474</v>
      </c>
      <c r="CN79" s="9">
        <f t="shared" ref="CN79" si="798">CN78/CH78-1</f>
        <v>0.14365093567419773</v>
      </c>
    </row>
    <row r="80" spans="1:92" ht="12.95" customHeight="1" x14ac:dyDescent="0.25">
      <c r="B80" s="2" t="s">
        <v>52</v>
      </c>
      <c r="D80" s="23">
        <v>587.5</v>
      </c>
      <c r="E80" s="23">
        <v>590.20000000000005</v>
      </c>
      <c r="F80" s="23">
        <v>592.9</v>
      </c>
      <c r="G80" s="23">
        <v>596.4</v>
      </c>
      <c r="H80" s="243">
        <f>AVERAGE(D80:G80)</f>
        <v>591.75</v>
      </c>
      <c r="I80" s="21"/>
      <c r="J80" s="23">
        <v>598</v>
      </c>
      <c r="K80" s="23">
        <v>596.20000000000005</v>
      </c>
      <c r="L80" s="23">
        <v>592</v>
      </c>
      <c r="M80" s="23">
        <v>581.4</v>
      </c>
      <c r="N80" s="243">
        <f>AVERAGE(J80:M80)</f>
        <v>591.9</v>
      </c>
      <c r="O80" s="6"/>
      <c r="P80" s="23">
        <v>572.4</v>
      </c>
      <c r="Q80" s="23">
        <v>567.79999999999995</v>
      </c>
      <c r="R80" s="23">
        <v>556.29999999999995</v>
      </c>
      <c r="S80" s="23">
        <v>550.29999999999995</v>
      </c>
      <c r="T80" s="243">
        <f>AVERAGE(P80:S80)</f>
        <v>561.69999999999993</v>
      </c>
      <c r="U80" s="6"/>
      <c r="V80" s="23">
        <v>546.79999999999995</v>
      </c>
      <c r="W80" s="23">
        <v>545.92999999999995</v>
      </c>
      <c r="X80" s="23">
        <v>542.29999999999995</v>
      </c>
      <c r="Y80" s="23">
        <v>544.5</v>
      </c>
      <c r="Z80" s="243">
        <f>AVERAGE(V80:Y80)</f>
        <v>544.88249999999994</v>
      </c>
      <c r="AA80" s="27"/>
      <c r="AB80" s="23">
        <v>546.4</v>
      </c>
      <c r="AC80" s="23">
        <v>547.9</v>
      </c>
      <c r="AD80" s="23">
        <v>544</v>
      </c>
      <c r="AE80" s="23">
        <v>538.70000000000005</v>
      </c>
      <c r="AF80" s="243">
        <f>AVERAGE(AB80:AE80)</f>
        <v>544.25</v>
      </c>
      <c r="AG80" s="27"/>
      <c r="AH80" s="23">
        <v>534.5</v>
      </c>
      <c r="AI80" s="23">
        <v>531</v>
      </c>
      <c r="AJ80" s="23">
        <v>525</v>
      </c>
      <c r="AK80" s="23">
        <v>517.4</v>
      </c>
      <c r="AL80" s="243">
        <f>AVERAGE(AH80:AK80)</f>
        <v>526.97500000000002</v>
      </c>
      <c r="AM80" s="6"/>
      <c r="AN80" s="23">
        <v>516.20000000000005</v>
      </c>
      <c r="AO80" s="259">
        <v>512.9</v>
      </c>
      <c r="AP80" s="23">
        <v>509.8</v>
      </c>
      <c r="AQ80" s="259">
        <v>504.4</v>
      </c>
      <c r="AR80" s="243">
        <f>AVERAGE(AN80:AQ80)</f>
        <v>510.82499999999993</v>
      </c>
      <c r="AS80" s="6"/>
      <c r="AT80" s="23">
        <v>493.9</v>
      </c>
      <c r="AU80" s="312">
        <v>487.2</v>
      </c>
      <c r="AV80" s="312">
        <v>484.2</v>
      </c>
      <c r="AW80" s="164">
        <f>AW370</f>
        <v>481.97777777777776</v>
      </c>
      <c r="AX80" s="6">
        <f>AVERAGE(AT80:AW80)</f>
        <v>486.81944444444446</v>
      </c>
      <c r="AZ80" s="6">
        <f t="shared" ref="AZ80:BC80" si="799">AZ370</f>
        <v>477.81111111111107</v>
      </c>
      <c r="BA80" s="6">
        <f t="shared" si="799"/>
        <v>473.64444444444439</v>
      </c>
      <c r="BB80" s="6">
        <f t="shared" si="799"/>
        <v>469.4777777777777</v>
      </c>
      <c r="BC80" s="6">
        <f t="shared" si="799"/>
        <v>465.31111111111102</v>
      </c>
      <c r="BD80" s="6">
        <f>AVERAGE(AZ80:BC80)</f>
        <v>471.56111111111102</v>
      </c>
      <c r="BF80" s="6">
        <f t="shared" ref="BF80:BI80" si="800">BF370</f>
        <v>461.14444444444433</v>
      </c>
      <c r="BG80" s="6">
        <f t="shared" si="800"/>
        <v>456.97777777777765</v>
      </c>
      <c r="BH80" s="6">
        <f t="shared" si="800"/>
        <v>452.11666666666656</v>
      </c>
      <c r="BI80" s="6">
        <f t="shared" si="800"/>
        <v>447.25555555555547</v>
      </c>
      <c r="BJ80" s="6">
        <f>AVERAGE(BF80:BI80)</f>
        <v>454.37361111111102</v>
      </c>
      <c r="BL80" s="6">
        <f t="shared" ref="BL80:BO80" si="801">BL370</f>
        <v>442.39444444444439</v>
      </c>
      <c r="BM80" s="6">
        <f t="shared" si="801"/>
        <v>437.5333333333333</v>
      </c>
      <c r="BN80" s="6">
        <f t="shared" si="801"/>
        <v>432.67222222222222</v>
      </c>
      <c r="BO80" s="6">
        <f t="shared" si="801"/>
        <v>427.81111111111113</v>
      </c>
      <c r="BP80" s="6">
        <f>AVERAGE(BL80:BO80)</f>
        <v>435.10277777777776</v>
      </c>
      <c r="BR80" s="6">
        <f t="shared" ref="BR80:BU80" si="802">BR370</f>
        <v>422.95000000000005</v>
      </c>
      <c r="BS80" s="6">
        <f t="shared" si="802"/>
        <v>418.08888888888896</v>
      </c>
      <c r="BT80" s="6">
        <f t="shared" si="802"/>
        <v>412.53333333333342</v>
      </c>
      <c r="BU80" s="6">
        <f t="shared" si="802"/>
        <v>406.97777777777787</v>
      </c>
      <c r="BV80" s="6">
        <f>AVERAGE(BR80:BU80)</f>
        <v>415.1375000000001</v>
      </c>
      <c r="BX80" s="6">
        <f t="shared" ref="BX80:CA80" si="803">BX370</f>
        <v>401.42222222222233</v>
      </c>
      <c r="BY80" s="6">
        <f t="shared" si="803"/>
        <v>395.86666666666679</v>
      </c>
      <c r="BZ80" s="6">
        <f t="shared" si="803"/>
        <v>390.31111111111125</v>
      </c>
      <c r="CA80" s="6">
        <f t="shared" si="803"/>
        <v>384.7555555555557</v>
      </c>
      <c r="CB80" s="6">
        <f>AVERAGE(BX80:CA80)</f>
        <v>393.08888888888902</v>
      </c>
      <c r="CD80" s="6">
        <f t="shared" ref="CD80:CG80" si="804">CD370</f>
        <v>379.20000000000016</v>
      </c>
      <c r="CE80" s="6">
        <f t="shared" si="804"/>
        <v>373.64444444444462</v>
      </c>
      <c r="CF80" s="6">
        <f t="shared" si="804"/>
        <v>366.70000000000016</v>
      </c>
      <c r="CG80" s="6">
        <f t="shared" si="804"/>
        <v>359.7555555555557</v>
      </c>
      <c r="CH80" s="6">
        <f>AVERAGE(CD80:CG80)</f>
        <v>369.82500000000016</v>
      </c>
      <c r="CJ80" s="6">
        <f t="shared" ref="CJ80:CM80" si="805">CJ370</f>
        <v>352.81111111111125</v>
      </c>
      <c r="CK80" s="6">
        <f t="shared" si="805"/>
        <v>345.86666666666679</v>
      </c>
      <c r="CL80" s="6">
        <f t="shared" si="805"/>
        <v>338.92222222222233</v>
      </c>
      <c r="CM80" s="6">
        <f t="shared" si="805"/>
        <v>331.97777777777787</v>
      </c>
      <c r="CN80" s="6">
        <f>AVERAGE(CJ80:CM80)</f>
        <v>342.39444444444456</v>
      </c>
    </row>
    <row r="81" spans="1:92" ht="12.95" customHeight="1" x14ac:dyDescent="0.25">
      <c r="B81" s="2" t="s">
        <v>53</v>
      </c>
      <c r="D81" s="23">
        <v>593.20000000000005</v>
      </c>
      <c r="E81" s="23">
        <v>595.4</v>
      </c>
      <c r="F81" s="23">
        <v>600.1</v>
      </c>
      <c r="G81" s="23">
        <v>600</v>
      </c>
      <c r="H81" s="243">
        <f>AVERAGE(D81:G81)</f>
        <v>597.17499999999995</v>
      </c>
      <c r="I81" s="21"/>
      <c r="J81" s="23">
        <v>608</v>
      </c>
      <c r="K81" s="23">
        <v>604.20000000000005</v>
      </c>
      <c r="L81" s="23">
        <v>599.4</v>
      </c>
      <c r="M81" s="23">
        <v>587.6</v>
      </c>
      <c r="N81" s="243">
        <f>AVERAGE(J81:M81)</f>
        <v>599.79999999999995</v>
      </c>
      <c r="O81" s="6"/>
      <c r="P81" s="23">
        <v>578.79999999999995</v>
      </c>
      <c r="Q81" s="23">
        <v>573.1</v>
      </c>
      <c r="R81" s="23">
        <v>561.20000000000005</v>
      </c>
      <c r="S81" s="23">
        <v>556.1</v>
      </c>
      <c r="T81" s="243">
        <f>AVERAGE(P81:S81)</f>
        <v>567.30000000000007</v>
      </c>
      <c r="U81" s="6"/>
      <c r="V81" s="23">
        <v>551.1</v>
      </c>
      <c r="W81" s="23">
        <v>550.23</v>
      </c>
      <c r="X81" s="23">
        <v>546.4</v>
      </c>
      <c r="Y81" s="23">
        <v>549.5</v>
      </c>
      <c r="Z81" s="243">
        <f>AVERAGE(V81:Y81)</f>
        <v>549.3075</v>
      </c>
      <c r="AA81" s="27"/>
      <c r="AB81" s="23">
        <v>551.4</v>
      </c>
      <c r="AC81" s="23">
        <v>552.1</v>
      </c>
      <c r="AD81" s="23">
        <v>547.6</v>
      </c>
      <c r="AE81" s="23">
        <v>542.6</v>
      </c>
      <c r="AF81" s="243">
        <f>AVERAGE(AB81:AE81)</f>
        <v>548.42499999999995</v>
      </c>
      <c r="AG81" s="27"/>
      <c r="AH81" s="23">
        <v>538.29999999999995</v>
      </c>
      <c r="AI81" s="23">
        <v>534.1</v>
      </c>
      <c r="AJ81" s="23">
        <v>527.54999999999995</v>
      </c>
      <c r="AK81" s="23">
        <v>520.9</v>
      </c>
      <c r="AL81" s="243">
        <f>AVERAGE(AH81:AK81)</f>
        <v>530.21249999999998</v>
      </c>
      <c r="AM81" s="6"/>
      <c r="AN81" s="23">
        <v>519.4</v>
      </c>
      <c r="AO81" s="259">
        <v>515</v>
      </c>
      <c r="AP81" s="23">
        <v>512.6</v>
      </c>
      <c r="AQ81" s="259">
        <v>507</v>
      </c>
      <c r="AR81" s="243">
        <f>AVERAGE(AN81:AQ81)</f>
        <v>513.5</v>
      </c>
      <c r="AS81" s="6"/>
      <c r="AT81" s="23">
        <v>496.9</v>
      </c>
      <c r="AU81" s="312">
        <v>489.5</v>
      </c>
      <c r="AV81" s="312">
        <v>486.7</v>
      </c>
      <c r="AW81" s="164">
        <f>AW371</f>
        <v>484.47777777777776</v>
      </c>
      <c r="AX81" s="460">
        <f>AVERAGE(AT81:AW81)</f>
        <v>489.39444444444439</v>
      </c>
      <c r="AZ81" s="6">
        <f t="shared" ref="AZ81:BC81" si="806">AZ371</f>
        <v>480.31111111111107</v>
      </c>
      <c r="BA81" s="6">
        <f t="shared" si="806"/>
        <v>476.14444444444439</v>
      </c>
      <c r="BB81" s="6">
        <f t="shared" si="806"/>
        <v>471.9777777777777</v>
      </c>
      <c r="BC81" s="6">
        <f t="shared" si="806"/>
        <v>467.81111111111102</v>
      </c>
      <c r="BD81" s="6">
        <f>AVERAGE(AZ81:BC81)</f>
        <v>474.06111111111102</v>
      </c>
      <c r="BF81" s="6">
        <f t="shared" ref="BF81:BI81" si="807">BF371</f>
        <v>463.64444444444433</v>
      </c>
      <c r="BG81" s="6">
        <f t="shared" si="807"/>
        <v>459.47777777777765</v>
      </c>
      <c r="BH81" s="6">
        <f t="shared" si="807"/>
        <v>454.61666666666656</v>
      </c>
      <c r="BI81" s="6">
        <f t="shared" si="807"/>
        <v>449.75555555555547</v>
      </c>
      <c r="BJ81" s="6">
        <f>AVERAGE(BF81:BI81)</f>
        <v>456.87361111111102</v>
      </c>
      <c r="BL81" s="6">
        <f t="shared" ref="BL81:BO81" si="808">BL371</f>
        <v>444.89444444444439</v>
      </c>
      <c r="BM81" s="6">
        <f t="shared" si="808"/>
        <v>440.0333333333333</v>
      </c>
      <c r="BN81" s="6">
        <f t="shared" si="808"/>
        <v>435.17222222222222</v>
      </c>
      <c r="BO81" s="6">
        <f t="shared" si="808"/>
        <v>430.31111111111113</v>
      </c>
      <c r="BP81" s="6">
        <f>AVERAGE(BL81:BO81)</f>
        <v>437.60277777777776</v>
      </c>
      <c r="BR81" s="6">
        <f t="shared" ref="BR81:BU81" si="809">BR371</f>
        <v>425.45000000000005</v>
      </c>
      <c r="BS81" s="6">
        <f t="shared" si="809"/>
        <v>420.58888888888896</v>
      </c>
      <c r="BT81" s="6">
        <f t="shared" si="809"/>
        <v>415.03333333333342</v>
      </c>
      <c r="BU81" s="6">
        <f t="shared" si="809"/>
        <v>409.47777777777787</v>
      </c>
      <c r="BV81" s="6">
        <f>AVERAGE(BR81:BU81)</f>
        <v>417.6375000000001</v>
      </c>
      <c r="BX81" s="6">
        <f t="shared" ref="BX81:CA81" si="810">BX371</f>
        <v>403.92222222222233</v>
      </c>
      <c r="BY81" s="6">
        <f t="shared" si="810"/>
        <v>398.36666666666679</v>
      </c>
      <c r="BZ81" s="6">
        <f t="shared" si="810"/>
        <v>392.81111111111125</v>
      </c>
      <c r="CA81" s="6">
        <f t="shared" si="810"/>
        <v>387.2555555555557</v>
      </c>
      <c r="CB81" s="6">
        <f>AVERAGE(BX81:CA81)</f>
        <v>395.58888888888902</v>
      </c>
      <c r="CD81" s="6">
        <f t="shared" ref="CD81:CG81" si="811">CD371</f>
        <v>381.70000000000016</v>
      </c>
      <c r="CE81" s="6">
        <f t="shared" si="811"/>
        <v>376.14444444444462</v>
      </c>
      <c r="CF81" s="6">
        <f t="shared" si="811"/>
        <v>369.20000000000016</v>
      </c>
      <c r="CG81" s="6">
        <f t="shared" si="811"/>
        <v>362.2555555555557</v>
      </c>
      <c r="CH81" s="6">
        <f>AVERAGE(CD81:CG81)</f>
        <v>372.32500000000016</v>
      </c>
      <c r="CJ81" s="6">
        <f t="shared" ref="CJ81:CM81" si="812">CJ371</f>
        <v>355.31111111111125</v>
      </c>
      <c r="CK81" s="6">
        <f t="shared" si="812"/>
        <v>348.36666666666679</v>
      </c>
      <c r="CL81" s="6">
        <f t="shared" si="812"/>
        <v>341.42222222222233</v>
      </c>
      <c r="CM81" s="6">
        <f t="shared" si="812"/>
        <v>334.47777777777787</v>
      </c>
      <c r="CN81" s="6">
        <f>AVERAGE(CJ81:CM81)</f>
        <v>344.89444444444456</v>
      </c>
    </row>
    <row r="82" spans="1:92" ht="12.95" customHeight="1" x14ac:dyDescent="0.25"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609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</row>
    <row r="83" spans="1:92" ht="12.95" customHeight="1" x14ac:dyDescent="0.25">
      <c r="B83" s="2" t="s">
        <v>120</v>
      </c>
      <c r="D83" s="553">
        <v>0.77</v>
      </c>
      <c r="E83" s="553">
        <v>0.77</v>
      </c>
      <c r="F83" s="553">
        <v>0.78</v>
      </c>
      <c r="G83" s="553">
        <v>0.78</v>
      </c>
      <c r="H83" s="7">
        <f>SUM(D83:G83)</f>
        <v>3.1000000000000005</v>
      </c>
      <c r="J83" s="553">
        <v>0.78</v>
      </c>
      <c r="K83" s="553">
        <v>0.78</v>
      </c>
      <c r="L83" s="553">
        <v>0.86</v>
      </c>
      <c r="M83" s="553">
        <v>0.86</v>
      </c>
      <c r="N83" s="7">
        <f>SUM(J83:M83)</f>
        <v>3.28</v>
      </c>
      <c r="P83" s="553">
        <v>0.86</v>
      </c>
      <c r="Q83" s="553">
        <v>0.86</v>
      </c>
      <c r="R83" s="553">
        <v>1.03</v>
      </c>
      <c r="S83" s="553">
        <v>1.03</v>
      </c>
      <c r="T83" s="7">
        <f>SUM(P83:S83)</f>
        <v>3.7800000000000002</v>
      </c>
      <c r="V83" s="553">
        <v>1.03</v>
      </c>
      <c r="W83" s="553">
        <v>1.03</v>
      </c>
      <c r="X83" s="553">
        <v>1.03</v>
      </c>
      <c r="Y83" s="553">
        <v>1.03</v>
      </c>
      <c r="Z83" s="7">
        <f>SUM(V83:Y83)</f>
        <v>4.12</v>
      </c>
      <c r="AB83" s="553">
        <v>1.03</v>
      </c>
      <c r="AC83" s="553">
        <v>1.03</v>
      </c>
      <c r="AD83" s="553">
        <v>1.1100000000000001</v>
      </c>
      <c r="AE83" s="553">
        <v>1.1100000000000001</v>
      </c>
      <c r="AF83" s="7">
        <f>SUM(AB83:AE83)</f>
        <v>4.28</v>
      </c>
      <c r="AG83" s="7"/>
      <c r="AH83" s="553">
        <v>1.1100000000000001</v>
      </c>
      <c r="AI83" s="553">
        <v>1.1100000000000001</v>
      </c>
      <c r="AJ83" s="553">
        <v>1.2</v>
      </c>
      <c r="AK83" s="553">
        <v>1.2</v>
      </c>
      <c r="AL83" s="7">
        <f>SUM(AH83:AK83)</f>
        <v>4.62</v>
      </c>
      <c r="AM83" s="7"/>
      <c r="AN83" s="553">
        <v>1.2</v>
      </c>
      <c r="AO83" s="553">
        <v>1.2</v>
      </c>
      <c r="AP83" s="553">
        <v>1.3</v>
      </c>
      <c r="AQ83" s="553">
        <v>1.3</v>
      </c>
      <c r="AR83" s="258">
        <f>SUM(AN83:AQ83)</f>
        <v>5</v>
      </c>
      <c r="AS83" s="7"/>
      <c r="AT83" s="553">
        <v>1.3</v>
      </c>
      <c r="AU83" s="553">
        <v>1.3</v>
      </c>
      <c r="AV83" s="590">
        <v>1.41</v>
      </c>
      <c r="AW83" s="610">
        <v>1.41</v>
      </c>
      <c r="AX83" s="554">
        <f>SUM(AT83:AW83)</f>
        <v>5.42</v>
      </c>
      <c r="AY83" s="251"/>
      <c r="AZ83" s="552">
        <f>AW83</f>
        <v>1.41</v>
      </c>
      <c r="BA83" s="552">
        <f>AZ83</f>
        <v>1.41</v>
      </c>
      <c r="BB83" s="552">
        <f>BA83*(1+BB84)</f>
        <v>1.5227999999999999</v>
      </c>
      <c r="BC83" s="552">
        <f t="shared" ref="BC83" si="813">BB83</f>
        <v>1.5227999999999999</v>
      </c>
      <c r="BD83" s="258">
        <f>SUM(AZ83:BC83)</f>
        <v>5.8655999999999997</v>
      </c>
      <c r="BE83" s="251"/>
      <c r="BF83" s="552">
        <f>BC83</f>
        <v>1.5227999999999999</v>
      </c>
      <c r="BG83" s="552">
        <f>BF83</f>
        <v>1.5227999999999999</v>
      </c>
      <c r="BH83" s="552">
        <f>BG83*(1+BH84)</f>
        <v>1.6446240000000001</v>
      </c>
      <c r="BI83" s="552">
        <f t="shared" ref="BI83" si="814">BH83</f>
        <v>1.6446240000000001</v>
      </c>
      <c r="BJ83" s="258">
        <f>SUM(BF83:BI83)</f>
        <v>6.334848</v>
      </c>
      <c r="BK83" s="251"/>
      <c r="BL83" s="552">
        <f>BI83</f>
        <v>1.6446240000000001</v>
      </c>
      <c r="BM83" s="552">
        <f>BL83</f>
        <v>1.6446240000000001</v>
      </c>
      <c r="BN83" s="552">
        <f>BM83*(1+BN84)</f>
        <v>1.7761939200000003</v>
      </c>
      <c r="BO83" s="552">
        <f t="shared" ref="BO83" si="815">BN83</f>
        <v>1.7761939200000003</v>
      </c>
      <c r="BP83" s="258">
        <f>SUM(BL83:BO83)</f>
        <v>6.8416358400000004</v>
      </c>
      <c r="BQ83" s="251"/>
      <c r="BR83" s="552">
        <f>BO83</f>
        <v>1.7761939200000003</v>
      </c>
      <c r="BS83" s="552">
        <f>BR83</f>
        <v>1.7761939200000003</v>
      </c>
      <c r="BT83" s="552">
        <f>BS83*(1+BT84)</f>
        <v>1.9182894336000005</v>
      </c>
      <c r="BU83" s="552">
        <f t="shared" ref="BU83" si="816">BT83</f>
        <v>1.9182894336000005</v>
      </c>
      <c r="BV83" s="258">
        <f>SUM(BR83:BU83)</f>
        <v>7.3889667072000016</v>
      </c>
      <c r="BW83" s="251"/>
      <c r="BX83" s="552">
        <f>BU83</f>
        <v>1.9182894336000005</v>
      </c>
      <c r="BY83" s="552">
        <f>BX83</f>
        <v>1.9182894336000005</v>
      </c>
      <c r="BZ83" s="552">
        <f>BY83*(1+BZ84)</f>
        <v>2.0717525882880006</v>
      </c>
      <c r="CA83" s="552">
        <f t="shared" ref="CA83" si="817">BZ83</f>
        <v>2.0717525882880006</v>
      </c>
      <c r="CB83" s="258">
        <f>SUM(BX83:CA83)</f>
        <v>7.9800840437760021</v>
      </c>
      <c r="CC83" s="251"/>
      <c r="CD83" s="552">
        <f>CA83</f>
        <v>2.0717525882880006</v>
      </c>
      <c r="CE83" s="552">
        <f>CD83</f>
        <v>2.0717525882880006</v>
      </c>
      <c r="CF83" s="552">
        <f>CE83*(1+CF84)</f>
        <v>2.2374927953510406</v>
      </c>
      <c r="CG83" s="552">
        <f t="shared" ref="CG83" si="818">CF83</f>
        <v>2.2374927953510406</v>
      </c>
      <c r="CH83" s="258">
        <f>SUM(CD83:CG83)</f>
        <v>8.6184907672780824</v>
      </c>
      <c r="CI83" s="251"/>
      <c r="CJ83" s="552">
        <f>CG83</f>
        <v>2.2374927953510406</v>
      </c>
      <c r="CK83" s="552">
        <f>CJ83</f>
        <v>2.2374927953510406</v>
      </c>
      <c r="CL83" s="552">
        <f>CK83*(1+CL84)</f>
        <v>2.416492218979124</v>
      </c>
      <c r="CM83" s="552">
        <f t="shared" ref="CM83" si="819">CL83</f>
        <v>2.416492218979124</v>
      </c>
      <c r="CN83" s="258">
        <f>SUM(CJ83:CM83)</f>
        <v>9.3079700286603302</v>
      </c>
    </row>
    <row r="84" spans="1:92" ht="12.95" customHeight="1" x14ac:dyDescent="0.25">
      <c r="L84" s="551">
        <f>L83/K83-1</f>
        <v>0.10256410256410242</v>
      </c>
      <c r="R84" s="551">
        <f>R83/Q83-1</f>
        <v>0.19767441860465129</v>
      </c>
      <c r="AD84" s="551">
        <f>AD83/AC83-1</f>
        <v>7.7669902912621325E-2</v>
      </c>
      <c r="AJ84" s="551">
        <f>AJ83/AI83-1</f>
        <v>8.1081081081080919E-2</v>
      </c>
      <c r="AO84" s="251"/>
      <c r="AP84" s="551">
        <f>AP83/AO83-1</f>
        <v>8.3333333333333481E-2</v>
      </c>
      <c r="AQ84" s="251"/>
      <c r="AR84" s="251"/>
      <c r="AU84" s="251"/>
      <c r="AV84" s="551">
        <f>AV83/AU83-1</f>
        <v>8.4615384615384537E-2</v>
      </c>
      <c r="AW84" s="220"/>
      <c r="BB84" s="454">
        <v>0.08</v>
      </c>
      <c r="BH84" s="454">
        <v>0.08</v>
      </c>
      <c r="BN84" s="454">
        <v>0.08</v>
      </c>
      <c r="BT84" s="454">
        <v>0.08</v>
      </c>
      <c r="BZ84" s="454">
        <v>0.08</v>
      </c>
      <c r="CF84" s="454">
        <v>0.08</v>
      </c>
      <c r="CL84" s="454">
        <v>0.08</v>
      </c>
    </row>
    <row r="85" spans="1:92" ht="12.95" customHeight="1" x14ac:dyDescent="0.25">
      <c r="A85" s="1" t="s">
        <v>4</v>
      </c>
      <c r="B85" s="3" t="s">
        <v>87</v>
      </c>
      <c r="AO85" s="251"/>
      <c r="AQ85" s="251"/>
      <c r="AR85" s="251"/>
      <c r="AU85" s="251"/>
      <c r="AV85" s="251"/>
      <c r="AW85" s="220"/>
    </row>
    <row r="86" spans="1:92" ht="12.95" customHeight="1" x14ac:dyDescent="0.25">
      <c r="B86" s="2" t="s">
        <v>36</v>
      </c>
      <c r="D86" s="104">
        <f t="shared" ref="D86:G86" si="820">D165</f>
        <v>-204</v>
      </c>
      <c r="E86" s="104">
        <f t="shared" si="820"/>
        <v>-167</v>
      </c>
      <c r="F86" s="104">
        <f t="shared" si="820"/>
        <v>-195</v>
      </c>
      <c r="G86" s="104">
        <f t="shared" si="820"/>
        <v>-332</v>
      </c>
      <c r="H86" s="27">
        <f>SUM(D86:G86)</f>
        <v>-898</v>
      </c>
      <c r="I86" s="6"/>
      <c r="J86" s="104">
        <f t="shared" ref="J86:M86" si="821">J165</f>
        <v>-412</v>
      </c>
      <c r="K86" s="104">
        <f t="shared" si="821"/>
        <v>-233</v>
      </c>
      <c r="L86" s="104">
        <f t="shared" si="821"/>
        <v>-276</v>
      </c>
      <c r="M86" s="104">
        <f t="shared" si="821"/>
        <v>-355</v>
      </c>
      <c r="N86" s="27">
        <f>SUM(J86:M86)</f>
        <v>-1276</v>
      </c>
      <c r="O86" s="27"/>
      <c r="P86" s="104">
        <f t="shared" ref="P86:S86" si="822">P165</f>
        <v>-278</v>
      </c>
      <c r="Q86" s="104">
        <f t="shared" si="822"/>
        <v>-201</v>
      </c>
      <c r="R86" s="104">
        <f t="shared" si="822"/>
        <v>-244</v>
      </c>
      <c r="S86" s="104">
        <f t="shared" si="822"/>
        <v>-333</v>
      </c>
      <c r="T86" s="27">
        <f>SUM(P86:S86)</f>
        <v>-1056</v>
      </c>
      <c r="U86" s="27"/>
      <c r="V86" s="104">
        <f>V165</f>
        <v>-305</v>
      </c>
      <c r="W86" s="104">
        <f t="shared" ref="W86:Y86" si="823">W165</f>
        <v>-167</v>
      </c>
      <c r="X86" s="104">
        <f t="shared" si="823"/>
        <v>-214</v>
      </c>
      <c r="Y86" s="104">
        <f t="shared" si="823"/>
        <v>-292</v>
      </c>
      <c r="Z86" s="27">
        <f>SUM(V86:Y86)</f>
        <v>-978</v>
      </c>
      <c r="AA86" s="27"/>
      <c r="AB86" s="104">
        <f t="shared" ref="AB86:AE86" si="824">AB165</f>
        <v>-252</v>
      </c>
      <c r="AC86" s="104">
        <f t="shared" si="824"/>
        <v>-167</v>
      </c>
      <c r="AD86" s="104">
        <f t="shared" si="824"/>
        <v>-254</v>
      </c>
      <c r="AE86" s="104">
        <f t="shared" si="824"/>
        <v>-420</v>
      </c>
      <c r="AF86" s="27">
        <f>SUM(AB86:AE86)</f>
        <v>-1093</v>
      </c>
      <c r="AG86" s="27"/>
      <c r="AH86" s="104">
        <f t="shared" ref="AH86:AK86" si="825">AH165</f>
        <v>-346</v>
      </c>
      <c r="AI86" s="104">
        <f t="shared" si="825"/>
        <v>-240</v>
      </c>
      <c r="AJ86" s="104">
        <f t="shared" si="825"/>
        <v>-282</v>
      </c>
      <c r="AK86" s="104">
        <f t="shared" si="825"/>
        <v>-428</v>
      </c>
      <c r="AL86" s="27">
        <f>SUM(AH86:AK86)</f>
        <v>-1296</v>
      </c>
      <c r="AM86" s="27"/>
      <c r="AN86" s="104">
        <f t="shared" ref="AN86:AQ86" si="826">AN165</f>
        <v>-422</v>
      </c>
      <c r="AO86" s="104">
        <f t="shared" si="826"/>
        <v>-261</v>
      </c>
      <c r="AP86" s="104">
        <f t="shared" si="826"/>
        <v>-378</v>
      </c>
      <c r="AQ86" s="104">
        <f t="shared" si="826"/>
        <v>-536</v>
      </c>
      <c r="AR86" s="27">
        <f>SUM(AN86:AQ86)</f>
        <v>-1597</v>
      </c>
      <c r="AS86" s="27"/>
      <c r="AT86" s="104">
        <f t="shared" ref="AT86:AW86" si="827">AT165</f>
        <v>-500</v>
      </c>
      <c r="AU86" s="104">
        <f t="shared" si="827"/>
        <v>-341</v>
      </c>
      <c r="AV86" s="235">
        <f t="shared" si="827"/>
        <v>-444</v>
      </c>
      <c r="AW86" s="196">
        <f t="shared" si="827"/>
        <v>-647.79999999999995</v>
      </c>
      <c r="AX86" s="27">
        <f>SUM(AT86:AW86)</f>
        <v>-1932.8</v>
      </c>
      <c r="AY86" s="6"/>
      <c r="AZ86" s="104">
        <f t="shared" ref="AZ86:BC86" si="828">AZ165</f>
        <v>-541.14</v>
      </c>
      <c r="BA86" s="104">
        <f t="shared" si="828"/>
        <v>-386.30000000000007</v>
      </c>
      <c r="BB86" s="104">
        <f t="shared" si="828"/>
        <v>-491.12000000000012</v>
      </c>
      <c r="BC86" s="104">
        <f t="shared" si="828"/>
        <v>-709.16599999999994</v>
      </c>
      <c r="BD86" s="27">
        <f>SUM(AZ86:BC86)</f>
        <v>-2127.7260000000001</v>
      </c>
      <c r="BE86" s="6"/>
      <c r="BF86" s="104">
        <f t="shared" ref="BF86:BI86" si="829">BF165</f>
        <v>-584.02379999999994</v>
      </c>
      <c r="BG86" s="104">
        <f t="shared" si="829"/>
        <v>-433.65200000000004</v>
      </c>
      <c r="BH86" s="104">
        <f t="shared" si="829"/>
        <v>-540.4154000000002</v>
      </c>
      <c r="BI86" s="104">
        <f t="shared" si="829"/>
        <v>-773.46181999999999</v>
      </c>
      <c r="BJ86" s="27">
        <f>SUM(BF86:BI86)</f>
        <v>-2331.5530200000003</v>
      </c>
      <c r="BK86" s="6"/>
      <c r="BL86" s="104">
        <f t="shared" ref="BL86:BO86" si="830">BL165</f>
        <v>-623.46717600000011</v>
      </c>
      <c r="BM86" s="104">
        <f t="shared" si="830"/>
        <v>-473.42406500000016</v>
      </c>
      <c r="BN86" s="104">
        <f t="shared" si="830"/>
        <v>-581.10345800000005</v>
      </c>
      <c r="BO86" s="104">
        <f t="shared" si="830"/>
        <v>-826.2421889000002</v>
      </c>
      <c r="BP86" s="27">
        <f>SUM(BL86:BO86)</f>
        <v>-2504.2368879000005</v>
      </c>
      <c r="BQ86" s="6"/>
      <c r="BR86" s="104">
        <f t="shared" ref="BR86:BU86" si="831">BR165</f>
        <v>-660.65651952000007</v>
      </c>
      <c r="BS86" s="104">
        <f t="shared" si="831"/>
        <v>-510.45254630000011</v>
      </c>
      <c r="BT86" s="104">
        <f t="shared" si="831"/>
        <v>-618.30552716000022</v>
      </c>
      <c r="BU86" s="104">
        <f t="shared" si="831"/>
        <v>-869.12703267800021</v>
      </c>
      <c r="BV86" s="27">
        <f>SUM(BR86:BU86)</f>
        <v>-2658.5416256580002</v>
      </c>
      <c r="BW86" s="6"/>
      <c r="BX86" s="104">
        <f t="shared" ref="BX86:CA86" si="832">BX165</f>
        <v>-678.58964991040011</v>
      </c>
      <c r="BY86" s="104">
        <f t="shared" si="832"/>
        <v>-528.22159722600009</v>
      </c>
      <c r="BZ86" s="104">
        <f t="shared" si="832"/>
        <v>-636.25163770320012</v>
      </c>
      <c r="CA86" s="104">
        <f t="shared" si="832"/>
        <v>-892.86957333156033</v>
      </c>
      <c r="CB86" s="27">
        <f>SUM(BX86:CA86)</f>
        <v>-2735.9324581711608</v>
      </c>
      <c r="CC86" s="6"/>
      <c r="CD86" s="104">
        <f t="shared" ref="CD86:CG86" si="833">CD165</f>
        <v>-696.88144290860805</v>
      </c>
      <c r="CE86" s="104">
        <f t="shared" si="833"/>
        <v>-546.34602917051996</v>
      </c>
      <c r="CF86" s="104">
        <f t="shared" si="833"/>
        <v>-654.5566704572642</v>
      </c>
      <c r="CG86" s="104">
        <f t="shared" si="833"/>
        <v>-917.08696479819173</v>
      </c>
      <c r="CH86" s="27">
        <f>SUM(CD86:CG86)</f>
        <v>-2814.8711073345839</v>
      </c>
      <c r="CI86" s="6"/>
      <c r="CJ86" s="104">
        <f t="shared" ref="CJ86:CM86" si="834">CJ165</f>
        <v>-715.53907176678024</v>
      </c>
      <c r="CK86" s="104">
        <f t="shared" si="834"/>
        <v>-564.83294975393051</v>
      </c>
      <c r="CL86" s="104">
        <f t="shared" si="834"/>
        <v>-673.22780386640943</v>
      </c>
      <c r="CM86" s="104">
        <f t="shared" si="834"/>
        <v>-941.78870409415549</v>
      </c>
      <c r="CN86" s="27">
        <f>SUM(CJ86:CM86)</f>
        <v>-2895.3885294812758</v>
      </c>
    </row>
    <row r="87" spans="1:92" ht="12.95" customHeight="1" x14ac:dyDescent="0.25">
      <c r="B87" s="14" t="s">
        <v>37</v>
      </c>
      <c r="D87" s="9">
        <f>-D86/D9</f>
        <v>2.0769700671960906E-2</v>
      </c>
      <c r="E87" s="9">
        <f>-E86/E9</f>
        <v>1.4738328479392816E-2</v>
      </c>
      <c r="F87" s="9">
        <f>-F86/F9</f>
        <v>1.7085779374397616E-2</v>
      </c>
      <c r="G87" s="9">
        <f>-G86/G9</f>
        <v>2.5744416873449132E-2</v>
      </c>
      <c r="H87" s="9">
        <f>-H86/H9</f>
        <v>1.9752760547270248E-2</v>
      </c>
      <c r="J87" s="9">
        <f>-J86/J9</f>
        <v>3.2039816470954198E-2</v>
      </c>
      <c r="K87" s="9">
        <f>-K86/K9</f>
        <v>1.6629790878595389E-2</v>
      </c>
      <c r="L87" s="9">
        <f>-L86/L9</f>
        <v>2.0429311621021466E-2</v>
      </c>
      <c r="M87" s="9">
        <f>-M86/M9</f>
        <v>2.4752475247524754E-2</v>
      </c>
      <c r="N87" s="9">
        <f>-N86/N9</f>
        <v>2.3317861189284018E-2</v>
      </c>
      <c r="P87" s="9">
        <f>-P86/P9</f>
        <v>2.0644586365661667E-2</v>
      </c>
      <c r="Q87" s="9">
        <f>-Q86/Q9</f>
        <v>1.3927383592017738E-2</v>
      </c>
      <c r="R87" s="9">
        <f>-R86/R9</f>
        <v>1.912525474212259E-2</v>
      </c>
      <c r="S87" s="9">
        <f>-S86/S9</f>
        <v>2.5334753499695679E-2</v>
      </c>
      <c r="T87" s="9">
        <f>-T86/T9</f>
        <v>1.9628252788104088E-2</v>
      </c>
      <c r="V87" s="9">
        <f>-V86/V9</f>
        <v>2.8678890456041373E-2</v>
      </c>
      <c r="W87" s="9">
        <f>-W86/W9</f>
        <v>1.6705011503451037E-2</v>
      </c>
      <c r="X87" s="9">
        <f>-X86/X9</f>
        <v>2.1657726950713489E-2</v>
      </c>
      <c r="Y87" s="9">
        <f>-Y86/Y9</f>
        <v>2.5990209167779263E-2</v>
      </c>
      <c r="Z87" s="9">
        <f>-Z86/Z9</f>
        <v>2.3426271917217592E-2</v>
      </c>
      <c r="AB87" s="9">
        <f>-AB86/AB9</f>
        <v>2.1199629847732819E-2</v>
      </c>
      <c r="AC87" s="9">
        <f>-AC86/AC9</f>
        <v>1.2956784855302972E-2</v>
      </c>
      <c r="AD87" s="9">
        <f>-AD86/AD9</f>
        <v>2.0488827942244093E-2</v>
      </c>
      <c r="AE87" s="9">
        <f>-AE86/AE9</f>
        <v>3.0439194086099436E-2</v>
      </c>
      <c r="AF87" s="9">
        <f>-AF86/AF9</f>
        <v>2.1443565949265268E-2</v>
      </c>
      <c r="AG87" s="8"/>
      <c r="AH87" s="9">
        <f>-AH86/AH9</f>
        <v>2.5461770549709325E-2</v>
      </c>
      <c r="AI87" s="9">
        <f>-AI86/AI9</f>
        <v>1.684565171615077E-2</v>
      </c>
      <c r="AJ87" s="9">
        <f>-AJ86/AJ9</f>
        <v>1.8807523009203683E-2</v>
      </c>
      <c r="AK87" s="9">
        <f>-AK86/AK9</f>
        <v>2.5787792974633971E-2</v>
      </c>
      <c r="AL87" s="9">
        <f>-AL86/AL9</f>
        <v>2.1808268968650613E-2</v>
      </c>
      <c r="AM87" s="8"/>
      <c r="AN87" s="9">
        <f>-AN86/AN9</f>
        <v>2.6604463497667381E-2</v>
      </c>
      <c r="AO87" s="9">
        <f>-AO86/AO9</f>
        <v>1.5071024367709898E-2</v>
      </c>
      <c r="AP87" s="9">
        <f>-AP86/AP9</f>
        <v>2.2486615110053541E-2</v>
      </c>
      <c r="AQ87" s="9">
        <f>-AQ86/AQ9</f>
        <v>3.1400117164616284E-2</v>
      </c>
      <c r="AR87" s="9">
        <f>-AR86/AR9</f>
        <v>2.3814494482552937E-2</v>
      </c>
      <c r="AS87" s="8"/>
      <c r="AT87" s="9">
        <f>-AT86/AT9</f>
        <v>3.1647572631179191E-2</v>
      </c>
      <c r="AU87" s="9">
        <f>-AU86/AU9</f>
        <v>2.0432620288812989E-2</v>
      </c>
      <c r="AV87" s="241">
        <f>-AV86/AV9</f>
        <v>2.7567366198932075E-2</v>
      </c>
      <c r="AW87" s="562">
        <f>-AW86/AW9</f>
        <v>3.8820057229321782E-2</v>
      </c>
      <c r="AX87" s="9">
        <f>-AX86/AX9</f>
        <v>2.9607276208712303E-2</v>
      </c>
      <c r="AZ87" s="241">
        <f>-AZ86/AZ9</f>
        <v>3.515254270318726E-2</v>
      </c>
      <c r="BA87" s="9">
        <f>-BA86/BA9</f>
        <v>2.3485852555294808E-2</v>
      </c>
      <c r="BB87" s="9">
        <f>-BB86/BB9</f>
        <v>3.0349977660211518E-2</v>
      </c>
      <c r="BC87" s="9">
        <f>-BC86/BC9</f>
        <v>4.1829856099162975E-2</v>
      </c>
      <c r="BD87" s="9">
        <f>-BD86/BD9</f>
        <v>3.2745468025738571E-2</v>
      </c>
      <c r="BF87" s="241">
        <f>-BF86/BF9</f>
        <v>3.6226144180013596E-2</v>
      </c>
      <c r="BG87" s="9">
        <f>-BG86/BG9</f>
        <v>2.5175181960688273E-2</v>
      </c>
      <c r="BH87" s="9">
        <f>-BH86/BH9</f>
        <v>3.1892850481662786E-2</v>
      </c>
      <c r="BI87" s="9">
        <f>-BI86/BI9</f>
        <v>4.3577717080722257E-2</v>
      </c>
      <c r="BJ87" s="9">
        <f>-BJ86/BJ9</f>
        <v>3.4267020334740154E-2</v>
      </c>
      <c r="BL87" s="241">
        <f>-BL86/BL9</f>
        <v>3.7153810704061575E-2</v>
      </c>
      <c r="BM87" s="9">
        <f>-BM86/BM9</f>
        <v>2.6398936247019274E-2</v>
      </c>
      <c r="BN87" s="9">
        <f>-BN86/BN9</f>
        <v>3.294356631750775E-2</v>
      </c>
      <c r="BO87" s="9">
        <f>-BO86/BO9</f>
        <v>4.4708131611489232E-2</v>
      </c>
      <c r="BP87" s="9">
        <f>-BP86/BP9</f>
        <v>3.53534387247025E-2</v>
      </c>
      <c r="BR87" s="241">
        <f>-BR86/BR9</f>
        <v>3.7821183351811852E-2</v>
      </c>
      <c r="BS87" s="9">
        <f>-BS86/BS9</f>
        <v>2.7338059975001557E-2</v>
      </c>
      <c r="BT87" s="9">
        <f>-BT86/BT9</f>
        <v>3.3670004951691042E-2</v>
      </c>
      <c r="BU87" s="9">
        <f>-BU86/BU9</f>
        <v>4.5163285390043675E-2</v>
      </c>
      <c r="BV87" s="9">
        <f>-BV86/BV9</f>
        <v>3.6049216530811931E-2</v>
      </c>
      <c r="BX87" s="241">
        <f>-BX86/BX9</f>
        <v>3.7317088692327631E-2</v>
      </c>
      <c r="BY87" s="9">
        <f>-BY86/BY9</f>
        <v>2.7169158955000858E-2</v>
      </c>
      <c r="BZ87" s="9">
        <f>-BZ86/BZ9</f>
        <v>3.3278469709512475E-2</v>
      </c>
      <c r="CA87" s="9">
        <f>-CA86/CA9</f>
        <v>4.4553632841992021E-2</v>
      </c>
      <c r="CB87" s="9">
        <f>-CB86/CB9</f>
        <v>3.5630742881899068E-2</v>
      </c>
      <c r="CD87" s="241">
        <f>-CD86/CD9</f>
        <v>3.6810539528170566E-2</v>
      </c>
      <c r="CE87" s="9">
        <f>-CE86/CE9</f>
        <v>2.6986538000229914E-2</v>
      </c>
      <c r="CF87" s="9">
        <f>-CF86/CF9</f>
        <v>3.288120088483467E-2</v>
      </c>
      <c r="CG87" s="9">
        <f>-CG86/CG9</f>
        <v>4.3940836639253182E-2</v>
      </c>
      <c r="CH87" s="9">
        <f>-CH86/CH9</f>
        <v>3.5205969768185956E-2</v>
      </c>
      <c r="CJ87" s="241">
        <f>-CJ86/CJ9</f>
        <v>3.6302048074495753E-2</v>
      </c>
      <c r="CK87" s="9">
        <f>-CK86/CK9</f>
        <v>2.6791096376526203E-2</v>
      </c>
      <c r="CL87" s="9">
        <f>-CL86/CL9</f>
        <v>3.2478814130079088E-2</v>
      </c>
      <c r="CM87" s="9">
        <f>-CM86/CM9</f>
        <v>4.3325543214741497E-2</v>
      </c>
      <c r="CN87" s="9">
        <f>-CN86/CN9</f>
        <v>3.4775567092567336E-2</v>
      </c>
    </row>
    <row r="88" spans="1:92" ht="12.95" customHeight="1" x14ac:dyDescent="0.25">
      <c r="B88" s="2" t="s">
        <v>558</v>
      </c>
      <c r="D88" s="6">
        <f>(D100)/D9*D5</f>
        <v>59.862553451435552</v>
      </c>
      <c r="E88" s="6">
        <f t="shared" ref="E88:H88" si="835">(E100)/E9*E5</f>
        <v>53.607360338893301</v>
      </c>
      <c r="F88" s="6">
        <f t="shared" si="835"/>
        <v>53.936037851572763</v>
      </c>
      <c r="G88" s="6">
        <f t="shared" si="835"/>
        <v>53.048387096774199</v>
      </c>
      <c r="H88" s="6">
        <f t="shared" si="835"/>
        <v>59.701288988605867</v>
      </c>
      <c r="J88" s="6">
        <f>(J100)/J9*J5</f>
        <v>55.250019441636205</v>
      </c>
      <c r="K88" s="6">
        <f t="shared" ref="K88:N88" si="836">(K100)/K9*K5</f>
        <v>51.900720862179718</v>
      </c>
      <c r="L88" s="6">
        <f t="shared" si="836"/>
        <v>54.301110288675055</v>
      </c>
      <c r="M88" s="6">
        <f t="shared" si="836"/>
        <v>56.462418072793191</v>
      </c>
      <c r="N88" s="6">
        <f t="shared" si="836"/>
        <v>58.710025218376529</v>
      </c>
      <c r="P88" s="6">
        <f>(P100)/P9*P5</f>
        <v>59.890836180008911</v>
      </c>
      <c r="Q88" s="6">
        <f t="shared" ref="Q88:T88" si="837">(Q100)/Q9*Q5</f>
        <v>56.723669623059862</v>
      </c>
      <c r="R88" s="6">
        <f t="shared" si="837"/>
        <v>59.672362439253803</v>
      </c>
      <c r="S88" s="6">
        <f t="shared" si="837"/>
        <v>59.970785149117468</v>
      </c>
      <c r="T88" s="6">
        <f t="shared" si="837"/>
        <v>58.128624535315986</v>
      </c>
      <c r="V88" s="6">
        <f>(V100)/V9*V5</f>
        <v>67.032816173013643</v>
      </c>
      <c r="W88" s="6">
        <f t="shared" ref="W88:Z88" si="838">(W100)/W9*W5</f>
        <v>64.938881664499348</v>
      </c>
      <c r="X88" s="6">
        <f t="shared" si="838"/>
        <v>64.886954761663802</v>
      </c>
      <c r="Y88" s="6">
        <f t="shared" si="838"/>
        <v>59.91668891855808</v>
      </c>
      <c r="Z88" s="6">
        <f t="shared" si="838"/>
        <v>64.147312446105204</v>
      </c>
      <c r="AB88" s="6">
        <f>(AB100)/AB9*AB5</f>
        <v>60.229662656683772</v>
      </c>
      <c r="AC88" s="6">
        <f t="shared" ref="AC88:AF88" si="839">(AC100)/AC9*AC5</f>
        <v>55.35262627046319</v>
      </c>
      <c r="AD88" s="6">
        <f t="shared" si="839"/>
        <v>56.749536178107611</v>
      </c>
      <c r="AE88" s="6">
        <f t="shared" si="839"/>
        <v>56.521524858675178</v>
      </c>
      <c r="AF88" s="6">
        <f t="shared" si="839"/>
        <v>60.703243020541088</v>
      </c>
      <c r="AG88" s="35"/>
      <c r="AH88" s="6">
        <f>(AH100)/AH9*AH5</f>
        <v>60.501140628449477</v>
      </c>
      <c r="AI88" s="6">
        <f t="shared" ref="AI88:AL88" si="840">(AI100)/AI9*AI5</f>
        <v>53.608689548676914</v>
      </c>
      <c r="AJ88" s="6">
        <f t="shared" si="840"/>
        <v>50.055755635587573</v>
      </c>
      <c r="AK88" s="6">
        <f t="shared" si="840"/>
        <v>49.090317527263963</v>
      </c>
      <c r="AL88" s="6">
        <f t="shared" si="840"/>
        <v>54.393457519309401</v>
      </c>
      <c r="AM88" s="35"/>
      <c r="AN88" s="6">
        <f>(AN100)/AN9*AN5</f>
        <v>52.370445088891692</v>
      </c>
      <c r="AO88" s="6">
        <f t="shared" ref="AO88:AR88" si="841">(AO100)/AO9*AO5</f>
        <v>49.477768795472919</v>
      </c>
      <c r="AP88" s="6">
        <f t="shared" si="841"/>
        <v>49.989767995240932</v>
      </c>
      <c r="AQ88" s="6">
        <f t="shared" si="841"/>
        <v>50.176918570591674</v>
      </c>
      <c r="AR88" s="6">
        <f t="shared" si="841"/>
        <v>50.67327766179541</v>
      </c>
      <c r="AS88" s="35"/>
      <c r="AT88" s="6">
        <f>(AT100)/AT9*AT5</f>
        <v>53.543642002658402</v>
      </c>
      <c r="AU88" s="6">
        <f t="shared" ref="AU88:AX88" si="842">(AU100)/AU9*AU5</f>
        <v>51.369824435256753</v>
      </c>
      <c r="AV88" s="243">
        <f t="shared" si="842"/>
        <v>51.900658139823669</v>
      </c>
      <c r="AW88" s="611">
        <f>AQ88</f>
        <v>50.176918570591674</v>
      </c>
      <c r="AX88" s="6">
        <f t="shared" si="842"/>
        <v>51.026238657424734</v>
      </c>
      <c r="AZ88" s="566">
        <f>AT88</f>
        <v>53.543642002658402</v>
      </c>
      <c r="BA88" s="566">
        <f t="shared" ref="BA88:BC96" si="843">AU88</f>
        <v>51.369824435256753</v>
      </c>
      <c r="BB88" s="566">
        <f t="shared" si="843"/>
        <v>51.900658139823669</v>
      </c>
      <c r="BC88" s="566">
        <f t="shared" si="843"/>
        <v>50.176918570591674</v>
      </c>
      <c r="BD88" s="6">
        <f t="shared" ref="BD88" si="844">(BD100)/BD9*BD5</f>
        <v>51.940492241087838</v>
      </c>
      <c r="BF88" s="566">
        <f>AZ88</f>
        <v>53.543642002658402</v>
      </c>
      <c r="BG88" s="566">
        <f t="shared" ref="BG88:BG96" si="845">BA88</f>
        <v>51.369824435256753</v>
      </c>
      <c r="BH88" s="566">
        <f t="shared" ref="BH88:BH96" si="846">BB88</f>
        <v>51.900658139823669</v>
      </c>
      <c r="BI88" s="566">
        <f t="shared" ref="BI88:BI96" si="847">BC88</f>
        <v>50.176918570591674</v>
      </c>
      <c r="BJ88" s="6">
        <f t="shared" ref="BJ88" si="848">(BJ100)/BJ9*BJ5</f>
        <v>51.929540110421819</v>
      </c>
      <c r="BL88" s="566">
        <f>BF88</f>
        <v>53.543642002658402</v>
      </c>
      <c r="BM88" s="566">
        <f t="shared" ref="BM88:BM96" si="849">BG88</f>
        <v>51.369824435256753</v>
      </c>
      <c r="BN88" s="566">
        <f t="shared" ref="BN88:BN96" si="850">BH88</f>
        <v>51.900658139823669</v>
      </c>
      <c r="BO88" s="566">
        <f t="shared" ref="BO88:BO96" si="851">BI88</f>
        <v>50.176918570591674</v>
      </c>
      <c r="BP88" s="6">
        <f t="shared" ref="BP88" si="852">(BP100)/BP9*BP5</f>
        <v>51.938107940200446</v>
      </c>
      <c r="BR88" s="566">
        <f>BL88</f>
        <v>53.543642002658402</v>
      </c>
      <c r="BS88" s="566">
        <f t="shared" ref="BS88:BS96" si="853">BM88</f>
        <v>51.369824435256753</v>
      </c>
      <c r="BT88" s="566">
        <f t="shared" ref="BT88:BT96" si="854">BN88</f>
        <v>51.900658139823669</v>
      </c>
      <c r="BU88" s="566">
        <f t="shared" ref="BU88:BU96" si="855">BO88</f>
        <v>50.176918570591674</v>
      </c>
      <c r="BV88" s="6">
        <f t="shared" ref="BV88" si="856">(BV100)/BV9*BV5</f>
        <v>52.08915859297241</v>
      </c>
      <c r="BX88" s="566">
        <f>BR88</f>
        <v>53.543642002658402</v>
      </c>
      <c r="BY88" s="566">
        <f t="shared" ref="BY88:BY96" si="857">BS88</f>
        <v>51.369824435256753</v>
      </c>
      <c r="BZ88" s="566">
        <f t="shared" ref="BZ88:BZ96" si="858">BT88</f>
        <v>51.900658139823669</v>
      </c>
      <c r="CA88" s="566">
        <f t="shared" ref="CA88:CA96" si="859">BU88</f>
        <v>50.176918570591674</v>
      </c>
      <c r="CB88" s="6">
        <f t="shared" ref="CB88" si="860">(CB100)/CB9*CB5</f>
        <v>51.955727676728216</v>
      </c>
      <c r="CD88" s="566">
        <f>BX88</f>
        <v>53.543642002658402</v>
      </c>
      <c r="CE88" s="566">
        <f t="shared" ref="CE88:CE96" si="861">BY88</f>
        <v>51.369824435256753</v>
      </c>
      <c r="CF88" s="566">
        <f t="shared" ref="CF88:CF96" si="862">BZ88</f>
        <v>51.900658139823669</v>
      </c>
      <c r="CG88" s="566">
        <f t="shared" ref="CG88:CG96" si="863">CA88</f>
        <v>50.176918570591674</v>
      </c>
      <c r="CH88" s="6">
        <f t="shared" ref="CH88" si="864">(CH100)/CH9*CH5</f>
        <v>51.964771453678289</v>
      </c>
      <c r="CJ88" s="566">
        <f>CD88</f>
        <v>53.543642002658402</v>
      </c>
      <c r="CK88" s="566">
        <f t="shared" ref="CK88:CK96" si="865">CE88</f>
        <v>51.369824435256753</v>
      </c>
      <c r="CL88" s="566">
        <f t="shared" ref="CL88:CL96" si="866">CF88</f>
        <v>51.900658139823669</v>
      </c>
      <c r="CM88" s="566">
        <f t="shared" ref="CM88:CM96" si="867">CG88</f>
        <v>50.176918570591674</v>
      </c>
      <c r="CN88" s="6">
        <f t="shared" ref="CN88" si="868">(CN100)/CN9*CN5</f>
        <v>51.973965786990448</v>
      </c>
    </row>
    <row r="89" spans="1:92" ht="12.95" customHeight="1" x14ac:dyDescent="0.25">
      <c r="B89" s="2" t="s">
        <v>559</v>
      </c>
      <c r="D89" s="6">
        <f>(D106)/D9*D5</f>
        <v>8.6499694563225411</v>
      </c>
      <c r="E89" s="6">
        <f t="shared" ref="E89:H89" si="869">(E106)/E9*E5</f>
        <v>7.5492013061512662</v>
      </c>
      <c r="F89" s="6">
        <f t="shared" si="869"/>
        <v>7.8110926136861476</v>
      </c>
      <c r="G89" s="6">
        <f t="shared" si="869"/>
        <v>7.0626550868486344</v>
      </c>
      <c r="H89" s="6">
        <f t="shared" si="869"/>
        <v>7.9483964629800719</v>
      </c>
      <c r="J89" s="6">
        <f>(J106)/J9*J5</f>
        <v>7.0269849910568478</v>
      </c>
      <c r="K89" s="6">
        <f t="shared" ref="K89:N89" si="870">(K106)/K9*K5</f>
        <v>7.04046820355435</v>
      </c>
      <c r="L89" s="6">
        <f t="shared" si="870"/>
        <v>7.6882309400444111</v>
      </c>
      <c r="M89" s="6">
        <f t="shared" si="870"/>
        <v>7.4474968623622919</v>
      </c>
      <c r="N89" s="6">
        <f t="shared" si="870"/>
        <v>7.7439603815650013</v>
      </c>
      <c r="P89" s="6">
        <f>(P106)/P9*P5</f>
        <v>7.6793405614139312</v>
      </c>
      <c r="Q89" s="6">
        <f t="shared" ref="Q89:T89" si="871">(Q106)/Q9*Q5</f>
        <v>7.2764689578713968</v>
      </c>
      <c r="R89" s="6">
        <f t="shared" si="871"/>
        <v>8.6029158175262577</v>
      </c>
      <c r="S89" s="6">
        <f t="shared" si="871"/>
        <v>8.3502738892270241</v>
      </c>
      <c r="T89" s="6">
        <f t="shared" si="871"/>
        <v>8.0937732342007429</v>
      </c>
      <c r="V89" s="6">
        <f>(V106)/V9*V5</f>
        <v>10.233756464503996</v>
      </c>
      <c r="W89" s="6">
        <f t="shared" ref="W89:Z89" si="872">(W106)/W9*W5</f>
        <v>10.622886866059819</v>
      </c>
      <c r="X89" s="6">
        <f t="shared" si="872"/>
        <v>10.6981074790001</v>
      </c>
      <c r="Y89" s="6">
        <f t="shared" si="872"/>
        <v>9.7036048064085456</v>
      </c>
      <c r="Z89" s="6">
        <f t="shared" si="872"/>
        <v>10.38876113825812</v>
      </c>
      <c r="AB89" s="6">
        <f>(AB106)/AB9*AB5</f>
        <v>8.4419954572221751</v>
      </c>
      <c r="AC89" s="6">
        <f t="shared" ref="AC89:AF89" si="873">(AC106)/AC9*AC5</f>
        <v>8.5147024594615566</v>
      </c>
      <c r="AD89" s="6">
        <f t="shared" si="873"/>
        <v>9.4471243042671613</v>
      </c>
      <c r="AE89" s="6">
        <f t="shared" si="873"/>
        <v>8.027830120307291</v>
      </c>
      <c r="AF89" s="6">
        <f t="shared" si="873"/>
        <v>8.6217653175334998</v>
      </c>
      <c r="AG89" s="35"/>
      <c r="AH89" s="6">
        <f>(AH106)/AH9*AH5</f>
        <v>7.974096695856943</v>
      </c>
      <c r="AI89" s="6">
        <f t="shared" ref="AI89:AL89" si="874">(AI106)/AI9*AI5</f>
        <v>7.6456096020214783</v>
      </c>
      <c r="AJ89" s="6">
        <f t="shared" si="874"/>
        <v>7.8415366146458592</v>
      </c>
      <c r="AK89" s="6">
        <f t="shared" si="874"/>
        <v>7.0121106224016394</v>
      </c>
      <c r="AL89" s="6">
        <f t="shared" si="874"/>
        <v>7.7696165042825651</v>
      </c>
      <c r="AM89" s="35"/>
      <c r="AN89" s="6">
        <f>(AN106)/AN9*AN5</f>
        <v>6.8597906947421521</v>
      </c>
      <c r="AO89" s="6">
        <f t="shared" ref="AO89:AR89" si="875">(AO106)/AO9*AO5</f>
        <v>6.1006467259498791</v>
      </c>
      <c r="AP89" s="6">
        <f t="shared" si="875"/>
        <v>6.0749553837001784</v>
      </c>
      <c r="AQ89" s="6">
        <f t="shared" si="875"/>
        <v>6.6722905682483891</v>
      </c>
      <c r="AR89" s="6">
        <f t="shared" si="875"/>
        <v>6.7382940650164027</v>
      </c>
      <c r="AS89" s="35"/>
      <c r="AT89" s="6">
        <f>(AT106)/AT9*AT5</f>
        <v>6.9118298626495349</v>
      </c>
      <c r="AU89" s="6">
        <f t="shared" ref="AU89:AX89" si="876">(AU106)/AU9*AU5</f>
        <v>6.4396308946012342</v>
      </c>
      <c r="AV89" s="243">
        <f t="shared" si="876"/>
        <v>7.6885632683471998</v>
      </c>
      <c r="AW89" s="611">
        <f t="shared" ref="AW89:AW96" si="877">AQ89</f>
        <v>6.6722905682483891</v>
      </c>
      <c r="AX89" s="6">
        <f t="shared" si="876"/>
        <v>7.5463628530397315</v>
      </c>
      <c r="AZ89" s="566">
        <f t="shared" ref="AZ89:AZ96" si="878">AT89</f>
        <v>6.9118298626495349</v>
      </c>
      <c r="BA89" s="566">
        <f t="shared" si="843"/>
        <v>6.4396308946012342</v>
      </c>
      <c r="BB89" s="566">
        <f t="shared" si="843"/>
        <v>7.6885632683471998</v>
      </c>
      <c r="BC89" s="566">
        <f t="shared" si="843"/>
        <v>6.6722905682483891</v>
      </c>
      <c r="BD89" s="6">
        <f t="shared" ref="BD89" si="879">(BD106)/BD9*BD5</f>
        <v>7.5608988123306782</v>
      </c>
      <c r="BF89" s="566">
        <f t="shared" ref="BF89:BF96" si="880">AZ89</f>
        <v>6.9118298626495349</v>
      </c>
      <c r="BG89" s="566">
        <f t="shared" si="845"/>
        <v>6.4396308946012342</v>
      </c>
      <c r="BH89" s="566">
        <f t="shared" si="846"/>
        <v>7.6885632683471998</v>
      </c>
      <c r="BI89" s="566">
        <f t="shared" si="847"/>
        <v>6.6722905682483891</v>
      </c>
      <c r="BJ89" s="6">
        <f t="shared" ref="BJ89" si="881">(BJ106)/BJ9*BJ5</f>
        <v>7.220528238407586</v>
      </c>
      <c r="BL89" s="566">
        <f t="shared" ref="BL89:BL96" si="882">BF89</f>
        <v>6.9118298626495349</v>
      </c>
      <c r="BM89" s="566">
        <f t="shared" si="849"/>
        <v>6.4396308946012342</v>
      </c>
      <c r="BN89" s="566">
        <f t="shared" si="850"/>
        <v>7.6885632683471998</v>
      </c>
      <c r="BO89" s="566">
        <f t="shared" si="851"/>
        <v>6.6722905682483891</v>
      </c>
      <c r="BP89" s="6">
        <f t="shared" ref="BP89" si="883">(BP106)/BP9*BP5</f>
        <v>6.9357619460769904</v>
      </c>
      <c r="BR89" s="566">
        <f t="shared" ref="BR89:BR96" si="884">BL89</f>
        <v>6.9118298626495349</v>
      </c>
      <c r="BS89" s="566">
        <f t="shared" si="853"/>
        <v>6.4396308946012342</v>
      </c>
      <c r="BT89" s="566">
        <f t="shared" si="854"/>
        <v>7.6885632683471998</v>
      </c>
      <c r="BU89" s="566">
        <f t="shared" si="855"/>
        <v>6.6722905682483891</v>
      </c>
      <c r="BV89" s="6">
        <f t="shared" ref="BV89" si="885">(BV106)/BV9*BV5</f>
        <v>6.6800315118171616</v>
      </c>
      <c r="BX89" s="566">
        <f t="shared" ref="BX89:BX96" si="886">BR89</f>
        <v>6.9118298626495349</v>
      </c>
      <c r="BY89" s="566">
        <f t="shared" si="857"/>
        <v>6.4396308946012342</v>
      </c>
      <c r="BZ89" s="566">
        <f t="shared" si="858"/>
        <v>7.6885632683471998</v>
      </c>
      <c r="CA89" s="566">
        <f t="shared" si="859"/>
        <v>6.6722905682483891</v>
      </c>
      <c r="CB89" s="6">
        <f t="shared" ref="CB89" si="887">(CB106)/CB9*CB5</f>
        <v>6.3981943772652414</v>
      </c>
      <c r="CD89" s="566">
        <f t="shared" ref="CD89:CD96" si="888">BX89</f>
        <v>6.9118298626495349</v>
      </c>
      <c r="CE89" s="566">
        <f t="shared" si="861"/>
        <v>6.4396308946012342</v>
      </c>
      <c r="CF89" s="566">
        <f t="shared" si="862"/>
        <v>7.6885632683471998</v>
      </c>
      <c r="CG89" s="566">
        <f t="shared" si="863"/>
        <v>6.6722905682483891</v>
      </c>
      <c r="CH89" s="6">
        <f t="shared" ref="CH89" si="889">(CH106)/CH9*CH5</f>
        <v>6.1446297993338925</v>
      </c>
      <c r="CJ89" s="566">
        <f t="shared" ref="CJ89:CJ96" si="890">CD89</f>
        <v>6.9118298626495349</v>
      </c>
      <c r="CK89" s="566">
        <f t="shared" si="865"/>
        <v>6.4396308946012342</v>
      </c>
      <c r="CL89" s="566">
        <f t="shared" si="866"/>
        <v>7.6885632683471998</v>
      </c>
      <c r="CM89" s="566">
        <f t="shared" si="867"/>
        <v>6.6722905682483891</v>
      </c>
      <c r="CN89" s="6">
        <f t="shared" ref="CN89" si="891">(CN106)/CN9*CN5</f>
        <v>5.900723921140993</v>
      </c>
    </row>
    <row r="90" spans="1:92" ht="12.95" customHeight="1" x14ac:dyDescent="0.25">
      <c r="B90" s="2" t="s">
        <v>169</v>
      </c>
      <c r="D90" s="6">
        <f>D21/D103</f>
        <v>0.74884386698964989</v>
      </c>
      <c r="E90" s="6">
        <f t="shared" ref="E90:H90" si="892">E21/E103</f>
        <v>0.83255219429058369</v>
      </c>
      <c r="F90" s="6">
        <f t="shared" si="892"/>
        <v>0.75186055620838232</v>
      </c>
      <c r="G90" s="6">
        <f t="shared" si="892"/>
        <v>0.8948891994410062</v>
      </c>
      <c r="H90" s="6">
        <f t="shared" si="892"/>
        <v>3.1203833100419245</v>
      </c>
      <c r="J90" s="6">
        <f>J21/J103</f>
        <v>0.78249748789622731</v>
      </c>
      <c r="K90" s="6">
        <f t="shared" ref="K90:N90" si="893">K21/K103</f>
        <v>0.83713904931141714</v>
      </c>
      <c r="L90" s="6">
        <f t="shared" si="893"/>
        <v>0.76367022177078048</v>
      </c>
      <c r="M90" s="6">
        <f t="shared" si="893"/>
        <v>0.86625032526671875</v>
      </c>
      <c r="N90" s="6">
        <f t="shared" si="893"/>
        <v>3.2090380778905367</v>
      </c>
      <c r="P90" s="6">
        <f>P21/P103</f>
        <v>0.72957860615883308</v>
      </c>
      <c r="Q90" s="6">
        <f t="shared" ref="Q90:T90" si="894">Q21/Q103</f>
        <v>0.82793370533855248</v>
      </c>
      <c r="R90" s="6">
        <f t="shared" si="894"/>
        <v>0.70353037766830873</v>
      </c>
      <c r="S90" s="6">
        <f t="shared" si="894"/>
        <v>0.80924906799218888</v>
      </c>
      <c r="T90" s="6">
        <f t="shared" si="894"/>
        <v>3.2513758210545003</v>
      </c>
      <c r="V90" s="6">
        <f>V21/V103</f>
        <v>0.61848825331971402</v>
      </c>
      <c r="W90" s="6">
        <f t="shared" ref="W90:Z90" si="895">W21/W103</f>
        <v>0.62553865095418171</v>
      </c>
      <c r="X90" s="6">
        <f t="shared" si="895"/>
        <v>0.60412119095433514</v>
      </c>
      <c r="Y90" s="6">
        <f t="shared" si="895"/>
        <v>0.68268724785125412</v>
      </c>
      <c r="Z90" s="6">
        <f t="shared" si="895"/>
        <v>2.5506051569900019</v>
      </c>
      <c r="AB90" s="6">
        <f>AB21/AB103</f>
        <v>0.65947814634949375</v>
      </c>
      <c r="AC90" s="6">
        <f t="shared" ref="AC90:AF90" si="896">AC21/AC103</f>
        <v>0.70083648989898994</v>
      </c>
      <c r="AD90" s="6">
        <f t="shared" si="896"/>
        <v>0.63054295331479582</v>
      </c>
      <c r="AE90" s="6">
        <f t="shared" si="896"/>
        <v>0.71256589257729019</v>
      </c>
      <c r="AF90" s="6">
        <f t="shared" si="896"/>
        <v>2.5297763214133067</v>
      </c>
      <c r="AG90" s="35"/>
      <c r="AH90" s="6">
        <f>AH21/AH103</f>
        <v>0.63565633727889348</v>
      </c>
      <c r="AI90" s="6">
        <f t="shared" ref="AI90:AL90" si="897">AI21/AI103</f>
        <v>0.62810906114224541</v>
      </c>
      <c r="AJ90" s="6">
        <f t="shared" si="897"/>
        <v>0.60510083036773432</v>
      </c>
      <c r="AK90" s="6">
        <f t="shared" si="897"/>
        <v>0.71382913337430853</v>
      </c>
      <c r="AL90" s="6">
        <f t="shared" si="897"/>
        <v>2.5414874001229255</v>
      </c>
      <c r="AM90" s="35"/>
      <c r="AN90" s="6">
        <f>AN21/AN103</f>
        <v>0.57295979130040264</v>
      </c>
      <c r="AO90" s="6">
        <f t="shared" ref="AO90:AR90" si="898">AO21/AO103</f>
        <v>0.62352079341823508</v>
      </c>
      <c r="AP90" s="6">
        <f t="shared" si="898"/>
        <v>0.60199089874857792</v>
      </c>
      <c r="AQ90" s="6">
        <f t="shared" si="898"/>
        <v>0.66501660126773321</v>
      </c>
      <c r="AR90" s="6">
        <f t="shared" si="898"/>
        <v>2.5817687896166617</v>
      </c>
      <c r="AS90" s="35"/>
      <c r="AT90" s="6">
        <f>AT21/AT103</f>
        <v>0.56992862620185214</v>
      </c>
      <c r="AU90" s="6">
        <f t="shared" ref="AU90:AX90" si="899">AU21/AU103</f>
        <v>0.59419271748038871</v>
      </c>
      <c r="AV90" s="243">
        <f t="shared" si="899"/>
        <v>0.58144639556377076</v>
      </c>
      <c r="AW90" s="611">
        <f t="shared" si="877"/>
        <v>0.66501660126773321</v>
      </c>
      <c r="AX90" s="6">
        <f t="shared" si="899"/>
        <v>2.5306668310455422</v>
      </c>
      <c r="AZ90" s="566">
        <f t="shared" si="878"/>
        <v>0.56992862620185214</v>
      </c>
      <c r="BA90" s="566">
        <f t="shared" si="843"/>
        <v>0.59419271748038871</v>
      </c>
      <c r="BB90" s="566">
        <f t="shared" si="843"/>
        <v>0.58144639556377076</v>
      </c>
      <c r="BC90" s="566">
        <f t="shared" si="843"/>
        <v>0.66501660126773321</v>
      </c>
      <c r="BD90" s="6">
        <f t="shared" ref="BD90" si="900">BD21/BD103</f>
        <v>2.5023029338658689</v>
      </c>
      <c r="BF90" s="566">
        <f t="shared" si="880"/>
        <v>0.56992862620185214</v>
      </c>
      <c r="BG90" s="566">
        <f t="shared" si="845"/>
        <v>0.59419271748038871</v>
      </c>
      <c r="BH90" s="566">
        <f t="shared" si="846"/>
        <v>0.58144639556377076</v>
      </c>
      <c r="BI90" s="566">
        <f t="shared" si="847"/>
        <v>0.66501660126773321</v>
      </c>
      <c r="BJ90" s="6">
        <f t="shared" ref="BJ90" si="901">BJ21/BJ103</f>
        <v>2.5039593322976494</v>
      </c>
      <c r="BL90" s="566">
        <f t="shared" si="882"/>
        <v>0.56992862620185214</v>
      </c>
      <c r="BM90" s="566">
        <f t="shared" si="849"/>
        <v>0.59419271748038871</v>
      </c>
      <c r="BN90" s="566">
        <f t="shared" si="850"/>
        <v>0.58144639556377076</v>
      </c>
      <c r="BO90" s="566">
        <f t="shared" si="851"/>
        <v>0.66501660126773321</v>
      </c>
      <c r="BP90" s="6">
        <f t="shared" ref="BP90" si="902">BP21/BP103</f>
        <v>2.5046977505766019</v>
      </c>
      <c r="BR90" s="566">
        <f t="shared" si="884"/>
        <v>0.56992862620185214</v>
      </c>
      <c r="BS90" s="566">
        <f t="shared" si="853"/>
        <v>0.59419271748038871</v>
      </c>
      <c r="BT90" s="566">
        <f t="shared" si="854"/>
        <v>0.58144639556377076</v>
      </c>
      <c r="BU90" s="566">
        <f t="shared" si="855"/>
        <v>0.66501660126773321</v>
      </c>
      <c r="BV90" s="6">
        <f t="shared" ref="BV90" si="903">BV21/BV103</f>
        <v>2.5053631694412872</v>
      </c>
      <c r="BX90" s="566">
        <f t="shared" si="886"/>
        <v>0.56992862620185214</v>
      </c>
      <c r="BY90" s="566">
        <f t="shared" si="857"/>
        <v>0.59419271748038871</v>
      </c>
      <c r="BZ90" s="566">
        <f t="shared" si="858"/>
        <v>0.58144639556377076</v>
      </c>
      <c r="CA90" s="566">
        <f t="shared" si="859"/>
        <v>0.66501660126773321</v>
      </c>
      <c r="CB90" s="6">
        <f t="shared" ref="CB90" si="904">CB21/CB103</f>
        <v>2.5059942410326448</v>
      </c>
      <c r="CD90" s="566">
        <f t="shared" si="888"/>
        <v>0.56992862620185214</v>
      </c>
      <c r="CE90" s="566">
        <f t="shared" si="861"/>
        <v>0.59419271748038871</v>
      </c>
      <c r="CF90" s="566">
        <f t="shared" si="862"/>
        <v>0.58144639556377076</v>
      </c>
      <c r="CG90" s="566">
        <f t="shared" si="863"/>
        <v>0.66501660126773321</v>
      </c>
      <c r="CH90" s="6">
        <f t="shared" ref="CH90" si="905">CH21/CH103</f>
        <v>2.5065913061994096</v>
      </c>
      <c r="CJ90" s="566">
        <f t="shared" si="890"/>
        <v>0.56992862620185214</v>
      </c>
      <c r="CK90" s="566">
        <f t="shared" si="865"/>
        <v>0.59419271748038871</v>
      </c>
      <c r="CL90" s="566">
        <f t="shared" si="866"/>
        <v>0.58144639556377076</v>
      </c>
      <c r="CM90" s="566">
        <f t="shared" si="867"/>
        <v>0.66501660126773321</v>
      </c>
      <c r="CN90" s="6">
        <f t="shared" ref="CN90" si="906">CN21/CN103</f>
        <v>2.5071081696358819</v>
      </c>
    </row>
    <row r="91" spans="1:92" ht="12.95" customHeight="1" x14ac:dyDescent="0.25">
      <c r="B91" s="2" t="s">
        <v>560</v>
      </c>
      <c r="D91" s="6">
        <f>(D114)/D21*D5</f>
        <v>70.163211292456992</v>
      </c>
      <c r="E91" s="6">
        <f t="shared" ref="E91:H91" si="907">(E114)/E21*E5</f>
        <v>67.272006141248724</v>
      </c>
      <c r="F91" s="6">
        <f t="shared" si="907"/>
        <v>73.24772076061474</v>
      </c>
      <c r="G91" s="6">
        <f t="shared" si="907"/>
        <v>66.570440602342444</v>
      </c>
      <c r="H91" s="6">
        <f t="shared" si="907"/>
        <v>75.7439219449776</v>
      </c>
      <c r="J91" s="6">
        <f>(J114)/J21*J5</f>
        <v>72.895166939061411</v>
      </c>
      <c r="K91" s="6">
        <f t="shared" ref="K91:N91" si="908">(K114)/K21*K5</f>
        <v>65.975482912332836</v>
      </c>
      <c r="L91" s="6">
        <f t="shared" si="908"/>
        <v>69.219241853247624</v>
      </c>
      <c r="M91" s="6">
        <f t="shared" si="908"/>
        <v>64.953639731651151</v>
      </c>
      <c r="N91" s="6">
        <f t="shared" si="908"/>
        <v>69.562802389382924</v>
      </c>
      <c r="P91" s="6">
        <f>(P114)/P21*P5</f>
        <v>71.956014661779406</v>
      </c>
      <c r="Q91" s="6">
        <f t="shared" ref="Q91:T91" si="909">(Q114)/Q21*Q5</f>
        <v>64.2794487476109</v>
      </c>
      <c r="R91" s="6">
        <f t="shared" si="909"/>
        <v>65.932080756214262</v>
      </c>
      <c r="S91" s="6">
        <f t="shared" si="909"/>
        <v>60.11231764834924</v>
      </c>
      <c r="T91" s="6">
        <f t="shared" si="909"/>
        <v>59.358585858585855</v>
      </c>
      <c r="V91" s="6">
        <f>(V114)/V21*V5</f>
        <v>72.251445086705203</v>
      </c>
      <c r="W91" s="6">
        <f t="shared" ref="W91:Z91" si="910">(W114)/W21*W5</f>
        <v>65.029242232531985</v>
      </c>
      <c r="X91" s="6">
        <f t="shared" si="910"/>
        <v>69.049862696921522</v>
      </c>
      <c r="Y91" s="6">
        <f t="shared" si="910"/>
        <v>72.427543679342236</v>
      </c>
      <c r="Z91" s="6">
        <f t="shared" si="910"/>
        <v>77.121518465029908</v>
      </c>
      <c r="AB91" s="6">
        <f>(AB114)/AB21*AB5</f>
        <v>75.194707938092861</v>
      </c>
      <c r="AC91" s="6">
        <f t="shared" ref="AC91:AF91" si="911">(AC114)/AC21*AC5</f>
        <v>70.916676049994365</v>
      </c>
      <c r="AD91" s="6">
        <f t="shared" si="911"/>
        <v>77.06347916908436</v>
      </c>
      <c r="AE91" s="6">
        <f t="shared" si="911"/>
        <v>74.994301709487146</v>
      </c>
      <c r="AF91" s="6">
        <f t="shared" si="911"/>
        <v>83.806211809759816</v>
      </c>
      <c r="AG91" s="35"/>
      <c r="AH91" s="6">
        <f>(AH114)/AH21*AH5</f>
        <v>78.720577466262156</v>
      </c>
      <c r="AI91" s="6">
        <f t="shared" ref="AI91:AL91" si="912">(AI114)/AI21*AI5</f>
        <v>73.821754385964908</v>
      </c>
      <c r="AJ91" s="6">
        <f t="shared" si="912"/>
        <v>74.487355420505779</v>
      </c>
      <c r="AK91" s="6">
        <f t="shared" si="912"/>
        <v>68.829688307215434</v>
      </c>
      <c r="AL91" s="6">
        <f t="shared" si="912"/>
        <v>76.698548972188632</v>
      </c>
      <c r="AM91" s="35"/>
      <c r="AN91" s="6">
        <f>(AN114)/AN21*AN5</f>
        <v>79.73770167277047</v>
      </c>
      <c r="AO91" s="6">
        <f t="shared" ref="AO91:AR91" si="913">(AO114)/AO21*AO5</f>
        <v>69.436330772706725</v>
      </c>
      <c r="AP91" s="6">
        <f t="shared" si="913"/>
        <v>68.041576112633464</v>
      </c>
      <c r="AQ91" s="6">
        <f t="shared" si="913"/>
        <v>66.026870007262161</v>
      </c>
      <c r="AR91" s="6">
        <f t="shared" si="913"/>
        <v>67.474688427993541</v>
      </c>
      <c r="AS91" s="35"/>
      <c r="AT91" s="6">
        <f>(AT114)/AT21*AT5</f>
        <v>73.255847650589942</v>
      </c>
      <c r="AU91" s="6">
        <f t="shared" ref="AU91:AX91" si="914">(AU114)/AU21*AU5</f>
        <v>67.913793103448285</v>
      </c>
      <c r="AV91" s="243">
        <f t="shared" si="914"/>
        <v>70.421219948340948</v>
      </c>
      <c r="AW91" s="611">
        <f t="shared" si="877"/>
        <v>66.026870007262161</v>
      </c>
      <c r="AX91" s="6">
        <f t="shared" si="914"/>
        <v>69.025805327206982</v>
      </c>
      <c r="AZ91" s="566">
        <f t="shared" si="878"/>
        <v>73.255847650589942</v>
      </c>
      <c r="BA91" s="566">
        <f t="shared" si="843"/>
        <v>67.913793103448285</v>
      </c>
      <c r="BB91" s="566">
        <f t="shared" si="843"/>
        <v>70.421219948340948</v>
      </c>
      <c r="BC91" s="566">
        <f t="shared" si="843"/>
        <v>66.026870007262161</v>
      </c>
      <c r="BD91" s="6">
        <f t="shared" ref="BD91" si="915">(BD114)/BD21*BD5</f>
        <v>69.617488080617875</v>
      </c>
      <c r="BF91" s="566">
        <f t="shared" si="880"/>
        <v>73.255847650589942</v>
      </c>
      <c r="BG91" s="566">
        <f t="shared" si="845"/>
        <v>67.913793103448285</v>
      </c>
      <c r="BH91" s="566">
        <f t="shared" si="846"/>
        <v>70.421219948340948</v>
      </c>
      <c r="BI91" s="566">
        <f t="shared" si="847"/>
        <v>66.026870007262161</v>
      </c>
      <c r="BJ91" s="6">
        <f t="shared" ref="BJ91" si="916">(BJ114)/BJ21*BJ5</f>
        <v>69.571435296695313</v>
      </c>
      <c r="BL91" s="566">
        <f t="shared" si="882"/>
        <v>73.255847650589942</v>
      </c>
      <c r="BM91" s="566">
        <f t="shared" si="849"/>
        <v>67.913793103448285</v>
      </c>
      <c r="BN91" s="566">
        <f t="shared" si="850"/>
        <v>70.421219948340948</v>
      </c>
      <c r="BO91" s="566">
        <f t="shared" si="851"/>
        <v>66.026870007262161</v>
      </c>
      <c r="BP91" s="6">
        <f t="shared" ref="BP91" si="917">(BP114)/BP21*BP5</f>
        <v>69.550924710336446</v>
      </c>
      <c r="BR91" s="566">
        <f t="shared" si="884"/>
        <v>73.255847650589942</v>
      </c>
      <c r="BS91" s="566">
        <f t="shared" si="853"/>
        <v>67.913793103448285</v>
      </c>
      <c r="BT91" s="566">
        <f t="shared" si="854"/>
        <v>70.421219948340948</v>
      </c>
      <c r="BU91" s="566">
        <f t="shared" si="855"/>
        <v>66.026870007262161</v>
      </c>
      <c r="BV91" s="6">
        <f t="shared" ref="BV91" si="918">(BV114)/BV21*BV5</f>
        <v>69.722952008879616</v>
      </c>
      <c r="BX91" s="566">
        <f t="shared" si="886"/>
        <v>73.255847650589942</v>
      </c>
      <c r="BY91" s="566">
        <f t="shared" si="857"/>
        <v>67.913793103448285</v>
      </c>
      <c r="BZ91" s="566">
        <f t="shared" si="858"/>
        <v>70.421219948340948</v>
      </c>
      <c r="CA91" s="566">
        <f t="shared" si="859"/>
        <v>66.026870007262161</v>
      </c>
      <c r="CB91" s="6">
        <f t="shared" ref="CB91" si="919">(CB114)/CB21*CB5</f>
        <v>69.51494214157411</v>
      </c>
      <c r="CD91" s="566">
        <f t="shared" si="888"/>
        <v>73.255847650589942</v>
      </c>
      <c r="CE91" s="566">
        <f t="shared" si="861"/>
        <v>67.913793103448285</v>
      </c>
      <c r="CF91" s="566">
        <f t="shared" si="862"/>
        <v>70.421219948340948</v>
      </c>
      <c r="CG91" s="566">
        <f t="shared" si="863"/>
        <v>66.026870007262161</v>
      </c>
      <c r="CH91" s="6">
        <f t="shared" ref="CH91" si="920">(CH114)/CH21*CH5</f>
        <v>69.498383817758111</v>
      </c>
      <c r="CJ91" s="566">
        <f t="shared" si="890"/>
        <v>73.255847650589942</v>
      </c>
      <c r="CK91" s="566">
        <f t="shared" si="865"/>
        <v>67.913793103448285</v>
      </c>
      <c r="CL91" s="566">
        <f t="shared" si="866"/>
        <v>70.421219948340948</v>
      </c>
      <c r="CM91" s="566">
        <f t="shared" si="867"/>
        <v>66.026870007262161</v>
      </c>
      <c r="CN91" s="6">
        <f t="shared" ref="CN91" si="921">(CN114)/CN21*CN5</f>
        <v>69.484056085941702</v>
      </c>
    </row>
    <row r="92" spans="1:92" ht="12.95" customHeight="1" x14ac:dyDescent="0.25">
      <c r="B92" s="2" t="s">
        <v>72</v>
      </c>
      <c r="D92" s="182">
        <f>D115/(D9)</f>
        <v>0.31419262879250665</v>
      </c>
      <c r="E92" s="182">
        <f t="shared" ref="E92:H92" si="922">E115/(E9)</f>
        <v>0.28338187273850501</v>
      </c>
      <c r="F92" s="182">
        <f t="shared" si="922"/>
        <v>0.27284675370191885</v>
      </c>
      <c r="G92" s="182">
        <f t="shared" si="922"/>
        <v>0.24968982630272954</v>
      </c>
      <c r="H92" s="182">
        <f t="shared" si="922"/>
        <v>7.0828384145000214E-2</v>
      </c>
      <c r="J92" s="182">
        <f>J115/(J9)</f>
        <v>0.27614900069989889</v>
      </c>
      <c r="K92" s="182">
        <f t="shared" ref="K92:N92" si="923">K115/(K9)</f>
        <v>0.24623510099207765</v>
      </c>
      <c r="L92" s="182">
        <f t="shared" si="923"/>
        <v>0.25336787564766838</v>
      </c>
      <c r="M92" s="182">
        <f t="shared" si="923"/>
        <v>0.24912843397015758</v>
      </c>
      <c r="N92" s="182">
        <f t="shared" si="923"/>
        <v>6.5293666167172248E-2</v>
      </c>
      <c r="P92" s="182">
        <f>P115/(P9)</f>
        <v>0.27818208822218921</v>
      </c>
      <c r="Q92" s="182">
        <f t="shared" ref="Q92:T92" si="924">Q115/(Q9)</f>
        <v>0.26254157427937913</v>
      </c>
      <c r="R92" s="182">
        <f t="shared" si="924"/>
        <v>0.29213042796676597</v>
      </c>
      <c r="S92" s="182">
        <f t="shared" si="924"/>
        <v>0.28530127814972611</v>
      </c>
      <c r="T92" s="182">
        <f t="shared" si="924"/>
        <v>6.9702602230483274E-2</v>
      </c>
      <c r="V92" s="182">
        <f>V115/(V9)</f>
        <v>0.35505406676069584</v>
      </c>
      <c r="W92" s="182">
        <f t="shared" ref="W92:Z92" si="925">W115/(W9)</f>
        <v>0.35480644193257976</v>
      </c>
      <c r="X92" s="182">
        <f t="shared" si="925"/>
        <v>0.35522720372431937</v>
      </c>
      <c r="Y92" s="182">
        <f t="shared" si="925"/>
        <v>0.32416555407209613</v>
      </c>
      <c r="Z92" s="182">
        <f t="shared" si="925"/>
        <v>8.7237711986202934E-2</v>
      </c>
      <c r="AB92" s="182">
        <f>AB115/(AB9)</f>
        <v>0.30066459157062336</v>
      </c>
      <c r="AC92" s="182">
        <f t="shared" ref="AC92:AF92" si="926">AC115/(AC9)</f>
        <v>0.27589417332609201</v>
      </c>
      <c r="AD92" s="182">
        <f t="shared" si="926"/>
        <v>0.28869887876099054</v>
      </c>
      <c r="AE92" s="182">
        <f t="shared" si="926"/>
        <v>0.2722858385273228</v>
      </c>
      <c r="AF92" s="182">
        <f t="shared" si="926"/>
        <v>7.3708579388279613E-2</v>
      </c>
      <c r="AG92" s="35"/>
      <c r="AH92" s="182">
        <f>AH115/(AH9)</f>
        <v>0.28302303333578632</v>
      </c>
      <c r="AI92" s="182">
        <f t="shared" ref="AI92:AL92" si="927">AI115/(AI9)</f>
        <v>0.26545939496034254</v>
      </c>
      <c r="AJ92" s="182">
        <f t="shared" si="927"/>
        <v>0.26764038948912899</v>
      </c>
      <c r="AK92" s="182">
        <f t="shared" si="927"/>
        <v>0.24582755919744531</v>
      </c>
      <c r="AL92" s="182">
        <f t="shared" si="927"/>
        <v>6.8655661567974147E-2</v>
      </c>
      <c r="AM92" s="35"/>
      <c r="AN92" s="182">
        <f>AN115/(AN9)</f>
        <v>0.25980330349262387</v>
      </c>
      <c r="AO92" s="182">
        <f t="shared" ref="AO92:AR92" si="928">AO115/(AO9)</f>
        <v>0.25944104400046197</v>
      </c>
      <c r="AP92" s="182">
        <f t="shared" si="928"/>
        <v>0.27775133848899464</v>
      </c>
      <c r="AQ92" s="182">
        <f t="shared" si="928"/>
        <v>0.29045108377270062</v>
      </c>
      <c r="AR92" s="182">
        <f t="shared" si="928"/>
        <v>7.3933790635252017E-2</v>
      </c>
      <c r="AS92" s="35"/>
      <c r="AT92" s="182">
        <f>AT115/(AT9)</f>
        <v>0.30514589530982972</v>
      </c>
      <c r="AU92" s="182">
        <f t="shared" ref="AU92:AX92" si="929">AU115/(AU9)</f>
        <v>0.29642279345676792</v>
      </c>
      <c r="AV92" s="591">
        <f t="shared" si="929"/>
        <v>0.30920153979883275</v>
      </c>
      <c r="AW92" s="612">
        <f t="shared" si="877"/>
        <v>0.29045108377270062</v>
      </c>
      <c r="AX92" s="182">
        <f t="shared" si="929"/>
        <v>7.424535908374913E-2</v>
      </c>
      <c r="AZ92" s="567">
        <f t="shared" si="878"/>
        <v>0.30514589530982972</v>
      </c>
      <c r="BA92" s="567">
        <f t="shared" si="843"/>
        <v>0.29642279345676792</v>
      </c>
      <c r="BB92" s="567">
        <f t="shared" si="843"/>
        <v>0.30920153979883275</v>
      </c>
      <c r="BC92" s="567">
        <f t="shared" si="843"/>
        <v>0.29045108377270062</v>
      </c>
      <c r="BD92" s="182">
        <f t="shared" ref="BD92" si="930">BD115/(BD9)</f>
        <v>7.5782693680771465E-2</v>
      </c>
      <c r="BF92" s="567">
        <f t="shared" si="880"/>
        <v>0.30514589530982972</v>
      </c>
      <c r="BG92" s="567">
        <f t="shared" si="845"/>
        <v>0.29642279345676792</v>
      </c>
      <c r="BH92" s="567">
        <f t="shared" si="846"/>
        <v>0.30920153979883275</v>
      </c>
      <c r="BI92" s="567">
        <f t="shared" si="847"/>
        <v>0.29045108377270062</v>
      </c>
      <c r="BJ92" s="182">
        <f t="shared" ref="BJ92" si="931">BJ115/(BJ9)</f>
        <v>7.5766714202572388E-2</v>
      </c>
      <c r="BL92" s="567">
        <f t="shared" si="882"/>
        <v>0.30514589530982972</v>
      </c>
      <c r="BM92" s="567">
        <f t="shared" si="849"/>
        <v>0.29642279345676792</v>
      </c>
      <c r="BN92" s="567">
        <f t="shared" si="850"/>
        <v>0.30920153979883275</v>
      </c>
      <c r="BO92" s="567">
        <f t="shared" si="851"/>
        <v>0.29045108377270062</v>
      </c>
      <c r="BP92" s="182">
        <f t="shared" ref="BP92" si="932">BP115/(BP9)</f>
        <v>7.5779214916208468E-2</v>
      </c>
      <c r="BR92" s="567">
        <f t="shared" si="884"/>
        <v>0.30514589530982972</v>
      </c>
      <c r="BS92" s="567">
        <f t="shared" si="853"/>
        <v>0.29642279345676792</v>
      </c>
      <c r="BT92" s="567">
        <f t="shared" si="854"/>
        <v>0.30920153979883275</v>
      </c>
      <c r="BU92" s="567">
        <f t="shared" si="855"/>
        <v>0.29045108377270062</v>
      </c>
      <c r="BV92" s="182">
        <f t="shared" ref="BV92" si="933">BV115/(BV9)</f>
        <v>7.5791953039494875E-2</v>
      </c>
      <c r="BX92" s="567">
        <f t="shared" si="886"/>
        <v>0.30514589530982972</v>
      </c>
      <c r="BY92" s="567">
        <f t="shared" si="857"/>
        <v>0.29642279345676792</v>
      </c>
      <c r="BZ92" s="567">
        <f t="shared" si="858"/>
        <v>0.30920153979883275</v>
      </c>
      <c r="CA92" s="567">
        <f t="shared" si="859"/>
        <v>0.29045108377270062</v>
      </c>
      <c r="CB92" s="182">
        <f t="shared" ref="CB92" si="934">CB115/(CB9)</f>
        <v>7.5804922625904839E-2</v>
      </c>
      <c r="CD92" s="567">
        <f t="shared" si="888"/>
        <v>0.30514589530982972</v>
      </c>
      <c r="CE92" s="567">
        <f t="shared" si="861"/>
        <v>0.29642279345676792</v>
      </c>
      <c r="CF92" s="567">
        <f t="shared" si="862"/>
        <v>0.30920153979883275</v>
      </c>
      <c r="CG92" s="567">
        <f t="shared" si="863"/>
        <v>0.29045108377270062</v>
      </c>
      <c r="CH92" s="182">
        <f t="shared" ref="CH92" si="935">CH115/(CH9)</f>
        <v>7.5818117760351064E-2</v>
      </c>
      <c r="CJ92" s="567">
        <f t="shared" si="890"/>
        <v>0.30514589530982972</v>
      </c>
      <c r="CK92" s="567">
        <f t="shared" si="865"/>
        <v>0.29642279345676792</v>
      </c>
      <c r="CL92" s="567">
        <f t="shared" si="866"/>
        <v>0.30920153979883275</v>
      </c>
      <c r="CM92" s="567">
        <f t="shared" si="867"/>
        <v>0.29045108377270062</v>
      </c>
      <c r="CN92" s="182">
        <f t="shared" ref="CN92" si="936">CN115/(CN9)</f>
        <v>7.5831532560922468E-2</v>
      </c>
    </row>
    <row r="93" spans="1:92" ht="12.95" customHeight="1" x14ac:dyDescent="0.25">
      <c r="B93" s="2" t="s">
        <v>561</v>
      </c>
      <c r="D93" s="182">
        <f>D116/(D9)</f>
        <v>0.16961922215434738</v>
      </c>
      <c r="E93" s="182">
        <f t="shared" ref="E93:H93" si="937">E116/(E9)</f>
        <v>0.1752713794016415</v>
      </c>
      <c r="F93" s="182">
        <f t="shared" si="937"/>
        <v>0.20441601682292124</v>
      </c>
      <c r="G93" s="182">
        <f t="shared" si="937"/>
        <v>0.19843362282878413</v>
      </c>
      <c r="H93" s="182">
        <f t="shared" si="937"/>
        <v>5.6288768641942724E-2</v>
      </c>
      <c r="J93" s="182">
        <f>J116/(J9)</f>
        <v>0.1146278870829769</v>
      </c>
      <c r="K93" s="182">
        <f t="shared" ref="K93:N93" si="938">K116/(K9)</f>
        <v>0.12768539005067447</v>
      </c>
      <c r="L93" s="182">
        <f t="shared" si="938"/>
        <v>0.15780903034789046</v>
      </c>
      <c r="M93" s="182">
        <f t="shared" si="938"/>
        <v>0.1662250732115465</v>
      </c>
      <c r="N93" s="182">
        <f t="shared" si="938"/>
        <v>4.3565659149884875E-2</v>
      </c>
      <c r="P93" s="182">
        <f>P116/(P9)</f>
        <v>8.9113322441705028E-2</v>
      </c>
      <c r="Q93" s="182">
        <f t="shared" ref="Q93:T93" si="939">Q116/(Q9)</f>
        <v>9.7768847006651879E-2</v>
      </c>
      <c r="R93" s="182">
        <f t="shared" si="939"/>
        <v>0.11898416679730366</v>
      </c>
      <c r="S93" s="182">
        <f t="shared" si="939"/>
        <v>0.12393487522824102</v>
      </c>
      <c r="T93" s="182">
        <f t="shared" si="939"/>
        <v>3.0278810408921934E-2</v>
      </c>
      <c r="V93" s="182">
        <f>V116/(V9)</f>
        <v>8.2557592853784667E-2</v>
      </c>
      <c r="W93" s="182">
        <f t="shared" ref="W93:Z93" si="940">W116/(W9)</f>
        <v>9.5828748624587373E-2</v>
      </c>
      <c r="X93" s="182">
        <f t="shared" si="940"/>
        <v>0.10818743042202206</v>
      </c>
      <c r="Y93" s="182">
        <f t="shared" si="940"/>
        <v>9.7552291944815309E-2</v>
      </c>
      <c r="Z93" s="182">
        <f t="shared" si="940"/>
        <v>2.6252754622975952E-2</v>
      </c>
      <c r="AB93" s="182">
        <f>AB116/(AB9)</f>
        <v>0.10793303608984606</v>
      </c>
      <c r="AC93" s="182">
        <f t="shared" ref="AC93:AF93" si="941">AC116/(AC9)</f>
        <v>0.13647296143998758</v>
      </c>
      <c r="AD93" s="182">
        <f t="shared" si="941"/>
        <v>0.16737920464628539</v>
      </c>
      <c r="AE93" s="182">
        <f t="shared" si="941"/>
        <v>0.16248731700246413</v>
      </c>
      <c r="AF93" s="182">
        <f t="shared" si="941"/>
        <v>4.3985795844696002E-2</v>
      </c>
      <c r="AG93" s="35"/>
      <c r="AH93" s="182">
        <f>AH116/(AH9)</f>
        <v>9.3825888586356612E-2</v>
      </c>
      <c r="AI93" s="182">
        <f t="shared" ref="AI93:AL93" si="942">AI116/(AI9)</f>
        <v>0.12437706183757984</v>
      </c>
      <c r="AJ93" s="182">
        <f t="shared" si="942"/>
        <v>0.14699213018540749</v>
      </c>
      <c r="AK93" s="182">
        <f t="shared" si="942"/>
        <v>0.13936253539796348</v>
      </c>
      <c r="AL93" s="182">
        <f t="shared" si="942"/>
        <v>3.8921702256550054E-2</v>
      </c>
      <c r="AM93" s="35"/>
      <c r="AN93" s="182">
        <f>AN116/(AN9)</f>
        <v>8.6243853234144491E-2</v>
      </c>
      <c r="AO93" s="182">
        <f t="shared" ref="AO93:AR93" si="943">AO116/(AO9)</f>
        <v>0.1013396466104631</v>
      </c>
      <c r="AP93" s="182">
        <f t="shared" si="943"/>
        <v>0.13682331945270673</v>
      </c>
      <c r="AQ93" s="182">
        <f t="shared" si="943"/>
        <v>0.16151142355008788</v>
      </c>
      <c r="AR93" s="182">
        <f t="shared" si="943"/>
        <v>4.1112436623918877E-2</v>
      </c>
      <c r="AS93" s="35"/>
      <c r="AT93" s="182">
        <f>AT116/(AT9)</f>
        <v>8.171403253370467E-2</v>
      </c>
      <c r="AU93" s="182">
        <f t="shared" ref="AU93:AX93" si="944">AU116/(AU9)</f>
        <v>0.1004853496314938</v>
      </c>
      <c r="AV93" s="591">
        <f t="shared" si="944"/>
        <v>0.12902024090401093</v>
      </c>
      <c r="AW93" s="612">
        <f t="shared" si="877"/>
        <v>0.16151142355008788</v>
      </c>
      <c r="AX93" s="182">
        <f t="shared" si="944"/>
        <v>4.1285690801511982E-2</v>
      </c>
      <c r="AZ93" s="567">
        <f t="shared" si="878"/>
        <v>8.171403253370467E-2</v>
      </c>
      <c r="BA93" s="567">
        <f t="shared" si="843"/>
        <v>0.1004853496314938</v>
      </c>
      <c r="BB93" s="567">
        <f t="shared" si="843"/>
        <v>0.12902024090401093</v>
      </c>
      <c r="BC93" s="567">
        <f t="shared" si="843"/>
        <v>0.16151142355008788</v>
      </c>
      <c r="BD93" s="182">
        <f t="shared" ref="BD93" si="945">BD116/(BD9)</f>
        <v>4.2140557982631492E-2</v>
      </c>
      <c r="BF93" s="567">
        <f t="shared" si="880"/>
        <v>8.171403253370467E-2</v>
      </c>
      <c r="BG93" s="567">
        <f t="shared" si="845"/>
        <v>0.1004853496314938</v>
      </c>
      <c r="BH93" s="567">
        <f t="shared" si="846"/>
        <v>0.12902024090401093</v>
      </c>
      <c r="BI93" s="567">
        <f t="shared" si="847"/>
        <v>0.16151142355008788</v>
      </c>
      <c r="BJ93" s="182">
        <f t="shared" ref="BJ93" si="946">BJ116/(BJ9)</f>
        <v>4.2131672258267867E-2</v>
      </c>
      <c r="BL93" s="567">
        <f t="shared" si="882"/>
        <v>8.171403253370467E-2</v>
      </c>
      <c r="BM93" s="567">
        <f t="shared" si="849"/>
        <v>0.1004853496314938</v>
      </c>
      <c r="BN93" s="567">
        <f t="shared" si="850"/>
        <v>0.12902024090401093</v>
      </c>
      <c r="BO93" s="567">
        <f t="shared" si="851"/>
        <v>0.16151142355008788</v>
      </c>
      <c r="BP93" s="182">
        <f t="shared" ref="BP93" si="947">BP116/(BP9)</f>
        <v>4.2138623542554821E-2</v>
      </c>
      <c r="BR93" s="567">
        <f t="shared" si="884"/>
        <v>8.171403253370467E-2</v>
      </c>
      <c r="BS93" s="567">
        <f t="shared" si="853"/>
        <v>0.1004853496314938</v>
      </c>
      <c r="BT93" s="567">
        <f t="shared" si="854"/>
        <v>0.12902024090401093</v>
      </c>
      <c r="BU93" s="567">
        <f t="shared" si="855"/>
        <v>0.16151142355008788</v>
      </c>
      <c r="BV93" s="182">
        <f t="shared" ref="BV93" si="948">BV116/(BV9)</f>
        <v>4.2145706843462562E-2</v>
      </c>
      <c r="BX93" s="567">
        <f t="shared" si="886"/>
        <v>8.171403253370467E-2</v>
      </c>
      <c r="BY93" s="567">
        <f t="shared" si="857"/>
        <v>0.1004853496314938</v>
      </c>
      <c r="BZ93" s="567">
        <f t="shared" si="858"/>
        <v>0.12902024090401093</v>
      </c>
      <c r="CA93" s="567">
        <f t="shared" si="859"/>
        <v>0.16151142355008788</v>
      </c>
      <c r="CB93" s="182">
        <f t="shared" ref="CB93" si="949">CB116/(CB9)</f>
        <v>4.2152918854300045E-2</v>
      </c>
      <c r="CD93" s="567">
        <f t="shared" si="888"/>
        <v>8.171403253370467E-2</v>
      </c>
      <c r="CE93" s="567">
        <f t="shared" si="861"/>
        <v>0.1004853496314938</v>
      </c>
      <c r="CF93" s="567">
        <f t="shared" si="862"/>
        <v>0.12902024090401093</v>
      </c>
      <c r="CG93" s="567">
        <f t="shared" si="863"/>
        <v>0.16151142355008788</v>
      </c>
      <c r="CH93" s="182">
        <f t="shared" ref="CH93" si="950">CH116/(CH9)</f>
        <v>4.2160256285858795E-2</v>
      </c>
      <c r="CJ93" s="567">
        <f t="shared" si="890"/>
        <v>8.171403253370467E-2</v>
      </c>
      <c r="CK93" s="567">
        <f t="shared" si="865"/>
        <v>0.1004853496314938</v>
      </c>
      <c r="CL93" s="567">
        <f t="shared" si="866"/>
        <v>0.12902024090401093</v>
      </c>
      <c r="CM93" s="567">
        <f t="shared" si="867"/>
        <v>0.16151142355008788</v>
      </c>
      <c r="CN93" s="182">
        <f t="shared" ref="CN93" si="951">CN116/(CN9)</f>
        <v>4.2167715867378629E-2</v>
      </c>
    </row>
    <row r="94" spans="1:92" ht="12.95" customHeight="1" x14ac:dyDescent="0.25">
      <c r="B94" s="2" t="s">
        <v>562</v>
      </c>
      <c r="D94" s="182">
        <f>D117/(D9)</f>
        <v>0.14080635308491143</v>
      </c>
      <c r="E94" s="182">
        <f t="shared" ref="E94:H94" si="952">E117/(E9)</f>
        <v>0.13529256023298913</v>
      </c>
      <c r="F94" s="182">
        <f t="shared" si="952"/>
        <v>0.13230526592482256</v>
      </c>
      <c r="G94" s="182">
        <f t="shared" si="952"/>
        <v>0.11057692307692307</v>
      </c>
      <c r="H94" s="182">
        <f t="shared" si="952"/>
        <v>3.1366855835642957E-2</v>
      </c>
      <c r="J94" s="182">
        <f>J117/(J9)</f>
        <v>0.10879539622054592</v>
      </c>
      <c r="K94" s="182">
        <f t="shared" ref="K94:N94" si="953">K117/(K9)</f>
        <v>9.8351295410748704E-2</v>
      </c>
      <c r="L94" s="182">
        <f t="shared" si="953"/>
        <v>0.11036269430051814</v>
      </c>
      <c r="M94" s="182">
        <f t="shared" si="953"/>
        <v>8.6668526007530333E-2</v>
      </c>
      <c r="N94" s="182">
        <f t="shared" si="953"/>
        <v>2.2714813055078397E-2</v>
      </c>
      <c r="P94" s="182">
        <f>P117/(P9)</f>
        <v>0.10054953215505719</v>
      </c>
      <c r="Q94" s="182">
        <f t="shared" ref="Q94:T94" si="954">Q117/(Q9)</f>
        <v>8.7513858093126382E-2</v>
      </c>
      <c r="R94" s="182">
        <f t="shared" si="954"/>
        <v>0.10260228875999373</v>
      </c>
      <c r="S94" s="182">
        <f t="shared" si="954"/>
        <v>9.0307364576993301E-2</v>
      </c>
      <c r="T94" s="182">
        <f t="shared" si="954"/>
        <v>2.2063197026022306E-2</v>
      </c>
      <c r="V94" s="182">
        <f>V117/(V9)</f>
        <v>0.12176774800188059</v>
      </c>
      <c r="W94" s="182">
        <f t="shared" ref="W94:Z94" si="955">W117/(W9)</f>
        <v>0.12273682104631389</v>
      </c>
      <c r="X94" s="182">
        <f t="shared" si="955"/>
        <v>0.12235603683837669</v>
      </c>
      <c r="Y94" s="182">
        <f t="shared" si="955"/>
        <v>9.8620382732532264E-2</v>
      </c>
      <c r="Z94" s="182">
        <f t="shared" si="955"/>
        <v>2.6540193542205614E-2</v>
      </c>
      <c r="AB94" s="182">
        <f>AB117/(AB9)</f>
        <v>9.8258601833936227E-2</v>
      </c>
      <c r="AC94" s="182">
        <f t="shared" ref="AC94:AF94" si="956">AC117/(AC9)</f>
        <v>8.9766467530452324E-2</v>
      </c>
      <c r="AD94" s="182">
        <f t="shared" si="956"/>
        <v>9.3167701863354033E-2</v>
      </c>
      <c r="AE94" s="182">
        <f t="shared" si="956"/>
        <v>7.8779533265690677E-2</v>
      </c>
      <c r="AF94" s="182">
        <f t="shared" si="956"/>
        <v>2.1325851955033254E-2</v>
      </c>
      <c r="AG94" s="35"/>
      <c r="AH94" s="182">
        <f>AH117/(AH9)</f>
        <v>0.10214143792773567</v>
      </c>
      <c r="AI94" s="182">
        <f t="shared" ref="AI94:AL94" si="957">AI117/(AI9)</f>
        <v>0.11286586649821015</v>
      </c>
      <c r="AJ94" s="182">
        <f t="shared" si="957"/>
        <v>0.12211551287181539</v>
      </c>
      <c r="AK94" s="182">
        <f t="shared" si="957"/>
        <v>0.11206844610471772</v>
      </c>
      <c r="AL94" s="182">
        <f t="shared" si="957"/>
        <v>3.1298904538341159E-2</v>
      </c>
      <c r="AM94" s="35"/>
      <c r="AN94" s="182">
        <f>AN117/(AN9)</f>
        <v>0.13882234270583785</v>
      </c>
      <c r="AO94" s="182">
        <f t="shared" ref="AO94:AR94" si="958">AO117/(AO9)</f>
        <v>0.12339762097239866</v>
      </c>
      <c r="AP94" s="182">
        <f t="shared" si="958"/>
        <v>0.13878643664485427</v>
      </c>
      <c r="AQ94" s="182">
        <f t="shared" si="958"/>
        <v>0.11300527240773287</v>
      </c>
      <c r="AR94" s="182">
        <f t="shared" si="958"/>
        <v>2.8765284819564568E-2</v>
      </c>
      <c r="AS94" s="35"/>
      <c r="AT94" s="182">
        <f>AT117/(AT9)</f>
        <v>0.13886954870561427</v>
      </c>
      <c r="AU94" s="182">
        <f t="shared" ref="AU94:AX94" si="959">AU117/(AU9)</f>
        <v>0.13925340044340584</v>
      </c>
      <c r="AV94" s="591">
        <f t="shared" si="959"/>
        <v>0.14926114491493853</v>
      </c>
      <c r="AW94" s="612">
        <f t="shared" si="877"/>
        <v>0.11300527240773287</v>
      </c>
      <c r="AX94" s="182">
        <f t="shared" si="959"/>
        <v>2.8886506186476826E-2</v>
      </c>
      <c r="AZ94" s="567">
        <f t="shared" si="878"/>
        <v>0.13886954870561427</v>
      </c>
      <c r="BA94" s="567">
        <f t="shared" si="843"/>
        <v>0.13925340044340584</v>
      </c>
      <c r="BB94" s="567">
        <f t="shared" si="843"/>
        <v>0.14926114491493853</v>
      </c>
      <c r="BC94" s="567">
        <f t="shared" si="843"/>
        <v>0.11300527240773287</v>
      </c>
      <c r="BD94" s="182">
        <f t="shared" ref="BD94" si="960">BD117/(BD9)</f>
        <v>2.9484634148892325E-2</v>
      </c>
      <c r="BF94" s="567">
        <f t="shared" si="880"/>
        <v>0.13886954870561427</v>
      </c>
      <c r="BG94" s="567">
        <f t="shared" si="845"/>
        <v>0.13925340044340584</v>
      </c>
      <c r="BH94" s="567">
        <f t="shared" si="846"/>
        <v>0.14926114491493853</v>
      </c>
      <c r="BI94" s="567">
        <f t="shared" si="847"/>
        <v>0.11300527240773287</v>
      </c>
      <c r="BJ94" s="182">
        <f t="shared" ref="BJ94" si="961">BJ117/(BJ9)</f>
        <v>2.947841704250951E-2</v>
      </c>
      <c r="BL94" s="567">
        <f t="shared" si="882"/>
        <v>0.13886954870561427</v>
      </c>
      <c r="BM94" s="567">
        <f t="shared" si="849"/>
        <v>0.13925340044340584</v>
      </c>
      <c r="BN94" s="567">
        <f t="shared" si="850"/>
        <v>0.14926114491493853</v>
      </c>
      <c r="BO94" s="567">
        <f t="shared" si="851"/>
        <v>0.11300527240773287</v>
      </c>
      <c r="BP94" s="182">
        <f t="shared" ref="BP94" si="962">BP117/(BP9)</f>
        <v>2.9483280672320731E-2</v>
      </c>
      <c r="BR94" s="567">
        <f t="shared" si="884"/>
        <v>0.13886954870561427</v>
      </c>
      <c r="BS94" s="567">
        <f t="shared" si="853"/>
        <v>0.13925340044340584</v>
      </c>
      <c r="BT94" s="567">
        <f t="shared" si="854"/>
        <v>0.14926114491493853</v>
      </c>
      <c r="BU94" s="567">
        <f t="shared" si="855"/>
        <v>0.11300527240773287</v>
      </c>
      <c r="BV94" s="182">
        <f t="shared" ref="BV94" si="963">BV117/(BV9)</f>
        <v>2.948823667067076E-2</v>
      </c>
      <c r="BX94" s="567">
        <f t="shared" si="886"/>
        <v>0.13886954870561427</v>
      </c>
      <c r="BY94" s="567">
        <f t="shared" si="857"/>
        <v>0.13925340044340584</v>
      </c>
      <c r="BZ94" s="567">
        <f t="shared" si="858"/>
        <v>0.14926114491493853</v>
      </c>
      <c r="CA94" s="567">
        <f t="shared" si="859"/>
        <v>0.11300527240773287</v>
      </c>
      <c r="CB94" s="182">
        <f t="shared" ref="CB94" si="964">CB117/(CB9)</f>
        <v>2.9493282723955312E-2</v>
      </c>
      <c r="CD94" s="567">
        <f t="shared" si="888"/>
        <v>0.13886954870561427</v>
      </c>
      <c r="CE94" s="567">
        <f t="shared" si="861"/>
        <v>0.13925340044340584</v>
      </c>
      <c r="CF94" s="567">
        <f t="shared" si="862"/>
        <v>0.14926114491493853</v>
      </c>
      <c r="CG94" s="567">
        <f t="shared" si="863"/>
        <v>0.11300527240773287</v>
      </c>
      <c r="CH94" s="182">
        <f t="shared" ref="CH94" si="965">CH117/(CH9)</f>
        <v>2.949841653080218E-2</v>
      </c>
      <c r="CJ94" s="567">
        <f t="shared" si="890"/>
        <v>0.13886954870561427</v>
      </c>
      <c r="CK94" s="567">
        <f t="shared" si="865"/>
        <v>0.13925340044340584</v>
      </c>
      <c r="CL94" s="567">
        <f t="shared" si="866"/>
        <v>0.14926114491493853</v>
      </c>
      <c r="CM94" s="567">
        <f t="shared" si="867"/>
        <v>0.11300527240773287</v>
      </c>
      <c r="CN94" s="182">
        <f t="shared" ref="CN94" si="966">CN117/(CN9)</f>
        <v>2.9503635802746963E-2</v>
      </c>
    </row>
    <row r="95" spans="1:92" ht="12.95" customHeight="1" x14ac:dyDescent="0.25">
      <c r="B95" s="2" t="s">
        <v>563</v>
      </c>
      <c r="D95" s="182">
        <f>D110/(D9)</f>
        <v>0.16554673182651192</v>
      </c>
      <c r="E95" s="182">
        <f t="shared" ref="E95:H95" si="967">E110/(E9)</f>
        <v>0.15197246491924807</v>
      </c>
      <c r="F95" s="182">
        <f t="shared" si="967"/>
        <v>0.15867869972837992</v>
      </c>
      <c r="G95" s="182">
        <f t="shared" si="967"/>
        <v>0.15718052109181141</v>
      </c>
      <c r="H95" s="182">
        <f t="shared" si="967"/>
        <v>4.4586687783203557E-2</v>
      </c>
      <c r="J95" s="182">
        <f>J110/(J9)</f>
        <v>0.16766467065868262</v>
      </c>
      <c r="K95" s="182">
        <f t="shared" ref="K95:N95" si="968">K110/(K9)</f>
        <v>0.16258653914781243</v>
      </c>
      <c r="L95" s="182">
        <f t="shared" si="968"/>
        <v>0.16861584011843078</v>
      </c>
      <c r="M95" s="182">
        <f t="shared" si="968"/>
        <v>0.16259935852740204</v>
      </c>
      <c r="N95" s="182">
        <f t="shared" si="968"/>
        <v>4.2615401483863891E-2</v>
      </c>
      <c r="P95" s="182">
        <f>P110/(P9)</f>
        <v>0.23332838259319769</v>
      </c>
      <c r="Q95" s="182">
        <f t="shared" ref="Q95:T95" si="969">Q110/(Q9)</f>
        <v>0.22131374722838137</v>
      </c>
      <c r="R95" s="182">
        <f t="shared" si="969"/>
        <v>0.25411506505721898</v>
      </c>
      <c r="S95" s="182">
        <f t="shared" si="969"/>
        <v>0.25410833840535607</v>
      </c>
      <c r="T95" s="182">
        <f t="shared" si="969"/>
        <v>6.20817843866171E-2</v>
      </c>
      <c r="V95" s="182">
        <f>V110/(V9)</f>
        <v>0.33464974141984016</v>
      </c>
      <c r="W95" s="182">
        <f t="shared" ref="W95:Z95" si="970">W110/(W9)</f>
        <v>0.3550065019505852</v>
      </c>
      <c r="X95" s="182">
        <f t="shared" si="970"/>
        <v>0.35522720372431937</v>
      </c>
      <c r="Y95" s="182">
        <f t="shared" si="970"/>
        <v>0.34063195371606586</v>
      </c>
      <c r="Z95" s="182">
        <f t="shared" si="970"/>
        <v>9.1669061990993575E-2</v>
      </c>
      <c r="AB95" s="182">
        <f>AB110/(AB9)</f>
        <v>0.33271641288802895</v>
      </c>
      <c r="AC95" s="182">
        <f t="shared" ref="AC95:AF95" si="971">AC110/(AC9)</f>
        <v>0.30553184886337187</v>
      </c>
      <c r="AD95" s="182">
        <f t="shared" si="971"/>
        <v>0.31386625796563683</v>
      </c>
      <c r="AE95" s="182">
        <f t="shared" si="971"/>
        <v>0.29939121611827801</v>
      </c>
      <c r="AF95" s="182">
        <f t="shared" si="971"/>
        <v>8.1046085028741832E-2</v>
      </c>
      <c r="AG95" s="35"/>
      <c r="AH95" s="182">
        <f>AH110/(AH9)</f>
        <v>0.34380749135330047</v>
      </c>
      <c r="AI95" s="182">
        <f t="shared" ref="AI95:AL95" si="972">AI110/(AI9)</f>
        <v>0.3233663227346108</v>
      </c>
      <c r="AJ95" s="182">
        <f t="shared" si="972"/>
        <v>0.29571828731492594</v>
      </c>
      <c r="AK95" s="182">
        <f t="shared" si="972"/>
        <v>0.27673675965535938</v>
      </c>
      <c r="AL95" s="182">
        <f t="shared" si="972"/>
        <v>7.7288101368065021E-2</v>
      </c>
      <c r="AM95" s="35"/>
      <c r="AN95" s="182">
        <f>AN110/(AN9)</f>
        <v>0.28710124826629679</v>
      </c>
      <c r="AO95" s="182">
        <f t="shared" ref="AO95:AR95" si="973">AO110/(AO9)</f>
        <v>0.26504215267351888</v>
      </c>
      <c r="AP95" s="182">
        <f t="shared" si="973"/>
        <v>0.29095776323616895</v>
      </c>
      <c r="AQ95" s="182">
        <f t="shared" si="973"/>
        <v>0.30796719390743993</v>
      </c>
      <c r="AR95" s="182">
        <f t="shared" si="973"/>
        <v>7.8392484342379956E-2</v>
      </c>
      <c r="AS95" s="35"/>
      <c r="AT95" s="182">
        <f>AT110/(AT9)</f>
        <v>0.32628647382745746</v>
      </c>
      <c r="AU95" s="182">
        <f t="shared" ref="AU95:AX95" si="974">AU110/(AU9)</f>
        <v>0.30007789561986936</v>
      </c>
      <c r="AV95" s="591">
        <f t="shared" si="974"/>
        <v>0.31454116478331057</v>
      </c>
      <c r="AW95" s="612">
        <f t="shared" si="877"/>
        <v>0.30796719390743993</v>
      </c>
      <c r="AX95" s="182">
        <f t="shared" si="974"/>
        <v>7.8722842416956276E-2</v>
      </c>
      <c r="AZ95" s="567">
        <f t="shared" si="878"/>
        <v>0.32628647382745746</v>
      </c>
      <c r="BA95" s="567">
        <f t="shared" si="843"/>
        <v>0.30007789561986936</v>
      </c>
      <c r="BB95" s="567">
        <f t="shared" si="843"/>
        <v>0.31454116478331057</v>
      </c>
      <c r="BC95" s="567">
        <f t="shared" si="843"/>
        <v>0.30796719390743993</v>
      </c>
      <c r="BD95" s="182">
        <f t="shared" ref="BD95" si="975">BD110/(BD9)</f>
        <v>8.0352888398510597E-2</v>
      </c>
      <c r="BF95" s="567">
        <f t="shared" si="880"/>
        <v>0.32628647382745746</v>
      </c>
      <c r="BG95" s="567">
        <f t="shared" si="845"/>
        <v>0.30007789561986936</v>
      </c>
      <c r="BH95" s="567">
        <f t="shared" si="846"/>
        <v>0.31454116478331057</v>
      </c>
      <c r="BI95" s="567">
        <f t="shared" si="847"/>
        <v>0.30796719390743993</v>
      </c>
      <c r="BJ95" s="182">
        <f t="shared" ref="BJ95" si="976">BJ110/(BJ9)</f>
        <v>8.0335945252707347E-2</v>
      </c>
      <c r="BL95" s="567">
        <f t="shared" si="882"/>
        <v>0.32628647382745746</v>
      </c>
      <c r="BM95" s="567">
        <f t="shared" si="849"/>
        <v>0.30007789561986936</v>
      </c>
      <c r="BN95" s="567">
        <f t="shared" si="850"/>
        <v>0.31454116478331057</v>
      </c>
      <c r="BO95" s="567">
        <f t="shared" si="851"/>
        <v>0.30796719390743993</v>
      </c>
      <c r="BP95" s="182">
        <f t="shared" ref="BP95" si="977">BP110/(BP9)</f>
        <v>8.0349199841570795E-2</v>
      </c>
      <c r="BR95" s="567">
        <f t="shared" si="884"/>
        <v>0.32628647382745746</v>
      </c>
      <c r="BS95" s="567">
        <f t="shared" si="853"/>
        <v>0.30007789561986936</v>
      </c>
      <c r="BT95" s="567">
        <f t="shared" si="854"/>
        <v>0.31454116478331057</v>
      </c>
      <c r="BU95" s="567">
        <f t="shared" si="855"/>
        <v>0.30796719390743993</v>
      </c>
      <c r="BV95" s="182">
        <f t="shared" ref="BV95" si="978">BV110/(BV9)</f>
        <v>8.0362706157447464E-2</v>
      </c>
      <c r="BX95" s="567">
        <f t="shared" si="886"/>
        <v>0.32628647382745746</v>
      </c>
      <c r="BY95" s="567">
        <f t="shared" si="857"/>
        <v>0.30007789561986936</v>
      </c>
      <c r="BZ95" s="567">
        <f t="shared" si="858"/>
        <v>0.31454116478331057</v>
      </c>
      <c r="CA95" s="567">
        <f t="shared" si="859"/>
        <v>0.30796719390743993</v>
      </c>
      <c r="CB95" s="182">
        <f t="shared" ref="CB95" si="979">CB110/(CB9)</f>
        <v>8.0376457895195999E-2</v>
      </c>
      <c r="CD95" s="567">
        <f t="shared" si="888"/>
        <v>0.32628647382745746</v>
      </c>
      <c r="CE95" s="567">
        <f t="shared" si="861"/>
        <v>0.30007789561986936</v>
      </c>
      <c r="CF95" s="567">
        <f t="shared" si="862"/>
        <v>0.31454116478331057</v>
      </c>
      <c r="CG95" s="567">
        <f t="shared" si="863"/>
        <v>0.30796719390743993</v>
      </c>
      <c r="CH95" s="182">
        <f t="shared" ref="CH95" si="980">CH110/(CH9)</f>
        <v>8.0390448783010396E-2</v>
      </c>
      <c r="CJ95" s="567">
        <f t="shared" si="890"/>
        <v>0.32628647382745746</v>
      </c>
      <c r="CK95" s="567">
        <f t="shared" si="865"/>
        <v>0.30007789561986936</v>
      </c>
      <c r="CL95" s="567">
        <f t="shared" si="866"/>
        <v>0.31454116478331057</v>
      </c>
      <c r="CM95" s="567">
        <f t="shared" si="867"/>
        <v>0.30796719390743993</v>
      </c>
      <c r="CN95" s="182">
        <f t="shared" ref="CN95" si="981">CN110/(CN9)</f>
        <v>8.0404672584261677E-2</v>
      </c>
    </row>
    <row r="96" spans="1:92" ht="12.95" customHeight="1" x14ac:dyDescent="0.25">
      <c r="B96" s="2" t="s">
        <v>564</v>
      </c>
      <c r="D96" s="182">
        <f>D119/(D9)</f>
        <v>0.16707391569945021</v>
      </c>
      <c r="E96" s="182">
        <f t="shared" ref="E96:H96" si="982">E119/(E9)</f>
        <v>0.15770894007589797</v>
      </c>
      <c r="F96" s="182">
        <f t="shared" si="982"/>
        <v>0.15280820117409971</v>
      </c>
      <c r="G96" s="182">
        <f t="shared" si="982"/>
        <v>0.13508064516129031</v>
      </c>
      <c r="H96" s="182">
        <f t="shared" si="982"/>
        <v>3.8317715894593284E-2</v>
      </c>
      <c r="J96" s="182">
        <f>J119/(J9)</f>
        <v>0.14697876973326074</v>
      </c>
      <c r="K96" s="182">
        <f t="shared" ref="K96:N96" si="983">K119/(K9)</f>
        <v>0.13353793448005138</v>
      </c>
      <c r="L96" s="182">
        <f t="shared" si="983"/>
        <v>0.13819393042190969</v>
      </c>
      <c r="M96" s="182">
        <f t="shared" si="983"/>
        <v>0.13380281690140844</v>
      </c>
      <c r="N96" s="182">
        <f t="shared" si="983"/>
        <v>3.5068162713351121E-2</v>
      </c>
      <c r="P96" s="182">
        <f>P119/(P9)</f>
        <v>0.17436506757760284</v>
      </c>
      <c r="Q96" s="182">
        <f t="shared" ref="Q96:T96" si="984">Q119/(Q9)</f>
        <v>0.14945953436807094</v>
      </c>
      <c r="R96" s="182">
        <f t="shared" si="984"/>
        <v>0.1715002351465747</v>
      </c>
      <c r="S96" s="182">
        <f t="shared" si="984"/>
        <v>0.16395313451004259</v>
      </c>
      <c r="T96" s="182">
        <f t="shared" si="984"/>
        <v>4.0055762081784387E-2</v>
      </c>
      <c r="V96" s="182">
        <f>V119/(V9)</f>
        <v>0.19501645510108134</v>
      </c>
      <c r="W96" s="182">
        <f t="shared" ref="W96:Z96" si="985">W119/(W9)</f>
        <v>0.21436430929278782</v>
      </c>
      <c r="X96" s="182">
        <f t="shared" si="985"/>
        <v>0.20018216779678169</v>
      </c>
      <c r="Y96" s="182">
        <f t="shared" si="985"/>
        <v>0.17952825990209167</v>
      </c>
      <c r="Z96" s="182">
        <f t="shared" si="985"/>
        <v>4.8313691673852639E-2</v>
      </c>
      <c r="AB96" s="182">
        <f>AB119/(AB9)</f>
        <v>0.17119542357196937</v>
      </c>
      <c r="AC96" s="182">
        <f t="shared" ref="AC96:AF96" si="986">AC119/(AC9)</f>
        <v>0.16494685390643185</v>
      </c>
      <c r="AD96" s="182">
        <f t="shared" si="986"/>
        <v>0.1870613858191498</v>
      </c>
      <c r="AE96" s="182">
        <f t="shared" si="986"/>
        <v>0.16350195680533411</v>
      </c>
      <c r="AF96" s="182">
        <f t="shared" si="986"/>
        <v>4.4260461831237372E-2</v>
      </c>
      <c r="AG96" s="35"/>
      <c r="AH96" s="182">
        <f>AH119/(AH9)</f>
        <v>0.1733019353889175</v>
      </c>
      <c r="AI96" s="182">
        <f t="shared" ref="AI96:AL96" si="987">AI119/(AI9)</f>
        <v>0.16375377272408226</v>
      </c>
      <c r="AJ96" s="182">
        <f t="shared" si="987"/>
        <v>0.19194344404428437</v>
      </c>
      <c r="AK96" s="182">
        <f t="shared" si="987"/>
        <v>0.16207748388262938</v>
      </c>
      <c r="AL96" s="182">
        <f t="shared" si="987"/>
        <v>4.5265620004375118E-2</v>
      </c>
      <c r="AM96" s="35"/>
      <c r="AN96" s="182">
        <f>AN119/(AN9)</f>
        <v>0.19133778842516708</v>
      </c>
      <c r="AO96" s="182">
        <f t="shared" ref="AO96:AR96" si="988">AO119/(AO9)</f>
        <v>0.17952419447973206</v>
      </c>
      <c r="AP96" s="182">
        <f t="shared" si="988"/>
        <v>0.18530636525877453</v>
      </c>
      <c r="AQ96" s="182">
        <f t="shared" si="988"/>
        <v>0.18295254833040422</v>
      </c>
      <c r="AR96" s="182">
        <f t="shared" si="988"/>
        <v>4.6570235609901582E-2</v>
      </c>
      <c r="AS96" s="35"/>
      <c r="AT96" s="182">
        <f>AT119/(AT9)</f>
        <v>0.2066586492816001</v>
      </c>
      <c r="AU96" s="182">
        <f t="shared" ref="AU96:AX96" si="989">AU119/(AU9)</f>
        <v>0.17268859727964528</v>
      </c>
      <c r="AV96" s="591">
        <f t="shared" si="989"/>
        <v>0.18216813609834845</v>
      </c>
      <c r="AW96" s="612">
        <f t="shared" si="877"/>
        <v>0.18295254833040422</v>
      </c>
      <c r="AX96" s="182">
        <f t="shared" si="989"/>
        <v>4.6766489798013025E-2</v>
      </c>
      <c r="AZ96" s="567">
        <f t="shared" si="878"/>
        <v>0.2066586492816001</v>
      </c>
      <c r="BA96" s="567">
        <f t="shared" si="843"/>
        <v>0.17268859727964528</v>
      </c>
      <c r="BB96" s="567">
        <f t="shared" si="843"/>
        <v>0.18216813609834845</v>
      </c>
      <c r="BC96" s="567">
        <f t="shared" si="843"/>
        <v>0.18295254833040422</v>
      </c>
      <c r="BD96" s="182">
        <f t="shared" ref="BD96" si="990">BD119/(BD9)</f>
        <v>4.7734843155516189E-2</v>
      </c>
      <c r="BF96" s="567">
        <f t="shared" si="880"/>
        <v>0.2066586492816001</v>
      </c>
      <c r="BG96" s="567">
        <f t="shared" si="845"/>
        <v>0.17268859727964528</v>
      </c>
      <c r="BH96" s="567">
        <f t="shared" si="846"/>
        <v>0.18216813609834845</v>
      </c>
      <c r="BI96" s="567">
        <f t="shared" si="847"/>
        <v>0.18295254833040422</v>
      </c>
      <c r="BJ96" s="182">
        <f t="shared" ref="BJ96" si="991">BJ119/(BJ9)</f>
        <v>4.7724777824653813E-2</v>
      </c>
      <c r="BL96" s="567">
        <f t="shared" si="882"/>
        <v>0.2066586492816001</v>
      </c>
      <c r="BM96" s="567">
        <f t="shared" si="849"/>
        <v>0.17268859727964528</v>
      </c>
      <c r="BN96" s="567">
        <f t="shared" si="850"/>
        <v>0.18216813609834845</v>
      </c>
      <c r="BO96" s="567">
        <f t="shared" si="851"/>
        <v>0.18295254833040422</v>
      </c>
      <c r="BP96" s="182">
        <f t="shared" ref="BP96" si="992">BP119/(BP9)</f>
        <v>4.773265191273076E-2</v>
      </c>
      <c r="BR96" s="567">
        <f t="shared" si="884"/>
        <v>0.2066586492816001</v>
      </c>
      <c r="BS96" s="567">
        <f t="shared" si="853"/>
        <v>0.17268859727964528</v>
      </c>
      <c r="BT96" s="567">
        <f t="shared" si="854"/>
        <v>0.18216813609834845</v>
      </c>
      <c r="BU96" s="567">
        <f t="shared" si="855"/>
        <v>0.18295254833040422</v>
      </c>
      <c r="BV96" s="182">
        <f t="shared" ref="BV96" si="993">BV119/(BV9)</f>
        <v>4.7740675543029958E-2</v>
      </c>
      <c r="BX96" s="567">
        <f t="shared" si="886"/>
        <v>0.2066586492816001</v>
      </c>
      <c r="BY96" s="567">
        <f t="shared" si="857"/>
        <v>0.17268859727964528</v>
      </c>
      <c r="BZ96" s="567">
        <f t="shared" si="858"/>
        <v>0.18216813609834845</v>
      </c>
      <c r="CA96" s="567">
        <f t="shared" si="859"/>
        <v>0.18295254833040422</v>
      </c>
      <c r="CB96" s="182">
        <f t="shared" ref="CB96" si="994">CB119/(CB9)</f>
        <v>4.7748844969887218E-2</v>
      </c>
      <c r="CD96" s="567">
        <f t="shared" si="888"/>
        <v>0.2066586492816001</v>
      </c>
      <c r="CE96" s="567">
        <f t="shared" si="861"/>
        <v>0.17268859727964528</v>
      </c>
      <c r="CF96" s="567">
        <f t="shared" si="862"/>
        <v>0.18216813609834845</v>
      </c>
      <c r="CG96" s="567">
        <f t="shared" si="863"/>
        <v>0.18295254833040422</v>
      </c>
      <c r="CH96" s="182">
        <f t="shared" ref="CH96" si="995">CH119/(CH9)</f>
        <v>4.7757156467441796E-2</v>
      </c>
      <c r="CJ96" s="567">
        <f t="shared" si="890"/>
        <v>0.2066586492816001</v>
      </c>
      <c r="CK96" s="567">
        <f t="shared" si="865"/>
        <v>0.17268859727964528</v>
      </c>
      <c r="CL96" s="567">
        <f t="shared" si="866"/>
        <v>0.18216813609834845</v>
      </c>
      <c r="CM96" s="567">
        <f t="shared" si="867"/>
        <v>0.18295254833040422</v>
      </c>
      <c r="CN96" s="182">
        <f t="shared" ref="CN96" si="996">CN119/(CN9)</f>
        <v>4.7765606330730313E-2</v>
      </c>
    </row>
    <row r="97" spans="1:92" s="403" customFormat="1" ht="12.95" customHeight="1" x14ac:dyDescent="0.25">
      <c r="A97" s="1"/>
      <c r="D97" s="459"/>
      <c r="E97" s="459"/>
      <c r="F97" s="459"/>
      <c r="G97" s="459"/>
      <c r="H97" s="459"/>
      <c r="J97" s="459"/>
      <c r="K97" s="459"/>
      <c r="L97" s="459"/>
      <c r="M97" s="459"/>
      <c r="N97" s="459"/>
      <c r="P97" s="459"/>
      <c r="Q97" s="459"/>
      <c r="R97" s="459"/>
      <c r="S97" s="459"/>
      <c r="T97" s="459"/>
      <c r="V97" s="459"/>
      <c r="W97" s="459"/>
      <c r="X97" s="459"/>
      <c r="Y97" s="460"/>
      <c r="Z97" s="459"/>
      <c r="AB97" s="460"/>
      <c r="AC97" s="461"/>
      <c r="AD97" s="461"/>
      <c r="AE97" s="461"/>
      <c r="AF97" s="462"/>
      <c r="AG97" s="463"/>
      <c r="AH97" s="464"/>
      <c r="AI97" s="464"/>
      <c r="AJ97" s="464"/>
      <c r="AK97" s="464"/>
      <c r="AL97" s="465"/>
      <c r="AM97" s="465"/>
      <c r="AN97" s="464"/>
      <c r="AO97" s="464"/>
      <c r="AP97" s="464"/>
      <c r="AQ97" s="464"/>
      <c r="AR97" s="464"/>
      <c r="AS97" s="465"/>
      <c r="AT97" s="464"/>
      <c r="AU97" s="464"/>
      <c r="AV97" s="464"/>
      <c r="AW97" s="466"/>
      <c r="AX97" s="464"/>
      <c r="AY97" s="464"/>
      <c r="AZ97" s="464"/>
      <c r="BA97" s="464"/>
      <c r="BB97" s="464"/>
      <c r="BC97" s="464"/>
      <c r="BD97" s="464"/>
      <c r="BE97" s="464"/>
      <c r="BF97" s="464"/>
      <c r="BG97" s="464"/>
      <c r="BH97" s="464"/>
      <c r="BI97" s="464"/>
      <c r="BJ97" s="464"/>
      <c r="BK97" s="464"/>
      <c r="BL97" s="464"/>
      <c r="BM97" s="464"/>
      <c r="BN97" s="464"/>
      <c r="BO97" s="464"/>
      <c r="BP97" s="464"/>
      <c r="BQ97" s="464"/>
      <c r="BR97" s="464"/>
      <c r="BS97" s="464"/>
      <c r="BT97" s="464"/>
      <c r="BU97" s="464"/>
      <c r="BV97" s="464"/>
      <c r="BW97" s="464"/>
      <c r="BX97" s="464"/>
      <c r="BY97" s="464"/>
      <c r="BZ97" s="464"/>
      <c r="CA97" s="464"/>
      <c r="CB97" s="464"/>
      <c r="CC97" s="464"/>
      <c r="CD97" s="464"/>
      <c r="CE97" s="464"/>
      <c r="CF97" s="464"/>
      <c r="CG97" s="464"/>
      <c r="CH97" s="464"/>
      <c r="CI97" s="464"/>
      <c r="CJ97" s="464"/>
      <c r="CK97" s="464"/>
      <c r="CL97" s="464"/>
      <c r="CM97" s="464"/>
      <c r="CN97" s="464"/>
    </row>
    <row r="98" spans="1:92" ht="12.95" customHeight="1" x14ac:dyDescent="0.25">
      <c r="A98" s="1" t="s">
        <v>4</v>
      </c>
      <c r="B98" s="34" t="s">
        <v>70</v>
      </c>
      <c r="D98" s="9"/>
      <c r="E98" s="9"/>
      <c r="F98" s="9"/>
      <c r="G98" s="9"/>
      <c r="H98" s="9"/>
      <c r="J98" s="9"/>
      <c r="K98" s="9"/>
      <c r="L98" s="9"/>
      <c r="M98" s="9"/>
      <c r="N98" s="9"/>
      <c r="P98" s="9"/>
      <c r="Q98" s="9"/>
      <c r="R98" s="9"/>
      <c r="S98" s="9"/>
      <c r="T98" s="9"/>
      <c r="V98" s="9"/>
      <c r="W98" s="9"/>
      <c r="X98" s="9"/>
      <c r="Y98" s="9"/>
      <c r="Z98" s="9"/>
      <c r="AB98" s="9"/>
      <c r="AC98" s="9"/>
      <c r="AD98" s="9"/>
      <c r="AE98" s="9"/>
      <c r="AF98" s="9"/>
      <c r="AG98" s="8"/>
      <c r="AH98" s="9"/>
      <c r="AI98" s="9"/>
      <c r="AJ98" s="9"/>
      <c r="AK98" s="9"/>
      <c r="AL98" s="9"/>
      <c r="AM98" s="8"/>
      <c r="AN98" s="9"/>
      <c r="AO98" s="241"/>
      <c r="AP98" s="9"/>
      <c r="AQ98" s="241"/>
      <c r="AR98" s="241"/>
      <c r="AS98" s="8"/>
      <c r="AT98" s="9"/>
      <c r="AU98" s="241"/>
      <c r="AV98" s="241"/>
      <c r="AW98" s="160"/>
      <c r="AX98" s="9"/>
      <c r="AZ98" s="241"/>
      <c r="BF98" s="241"/>
      <c r="BL98" s="241"/>
      <c r="BR98" s="241"/>
      <c r="BX98" s="241"/>
      <c r="CD98" s="241"/>
      <c r="CJ98" s="241"/>
    </row>
    <row r="99" spans="1:92" ht="12.95" customHeight="1" x14ac:dyDescent="0.25">
      <c r="B99" s="31" t="s">
        <v>59</v>
      </c>
      <c r="D99" s="74">
        <v>9472</v>
      </c>
      <c r="E99" s="74">
        <v>10232</v>
      </c>
      <c r="F99" s="74">
        <v>9591</v>
      </c>
      <c r="G99" s="74">
        <v>8261</v>
      </c>
      <c r="H99" s="27">
        <f>+G99</f>
        <v>8261</v>
      </c>
      <c r="I99" s="6"/>
      <c r="J99" s="74">
        <v>7888</v>
      </c>
      <c r="K99" s="74">
        <v>8654</v>
      </c>
      <c r="L99" s="74">
        <v>8007</v>
      </c>
      <c r="M99" s="74">
        <v>7857</v>
      </c>
      <c r="N99" s="27">
        <f>+M99</f>
        <v>7857</v>
      </c>
      <c r="O99" s="6"/>
      <c r="P99" s="74">
        <v>7128</v>
      </c>
      <c r="Q99" s="74">
        <v>7429</v>
      </c>
      <c r="R99" s="74">
        <v>7906</v>
      </c>
      <c r="S99" s="74">
        <v>8284</v>
      </c>
      <c r="T99" s="27">
        <f>+S99</f>
        <v>8284</v>
      </c>
      <c r="U99" s="6"/>
      <c r="V99" s="74">
        <v>7123</v>
      </c>
      <c r="W99" s="74">
        <v>8784</v>
      </c>
      <c r="X99" s="74">
        <v>9315</v>
      </c>
      <c r="Y99" s="74">
        <v>9352</v>
      </c>
      <c r="Z99" s="27">
        <f>+Y99</f>
        <v>9352</v>
      </c>
      <c r="AA99" s="27"/>
      <c r="AB99" s="74">
        <v>11342</v>
      </c>
      <c r="AC99" s="74">
        <v>10831</v>
      </c>
      <c r="AD99" s="74">
        <v>9446</v>
      </c>
      <c r="AE99" s="74">
        <v>9254</v>
      </c>
      <c r="AF99" s="27">
        <f>+AE99</f>
        <v>9254</v>
      </c>
      <c r="AG99" s="27"/>
      <c r="AH99" s="74">
        <v>6526</v>
      </c>
      <c r="AI99" s="74">
        <v>6014</v>
      </c>
      <c r="AJ99" s="74">
        <v>6346</v>
      </c>
      <c r="AK99" s="74">
        <v>7004</v>
      </c>
      <c r="AL99" s="27">
        <f>+AK99</f>
        <v>7004</v>
      </c>
      <c r="AM99" s="78"/>
      <c r="AN99" s="74">
        <v>6789</v>
      </c>
      <c r="AO99" s="248">
        <v>7387</v>
      </c>
      <c r="AP99" s="74">
        <v>6545</v>
      </c>
      <c r="AQ99" s="248">
        <v>6978</v>
      </c>
      <c r="AR99" s="235">
        <f>+AQ99</f>
        <v>6978</v>
      </c>
      <c r="AS99" s="27"/>
      <c r="AT99" s="74">
        <v>4959</v>
      </c>
      <c r="AU99" s="248">
        <v>4341</v>
      </c>
      <c r="AV99" s="248">
        <v>5638</v>
      </c>
      <c r="AW99" s="158">
        <f t="shared" ref="AW99" si="997">AW194</f>
        <v>7627.0546821217149</v>
      </c>
      <c r="AX99" s="27">
        <f>AW99</f>
        <v>7627.0546821217149</v>
      </c>
      <c r="AY99" s="27"/>
      <c r="AZ99" s="235">
        <f t="shared" ref="AZ99:BA99" si="998">AZ194</f>
        <v>5906.6664753610494</v>
      </c>
      <c r="BA99" s="235">
        <f t="shared" si="998"/>
        <v>6423.8433907215149</v>
      </c>
      <c r="BB99" s="235">
        <f t="shared" ref="BB99:BC99" si="999">BB194</f>
        <v>7019.2077742397223</v>
      </c>
      <c r="BC99" s="235">
        <f t="shared" si="999"/>
        <v>8318.1652028620629</v>
      </c>
      <c r="BD99" s="27">
        <f>BC99</f>
        <v>8318.1652028620629</v>
      </c>
      <c r="BE99" s="27"/>
      <c r="BF99" s="235">
        <f t="shared" ref="BF99:BI99" si="1000">BF194</f>
        <v>6566.4594697638677</v>
      </c>
      <c r="BG99" s="235">
        <f t="shared" si="1000"/>
        <v>7257.5426074869793</v>
      </c>
      <c r="BH99" s="235">
        <f t="shared" si="1000"/>
        <v>7792.0474867872208</v>
      </c>
      <c r="BI99" s="235">
        <f t="shared" si="1000"/>
        <v>9041.0535231054164</v>
      </c>
      <c r="BJ99" s="27">
        <f>BI99</f>
        <v>9041.0535231054164</v>
      </c>
      <c r="BK99" s="27"/>
      <c r="BL99" s="235">
        <f t="shared" ref="BL99:BO99" si="1001">BL194</f>
        <v>7061.3446858793395</v>
      </c>
      <c r="BM99" s="235">
        <f t="shared" si="1001"/>
        <v>7622.3851340619058</v>
      </c>
      <c r="BN99" s="235">
        <f t="shared" si="1001"/>
        <v>8298.238007554557</v>
      </c>
      <c r="BO99" s="235">
        <f t="shared" si="1001"/>
        <v>9699.0042121647766</v>
      </c>
      <c r="BP99" s="27">
        <f>BO99</f>
        <v>9699.0042121647766</v>
      </c>
      <c r="BQ99" s="27"/>
      <c r="BR99" s="235">
        <f t="shared" ref="BR99:BU99" si="1002">BR194</f>
        <v>7761.1061231774538</v>
      </c>
      <c r="BS99" s="235">
        <f t="shared" si="1002"/>
        <v>8433.1099538781309</v>
      </c>
      <c r="BT99" s="235">
        <f t="shared" si="1002"/>
        <v>9013.185359641273</v>
      </c>
      <c r="BU99" s="235">
        <f t="shared" si="1002"/>
        <v>10335.899481031291</v>
      </c>
      <c r="BV99" s="27">
        <f>BU99</f>
        <v>10335.899481031291</v>
      </c>
      <c r="BW99" s="27"/>
      <c r="BX99" s="235">
        <f t="shared" ref="BX99:CA99" si="1003">BX194</f>
        <v>8176.9448763311293</v>
      </c>
      <c r="BY99" s="235">
        <f t="shared" si="1003"/>
        <v>8589.9201056975762</v>
      </c>
      <c r="BZ99" s="235">
        <f t="shared" si="1003"/>
        <v>9360.3559029264798</v>
      </c>
      <c r="CA99" s="235">
        <f t="shared" si="1003"/>
        <v>10890.683716716772</v>
      </c>
      <c r="CB99" s="27">
        <f>CA99</f>
        <v>10890.683716716772</v>
      </c>
      <c r="CC99" s="27"/>
      <c r="CD99" s="235">
        <f t="shared" ref="CD99:CG99" si="1004">CD194</f>
        <v>8788.0459856997895</v>
      </c>
      <c r="CE99" s="235">
        <f t="shared" si="1004"/>
        <v>9566.4554840774217</v>
      </c>
      <c r="CF99" s="235">
        <f t="shared" si="1004"/>
        <v>10039.031707752325</v>
      </c>
      <c r="CG99" s="235">
        <f t="shared" si="1004"/>
        <v>11292.65668422077</v>
      </c>
      <c r="CH99" s="27">
        <f>CG99</f>
        <v>11292.65668422077</v>
      </c>
      <c r="CI99" s="27"/>
      <c r="CJ99" s="235">
        <f t="shared" ref="CJ99:CM99" si="1005">CJ194</f>
        <v>8275.2032579539955</v>
      </c>
      <c r="CK99" s="235">
        <f t="shared" si="1005"/>
        <v>8517.5938340589601</v>
      </c>
      <c r="CL99" s="235">
        <f t="shared" si="1005"/>
        <v>9224.9522705175696</v>
      </c>
      <c r="CM99" s="235">
        <f t="shared" si="1005"/>
        <v>10731.23863286049</v>
      </c>
      <c r="CN99" s="27">
        <f>CM99</f>
        <v>10731.23863286049</v>
      </c>
    </row>
    <row r="100" spans="1:92" ht="12.95" customHeight="1" x14ac:dyDescent="0.25">
      <c r="B100" s="31" t="s">
        <v>423</v>
      </c>
      <c r="D100" s="74">
        <v>6533</v>
      </c>
      <c r="E100" s="74">
        <v>6675</v>
      </c>
      <c r="F100" s="74">
        <v>6691</v>
      </c>
      <c r="G100" s="74">
        <v>7436</v>
      </c>
      <c r="H100" s="27">
        <f>+G100</f>
        <v>7436</v>
      </c>
      <c r="I100" s="6"/>
      <c r="J100" s="74">
        <v>7894</v>
      </c>
      <c r="K100" s="74">
        <v>7991</v>
      </c>
      <c r="L100" s="74">
        <v>7974</v>
      </c>
      <c r="M100" s="74">
        <v>8802</v>
      </c>
      <c r="N100" s="27">
        <f>+M100</f>
        <v>8802</v>
      </c>
      <c r="O100" s="6"/>
      <c r="P100" s="74">
        <v>8961</v>
      </c>
      <c r="Q100" s="74">
        <v>8996</v>
      </c>
      <c r="R100" s="74">
        <v>8275</v>
      </c>
      <c r="S100" s="74">
        <v>8568</v>
      </c>
      <c r="T100" s="27">
        <f>+S100</f>
        <v>8568</v>
      </c>
      <c r="U100" s="6"/>
      <c r="V100" s="74">
        <v>7834</v>
      </c>
      <c r="W100" s="74">
        <v>7134</v>
      </c>
      <c r="X100" s="74">
        <v>6969</v>
      </c>
      <c r="Y100" s="74">
        <v>7317</v>
      </c>
      <c r="Z100" s="27">
        <f>+Y100</f>
        <v>7317</v>
      </c>
      <c r="AA100" s="27"/>
      <c r="AB100" s="74">
        <v>7955</v>
      </c>
      <c r="AC100" s="74">
        <v>7840</v>
      </c>
      <c r="AD100" s="74">
        <v>7647</v>
      </c>
      <c r="AE100" s="74">
        <v>8477</v>
      </c>
      <c r="AF100" s="27">
        <f>+AE100</f>
        <v>8477</v>
      </c>
      <c r="AG100" s="27"/>
      <c r="AH100" s="74">
        <v>9135</v>
      </c>
      <c r="AI100" s="74">
        <v>8393</v>
      </c>
      <c r="AJ100" s="74">
        <v>8158</v>
      </c>
      <c r="AK100" s="74">
        <v>8856</v>
      </c>
      <c r="AL100" s="27">
        <f>+AK100</f>
        <v>8856</v>
      </c>
      <c r="AM100" s="78"/>
      <c r="AN100" s="74">
        <v>9230</v>
      </c>
      <c r="AO100" s="248">
        <v>9416</v>
      </c>
      <c r="AP100" s="74">
        <v>9134</v>
      </c>
      <c r="AQ100" s="248">
        <v>9310</v>
      </c>
      <c r="AR100" s="235">
        <f>+AQ100</f>
        <v>9310</v>
      </c>
      <c r="AS100" s="27"/>
      <c r="AT100" s="74">
        <v>9296</v>
      </c>
      <c r="AU100" s="248">
        <v>9421</v>
      </c>
      <c r="AV100" s="248">
        <v>9086</v>
      </c>
      <c r="AW100" s="564">
        <f>AW88*AW9/AW5</f>
        <v>9101.2476567076737</v>
      </c>
      <c r="AX100" s="27">
        <f>AW100</f>
        <v>9101.2476567076737</v>
      </c>
      <c r="AY100" s="27"/>
      <c r="AZ100" s="565">
        <f>AZ88*AZ9/AZ5</f>
        <v>9158.3722463447084</v>
      </c>
      <c r="BA100" s="565">
        <f>BA88*BA9/BA5</f>
        <v>9285.067541494398</v>
      </c>
      <c r="BB100" s="565">
        <f t="shared" ref="BB100:BC100" si="1006">BB88*BB9/BB5</f>
        <v>9128.81240158947</v>
      </c>
      <c r="BC100" s="565">
        <f t="shared" si="1006"/>
        <v>9246.5068362624479</v>
      </c>
      <c r="BD100" s="27">
        <f>BC100</f>
        <v>9246.5068362624479</v>
      </c>
      <c r="BE100" s="27"/>
      <c r="BF100" s="565">
        <f>BF88*BF9/BF5</f>
        <v>9591.2195693200883</v>
      </c>
      <c r="BG100" s="565">
        <f>BG88*BG9/BG5</f>
        <v>9723.7867217075345</v>
      </c>
      <c r="BH100" s="565">
        <f t="shared" ref="BH100:BI100" si="1007">BH88*BH9/BH5</f>
        <v>9559.153099431087</v>
      </c>
      <c r="BI100" s="565">
        <f t="shared" si="1007"/>
        <v>9680.3389836257829</v>
      </c>
      <c r="BJ100" s="27">
        <f>BI100</f>
        <v>9680.3389836257829</v>
      </c>
      <c r="BK100" s="27"/>
      <c r="BL100" s="565">
        <f>BL88*BL9/BL5</f>
        <v>9983.3346355933809</v>
      </c>
      <c r="BM100" s="565">
        <f>BM88*BM9/BM5</f>
        <v>10123.49778240978</v>
      </c>
      <c r="BN100" s="565">
        <f t="shared" ref="BN100:BO100" si="1008">BN88*BN9/BN5</f>
        <v>9951.0265613581887</v>
      </c>
      <c r="BO100" s="565">
        <f t="shared" si="1008"/>
        <v>10079.453970742408</v>
      </c>
      <c r="BP100" s="27">
        <f>BO100</f>
        <v>10079.453970742408</v>
      </c>
      <c r="BQ100" s="27"/>
      <c r="BR100" s="565">
        <f>BR88*BR9/BR5</f>
        <v>10277.964849432376</v>
      </c>
      <c r="BS100" s="565">
        <f>BS88*BS9/BS5</f>
        <v>10540.33397127657</v>
      </c>
      <c r="BT100" s="565">
        <f t="shared" ref="BT100:BU100" si="1009">BT88*BT9/BT5</f>
        <v>10359.64769040281</v>
      </c>
      <c r="BU100" s="565">
        <f t="shared" si="1009"/>
        <v>10495.759988872922</v>
      </c>
      <c r="BV100" s="27">
        <f>BU100</f>
        <v>10495.759988872922</v>
      </c>
      <c r="BW100" s="27"/>
      <c r="BX100" s="565">
        <f>BX88*BX9/BX5</f>
        <v>10818.445845452878</v>
      </c>
      <c r="BY100" s="565">
        <f>BY88*BY9/BY5</f>
        <v>10975.053565534441</v>
      </c>
      <c r="BZ100" s="565">
        <f t="shared" ref="BZ100:CA100" si="1010">BZ88*BZ9/BZ5</f>
        <v>10785.756307039826</v>
      </c>
      <c r="CA100" s="565">
        <f t="shared" si="1010"/>
        <v>10930.022648478391</v>
      </c>
      <c r="CB100" s="27">
        <f>CA100</f>
        <v>10930.022648478391</v>
      </c>
      <c r="CC100" s="27"/>
      <c r="CD100" s="565">
        <f>CD88*CD9/CD5</f>
        <v>11262.948956006052</v>
      </c>
      <c r="CE100" s="565">
        <f>CE88*CE9/CE5</f>
        <v>11428.449299770962</v>
      </c>
      <c r="CF100" s="565">
        <f t="shared" ref="CF100:CG100" si="1011">CF88*CF9/CF5</f>
        <v>11230.125775703489</v>
      </c>
      <c r="CG100" s="565">
        <f t="shared" si="1011"/>
        <v>11383.042536465467</v>
      </c>
      <c r="CH100" s="27">
        <f>CG100</f>
        <v>11383.042536465467</v>
      </c>
      <c r="CI100" s="27"/>
      <c r="CJ100" s="565">
        <f>CJ88*CJ9/CJ5</f>
        <v>11726.478847380555</v>
      </c>
      <c r="CK100" s="565">
        <f>CK88*CK9/CK5</f>
        <v>11901.349963813436</v>
      </c>
      <c r="CL100" s="565">
        <f t="shared" ref="CL100:CM100" si="1012">CL88*CL9/CL5</f>
        <v>11693.56455710893</v>
      </c>
      <c r="CM100" s="565">
        <f t="shared" si="1012"/>
        <v>11855.656845535306</v>
      </c>
      <c r="CN100" s="27">
        <f>CM100</f>
        <v>11855.656845535306</v>
      </c>
    </row>
    <row r="101" spans="1:92" ht="12.95" customHeight="1" x14ac:dyDescent="0.25">
      <c r="B101" s="31" t="s">
        <v>424</v>
      </c>
      <c r="D101" s="74">
        <v>8684</v>
      </c>
      <c r="E101" s="74">
        <v>8920</v>
      </c>
      <c r="F101" s="74">
        <v>8984</v>
      </c>
      <c r="G101" s="74">
        <v>8757</v>
      </c>
      <c r="H101" s="27">
        <f>+G101</f>
        <v>8757</v>
      </c>
      <c r="I101" s="6"/>
      <c r="J101" s="74">
        <v>8772</v>
      </c>
      <c r="K101" s="74">
        <v>8906</v>
      </c>
      <c r="L101" s="74">
        <v>8824</v>
      </c>
      <c r="M101" s="74">
        <v>8650</v>
      </c>
      <c r="N101" s="27">
        <f>+M101</f>
        <v>8650</v>
      </c>
      <c r="O101" s="6"/>
      <c r="P101" s="74">
        <v>8932</v>
      </c>
      <c r="Q101" s="74">
        <v>9539</v>
      </c>
      <c r="R101" s="74">
        <v>9192</v>
      </c>
      <c r="S101" s="74">
        <v>9336</v>
      </c>
      <c r="T101" s="27">
        <f>+S101</f>
        <v>9336</v>
      </c>
      <c r="U101" s="6"/>
      <c r="V101" s="74">
        <v>9120</v>
      </c>
      <c r="W101" s="74">
        <v>8781</v>
      </c>
      <c r="X101" s="74">
        <v>8966</v>
      </c>
      <c r="Y101" s="74">
        <v>9463</v>
      </c>
      <c r="Z101" s="27">
        <f>+Y101</f>
        <v>9463</v>
      </c>
      <c r="AA101" s="27"/>
      <c r="AB101" s="74">
        <v>9333</v>
      </c>
      <c r="AC101" s="74">
        <v>9523</v>
      </c>
      <c r="AD101" s="74">
        <v>8919</v>
      </c>
      <c r="AE101" s="74">
        <v>8898</v>
      </c>
      <c r="AF101" s="27">
        <f>+AE101</f>
        <v>8898</v>
      </c>
      <c r="AG101" s="27"/>
      <c r="AH101" s="74">
        <v>9003</v>
      </c>
      <c r="AI101" s="74">
        <v>8922</v>
      </c>
      <c r="AJ101" s="74">
        <v>8918</v>
      </c>
      <c r="AK101" s="74">
        <v>9013</v>
      </c>
      <c r="AL101" s="27">
        <f>+AK101</f>
        <v>9013</v>
      </c>
      <c r="AM101" s="78"/>
      <c r="AN101" s="74">
        <v>9119</v>
      </c>
      <c r="AO101" s="248">
        <v>9288</v>
      </c>
      <c r="AP101" s="74">
        <v>9608</v>
      </c>
      <c r="AQ101" s="248">
        <v>9510</v>
      </c>
      <c r="AR101" s="235">
        <f>+AQ101</f>
        <v>9510</v>
      </c>
      <c r="AS101" s="27"/>
      <c r="AT101" s="74">
        <v>9446</v>
      </c>
      <c r="AU101" s="248">
        <v>9516</v>
      </c>
      <c r="AV101" s="248">
        <v>9816</v>
      </c>
      <c r="AW101" s="158">
        <f>AV101</f>
        <v>9816</v>
      </c>
      <c r="AX101" s="27">
        <f>AW101</f>
        <v>9816</v>
      </c>
      <c r="AY101" s="27"/>
      <c r="AZ101" s="235">
        <f>AX101</f>
        <v>9816</v>
      </c>
      <c r="BA101" s="235">
        <f>AZ101</f>
        <v>9816</v>
      </c>
      <c r="BB101" s="235">
        <f t="shared" ref="BB101:BC102" si="1013">BA101</f>
        <v>9816</v>
      </c>
      <c r="BC101" s="235">
        <f t="shared" si="1013"/>
        <v>9816</v>
      </c>
      <c r="BD101" s="27">
        <f>BC101</f>
        <v>9816</v>
      </c>
      <c r="BE101" s="27"/>
      <c r="BF101" s="235">
        <f>BD101</f>
        <v>9816</v>
      </c>
      <c r="BG101" s="235">
        <f>BF101</f>
        <v>9816</v>
      </c>
      <c r="BH101" s="235">
        <f t="shared" ref="BH101:BI101" si="1014">BG101</f>
        <v>9816</v>
      </c>
      <c r="BI101" s="235">
        <f t="shared" si="1014"/>
        <v>9816</v>
      </c>
      <c r="BJ101" s="27">
        <f>BI101</f>
        <v>9816</v>
      </c>
      <c r="BK101" s="27"/>
      <c r="BL101" s="235">
        <f>BJ101</f>
        <v>9816</v>
      </c>
      <c r="BM101" s="235">
        <f>BL101</f>
        <v>9816</v>
      </c>
      <c r="BN101" s="235">
        <f t="shared" ref="BN101:BO101" si="1015">BM101</f>
        <v>9816</v>
      </c>
      <c r="BO101" s="235">
        <f t="shared" si="1015"/>
        <v>9816</v>
      </c>
      <c r="BP101" s="27">
        <f>BO101</f>
        <v>9816</v>
      </c>
      <c r="BQ101" s="27"/>
      <c r="BR101" s="235">
        <f>BP101</f>
        <v>9816</v>
      </c>
      <c r="BS101" s="235">
        <f>BR101</f>
        <v>9816</v>
      </c>
      <c r="BT101" s="235">
        <f t="shared" ref="BT101:BU101" si="1016">BS101</f>
        <v>9816</v>
      </c>
      <c r="BU101" s="235">
        <f t="shared" si="1016"/>
        <v>9816</v>
      </c>
      <c r="BV101" s="27">
        <f>BU101</f>
        <v>9816</v>
      </c>
      <c r="BW101" s="27"/>
      <c r="BX101" s="235">
        <f>BV101</f>
        <v>9816</v>
      </c>
      <c r="BY101" s="235">
        <f>BX101</f>
        <v>9816</v>
      </c>
      <c r="BZ101" s="235">
        <f t="shared" ref="BZ101:CA101" si="1017">BY101</f>
        <v>9816</v>
      </c>
      <c r="CA101" s="235">
        <f t="shared" si="1017"/>
        <v>9816</v>
      </c>
      <c r="CB101" s="27">
        <f>CA101</f>
        <v>9816</v>
      </c>
      <c r="CC101" s="27"/>
      <c r="CD101" s="235">
        <f>CB101</f>
        <v>9816</v>
      </c>
      <c r="CE101" s="235">
        <f>CD101</f>
        <v>9816</v>
      </c>
      <c r="CF101" s="235">
        <f t="shared" ref="CF101:CG101" si="1018">CE101</f>
        <v>9816</v>
      </c>
      <c r="CG101" s="235">
        <f t="shared" si="1018"/>
        <v>9816</v>
      </c>
      <c r="CH101" s="27">
        <f>CG101</f>
        <v>9816</v>
      </c>
      <c r="CI101" s="27"/>
      <c r="CJ101" s="235">
        <f>CH101</f>
        <v>9816</v>
      </c>
      <c r="CK101" s="235">
        <f>CJ101</f>
        <v>9816</v>
      </c>
      <c r="CL101" s="235">
        <f t="shared" ref="CL101:CM101" si="1019">CK101</f>
        <v>9816</v>
      </c>
      <c r="CM101" s="235">
        <f t="shared" si="1019"/>
        <v>9816</v>
      </c>
      <c r="CN101" s="27">
        <f>CM101</f>
        <v>9816</v>
      </c>
    </row>
    <row r="102" spans="1:92" ht="12.95" customHeight="1" x14ac:dyDescent="0.25">
      <c r="B102" s="31" t="s">
        <v>427</v>
      </c>
      <c r="D102" s="74">
        <v>1777</v>
      </c>
      <c r="E102" s="74">
        <v>1776</v>
      </c>
      <c r="F102" s="74">
        <v>1707</v>
      </c>
      <c r="G102" s="74">
        <v>1772</v>
      </c>
      <c r="H102" s="27">
        <f>+G102</f>
        <v>1772</v>
      </c>
      <c r="I102" s="6"/>
      <c r="J102" s="74">
        <v>1856</v>
      </c>
      <c r="K102" s="74">
        <v>1835</v>
      </c>
      <c r="L102" s="74">
        <v>1835</v>
      </c>
      <c r="M102" s="74">
        <v>1765</v>
      </c>
      <c r="N102" s="27">
        <f>+M102</f>
        <v>1765</v>
      </c>
      <c r="O102" s="6"/>
      <c r="P102" s="74">
        <v>1765</v>
      </c>
      <c r="Q102" s="74">
        <v>1818</v>
      </c>
      <c r="R102" s="74">
        <v>1607</v>
      </c>
      <c r="S102" s="74">
        <v>1739</v>
      </c>
      <c r="T102" s="27">
        <f>+S102</f>
        <v>1739</v>
      </c>
      <c r="U102" s="6"/>
      <c r="V102" s="74">
        <v>1761</v>
      </c>
      <c r="W102" s="74">
        <v>1792</v>
      </c>
      <c r="X102" s="74">
        <v>1831</v>
      </c>
      <c r="Y102" s="74">
        <v>1930</v>
      </c>
      <c r="Z102" s="27">
        <f>+Y102</f>
        <v>1930</v>
      </c>
      <c r="AA102" s="27"/>
      <c r="AB102" s="74">
        <v>1802</v>
      </c>
      <c r="AC102" s="74">
        <v>2080</v>
      </c>
      <c r="AD102" s="74">
        <v>2215</v>
      </c>
      <c r="AE102" s="74">
        <v>2788</v>
      </c>
      <c r="AF102" s="27">
        <f>+AE102</f>
        <v>2788</v>
      </c>
      <c r="AG102" s="27"/>
      <c r="AH102" s="74">
        <v>2868</v>
      </c>
      <c r="AI102" s="74">
        <v>2772</v>
      </c>
      <c r="AJ102" s="74">
        <v>2295</v>
      </c>
      <c r="AK102" s="74">
        <v>2642</v>
      </c>
      <c r="AL102" s="27">
        <f>+AK102</f>
        <v>2642</v>
      </c>
      <c r="AM102" s="78"/>
      <c r="AN102" s="74">
        <v>2889</v>
      </c>
      <c r="AO102" s="248">
        <v>3163</v>
      </c>
      <c r="AP102" s="74">
        <v>5138</v>
      </c>
      <c r="AQ102" s="248">
        <v>4586</v>
      </c>
      <c r="AR102" s="235">
        <f>+AQ102</f>
        <v>4586</v>
      </c>
      <c r="AS102" s="27"/>
      <c r="AT102" s="74">
        <v>3010</v>
      </c>
      <c r="AU102" s="248">
        <v>2736</v>
      </c>
      <c r="AV102" s="248">
        <v>3094</v>
      </c>
      <c r="AW102" s="158">
        <f t="shared" ref="AW102" si="1020">AV102</f>
        <v>3094</v>
      </c>
      <c r="AX102" s="27">
        <f>AW102</f>
        <v>3094</v>
      </c>
      <c r="AY102" s="27"/>
      <c r="AZ102" s="235">
        <f>AX102</f>
        <v>3094</v>
      </c>
      <c r="BA102" s="235">
        <f t="shared" ref="BA102" si="1021">AZ102</f>
        <v>3094</v>
      </c>
      <c r="BB102" s="235">
        <f t="shared" si="1013"/>
        <v>3094</v>
      </c>
      <c r="BC102" s="235">
        <f t="shared" si="1013"/>
        <v>3094</v>
      </c>
      <c r="BD102" s="27">
        <f>BC102</f>
        <v>3094</v>
      </c>
      <c r="BE102" s="27"/>
      <c r="BF102" s="235">
        <f>BD102</f>
        <v>3094</v>
      </c>
      <c r="BG102" s="235">
        <f t="shared" ref="BG102:BI102" si="1022">BF102</f>
        <v>3094</v>
      </c>
      <c r="BH102" s="235">
        <f t="shared" si="1022"/>
        <v>3094</v>
      </c>
      <c r="BI102" s="235">
        <f t="shared" si="1022"/>
        <v>3094</v>
      </c>
      <c r="BJ102" s="27">
        <f>BI102</f>
        <v>3094</v>
      </c>
      <c r="BK102" s="27"/>
      <c r="BL102" s="235">
        <f>BJ102</f>
        <v>3094</v>
      </c>
      <c r="BM102" s="235">
        <f t="shared" ref="BM102:BO102" si="1023">BL102</f>
        <v>3094</v>
      </c>
      <c r="BN102" s="235">
        <f t="shared" si="1023"/>
        <v>3094</v>
      </c>
      <c r="BO102" s="235">
        <f t="shared" si="1023"/>
        <v>3094</v>
      </c>
      <c r="BP102" s="27">
        <f>BO102</f>
        <v>3094</v>
      </c>
      <c r="BQ102" s="27"/>
      <c r="BR102" s="235">
        <f>BP102</f>
        <v>3094</v>
      </c>
      <c r="BS102" s="235">
        <f t="shared" ref="BS102:BU102" si="1024">BR102</f>
        <v>3094</v>
      </c>
      <c r="BT102" s="235">
        <f t="shared" si="1024"/>
        <v>3094</v>
      </c>
      <c r="BU102" s="235">
        <f t="shared" si="1024"/>
        <v>3094</v>
      </c>
      <c r="BV102" s="27">
        <f>BU102</f>
        <v>3094</v>
      </c>
      <c r="BW102" s="27"/>
      <c r="BX102" s="235">
        <f>BV102</f>
        <v>3094</v>
      </c>
      <c r="BY102" s="235">
        <f t="shared" ref="BY102:CA102" si="1025">BX102</f>
        <v>3094</v>
      </c>
      <c r="BZ102" s="235">
        <f t="shared" si="1025"/>
        <v>3094</v>
      </c>
      <c r="CA102" s="235">
        <f t="shared" si="1025"/>
        <v>3094</v>
      </c>
      <c r="CB102" s="27">
        <f>CA102</f>
        <v>3094</v>
      </c>
      <c r="CC102" s="27"/>
      <c r="CD102" s="235">
        <f>CB102</f>
        <v>3094</v>
      </c>
      <c r="CE102" s="235">
        <f t="shared" ref="CE102:CG102" si="1026">CD102</f>
        <v>3094</v>
      </c>
      <c r="CF102" s="235">
        <f t="shared" si="1026"/>
        <v>3094</v>
      </c>
      <c r="CG102" s="235">
        <f t="shared" si="1026"/>
        <v>3094</v>
      </c>
      <c r="CH102" s="27">
        <f>CG102</f>
        <v>3094</v>
      </c>
      <c r="CI102" s="27"/>
      <c r="CJ102" s="235">
        <f>CH102</f>
        <v>3094</v>
      </c>
      <c r="CK102" s="235">
        <f t="shared" ref="CK102:CM102" si="1027">CJ102</f>
        <v>3094</v>
      </c>
      <c r="CL102" s="235">
        <f t="shared" si="1027"/>
        <v>3094</v>
      </c>
      <c r="CM102" s="235">
        <f t="shared" si="1027"/>
        <v>3094</v>
      </c>
      <c r="CN102" s="27">
        <f>CM102</f>
        <v>3094</v>
      </c>
    </row>
    <row r="103" spans="1:92" ht="12.95" customHeight="1" x14ac:dyDescent="0.25">
      <c r="B103" s="31" t="s">
        <v>168</v>
      </c>
      <c r="D103" s="74">
        <v>9082</v>
      </c>
      <c r="E103" s="74">
        <v>9388</v>
      </c>
      <c r="F103" s="74">
        <v>10212</v>
      </c>
      <c r="G103" s="74">
        <v>10018</v>
      </c>
      <c r="H103" s="27">
        <f>+G103</f>
        <v>10018</v>
      </c>
      <c r="I103" s="6"/>
      <c r="J103" s="74">
        <v>10947</v>
      </c>
      <c r="K103" s="74">
        <v>11255</v>
      </c>
      <c r="L103" s="74">
        <v>11814</v>
      </c>
      <c r="M103" s="74">
        <v>11529</v>
      </c>
      <c r="N103" s="27">
        <f>+M103</f>
        <v>11529</v>
      </c>
      <c r="O103" s="6"/>
      <c r="P103" s="74">
        <v>12340</v>
      </c>
      <c r="Q103" s="74">
        <v>12007</v>
      </c>
      <c r="R103" s="74">
        <v>12180</v>
      </c>
      <c r="S103" s="74">
        <v>11266</v>
      </c>
      <c r="T103" s="27">
        <f>+S103</f>
        <v>11266</v>
      </c>
      <c r="U103" s="6"/>
      <c r="V103" s="74">
        <v>11748</v>
      </c>
      <c r="W103" s="74">
        <v>11371</v>
      </c>
      <c r="X103" s="74">
        <v>11453</v>
      </c>
      <c r="Y103" s="74">
        <v>11402</v>
      </c>
      <c r="Z103" s="27">
        <f>+Y103</f>
        <v>11402</v>
      </c>
      <c r="AA103" s="27"/>
      <c r="AB103" s="74">
        <v>12149</v>
      </c>
      <c r="AC103" s="74">
        <v>12672</v>
      </c>
      <c r="AD103" s="74">
        <v>13666</v>
      </c>
      <c r="AE103" s="74">
        <v>14038</v>
      </c>
      <c r="AF103" s="27">
        <f>+AE103</f>
        <v>14038</v>
      </c>
      <c r="AG103" s="27"/>
      <c r="AH103" s="74">
        <v>15038</v>
      </c>
      <c r="AI103" s="74">
        <v>15881</v>
      </c>
      <c r="AJ103" s="74">
        <v>16860</v>
      </c>
      <c r="AK103" s="74">
        <v>16270</v>
      </c>
      <c r="AL103" s="27">
        <f>+AK103</f>
        <v>16270</v>
      </c>
      <c r="AM103" s="78"/>
      <c r="AN103" s="74">
        <v>17633</v>
      </c>
      <c r="AO103" s="248">
        <v>17746</v>
      </c>
      <c r="AP103" s="74">
        <v>17580</v>
      </c>
      <c r="AQ103" s="248">
        <v>16565</v>
      </c>
      <c r="AR103" s="235">
        <f>+AQ103</f>
        <v>16565</v>
      </c>
      <c r="AS103" s="27"/>
      <c r="AT103" s="74">
        <v>16953</v>
      </c>
      <c r="AU103" s="248">
        <v>17082</v>
      </c>
      <c r="AV103" s="248">
        <v>17312</v>
      </c>
      <c r="AW103" s="564">
        <f>AW21/AW90</f>
        <v>16014.791799188606</v>
      </c>
      <c r="AX103" s="27">
        <f>AW103</f>
        <v>16014.791799188606</v>
      </c>
      <c r="AY103" s="27"/>
      <c r="AZ103" s="565">
        <f>AZ21/AZ90</f>
        <v>16864.984239033365</v>
      </c>
      <c r="BA103" s="565">
        <f>BA21/BA90</f>
        <v>16780.824615689413</v>
      </c>
      <c r="BB103" s="565">
        <f t="shared" ref="BB103:BC103" si="1028">BB21/BB90</f>
        <v>17547.097075166497</v>
      </c>
      <c r="BC103" s="565">
        <f t="shared" si="1028"/>
        <v>16211.723179298546</v>
      </c>
      <c r="BD103" s="27">
        <f>BC103</f>
        <v>16211.723179298546</v>
      </c>
      <c r="BE103" s="27"/>
      <c r="BF103" s="565">
        <f>BF21/BF90</f>
        <v>17468.78805823049</v>
      </c>
      <c r="BG103" s="565">
        <f>BG21/BG90</f>
        <v>17374.884323637547</v>
      </c>
      <c r="BH103" s="565">
        <f t="shared" ref="BH103:BI103" si="1029">BH21/BH90</f>
        <v>18154.828300449717</v>
      </c>
      <c r="BI103" s="565">
        <f t="shared" si="1029"/>
        <v>16768.35883394468</v>
      </c>
      <c r="BJ103" s="27">
        <f>BI103</f>
        <v>16768.35883394468</v>
      </c>
      <c r="BK103" s="27"/>
      <c r="BL103" s="565">
        <f>BL21/BL90</f>
        <v>18090.218473452056</v>
      </c>
      <c r="BM103" s="565">
        <f>BM21/BM90</f>
        <v>17994.267837358417</v>
      </c>
      <c r="BN103" s="565">
        <f t="shared" ref="BN103:BO103" si="1030">BN21/BN90</f>
        <v>18785.94538545053</v>
      </c>
      <c r="BO103" s="565">
        <f t="shared" si="1030"/>
        <v>17353.668330643919</v>
      </c>
      <c r="BP103" s="27">
        <f>BO103</f>
        <v>17353.668330643919</v>
      </c>
      <c r="BQ103" s="27"/>
      <c r="BR103" s="565">
        <f>BR21/BR90</f>
        <v>18732.655652138284</v>
      </c>
      <c r="BS103" s="565">
        <f>BS21/BS90</f>
        <v>18634.58899329718</v>
      </c>
      <c r="BT103" s="565">
        <f t="shared" ref="BT103:BU103" si="1031">BT21/BT90</f>
        <v>19438.137356001604</v>
      </c>
      <c r="BU103" s="565">
        <f t="shared" si="1031"/>
        <v>17959.143808937555</v>
      </c>
      <c r="BV103" s="27">
        <f>BU103</f>
        <v>17959.143808937555</v>
      </c>
      <c r="BW103" s="27"/>
      <c r="BX103" s="565">
        <f>BX21/BX90</f>
        <v>19403.047241934317</v>
      </c>
      <c r="BY103" s="565">
        <f>BY21/BY90</f>
        <v>19302.929514484957</v>
      </c>
      <c r="BZ103" s="565">
        <f t="shared" ref="BZ103:CA103" si="1032">BZ21/BZ90</f>
        <v>20118.777070473672</v>
      </c>
      <c r="CA103" s="565">
        <f t="shared" si="1032"/>
        <v>18591.210383966434</v>
      </c>
      <c r="CB103" s="27">
        <f>CA103</f>
        <v>18591.210383966434</v>
      </c>
      <c r="CC103" s="27"/>
      <c r="CD103" s="565">
        <f>CD21/CD90</f>
        <v>20102.649119910271</v>
      </c>
      <c r="CE103" s="565">
        <f>CE21/CE90</f>
        <v>20000.554374142874</v>
      </c>
      <c r="CF103" s="565">
        <f t="shared" ref="CF103:CG103" si="1033">CF21/CF90</f>
        <v>20829.145180686708</v>
      </c>
      <c r="CG103" s="565">
        <f t="shared" si="1033"/>
        <v>19251.073683657396</v>
      </c>
      <c r="CH103" s="27">
        <f>CG103</f>
        <v>19251.073683657396</v>
      </c>
      <c r="CI103" s="27"/>
      <c r="CJ103" s="565">
        <f>CJ21/CJ90</f>
        <v>20822.879216911089</v>
      </c>
      <c r="CK103" s="565">
        <f>CK21/CK90</f>
        <v>20719.172008054491</v>
      </c>
      <c r="CL103" s="565">
        <f t="shared" ref="CL103:CM103" si="1034">CL21/CL90</f>
        <v>21560.461180623755</v>
      </c>
      <c r="CM103" s="565">
        <f t="shared" si="1034"/>
        <v>19931.141934361975</v>
      </c>
      <c r="CN103" s="27">
        <f>CM103</f>
        <v>19931.141934361975</v>
      </c>
    </row>
    <row r="104" spans="1:92" ht="12.95" customHeight="1" x14ac:dyDescent="0.25">
      <c r="B104" s="32" t="s">
        <v>61</v>
      </c>
      <c r="C104" s="16"/>
      <c r="D104" s="45">
        <f>SUM(D99:D103)</f>
        <v>35548</v>
      </c>
      <c r="E104" s="45">
        <f>SUM(E99:E103)</f>
        <v>36991</v>
      </c>
      <c r="F104" s="45">
        <f>SUM(F99:F103)</f>
        <v>37185</v>
      </c>
      <c r="G104" s="45">
        <f>SUM(G99:G103)</f>
        <v>36244</v>
      </c>
      <c r="H104" s="45">
        <f>SUM(H99:H103)</f>
        <v>36244</v>
      </c>
      <c r="I104" s="18"/>
      <c r="J104" s="45">
        <f>SUM(J99:J103)</f>
        <v>37357</v>
      </c>
      <c r="K104" s="45">
        <f>SUM(K99:K103)</f>
        <v>38641</v>
      </c>
      <c r="L104" s="45">
        <f>SUM(L99:L103)</f>
        <v>38454</v>
      </c>
      <c r="M104" s="45">
        <f>SUM(M99:M103)</f>
        <v>38603</v>
      </c>
      <c r="N104" s="45">
        <f>SUM(N99:N103)</f>
        <v>38603</v>
      </c>
      <c r="O104" s="18"/>
      <c r="P104" s="45">
        <f>SUM(P99:P103)</f>
        <v>39126</v>
      </c>
      <c r="Q104" s="45">
        <f>SUM(Q99:Q103)</f>
        <v>39789</v>
      </c>
      <c r="R104" s="45">
        <f>SUM(R99:R103)</f>
        <v>39160</v>
      </c>
      <c r="S104" s="45">
        <f>SUM(S99:S103)</f>
        <v>39193</v>
      </c>
      <c r="T104" s="45">
        <f>SUM(T99:T103)</f>
        <v>39193</v>
      </c>
      <c r="U104" s="18"/>
      <c r="V104" s="45">
        <f>SUM(V99:V103)</f>
        <v>37586</v>
      </c>
      <c r="W104" s="45">
        <f>SUM(W99:W103)</f>
        <v>37862</v>
      </c>
      <c r="X104" s="45">
        <f>SUM(X99:X103)</f>
        <v>38534</v>
      </c>
      <c r="Y104" s="45">
        <f>SUM(Y99:Y103)</f>
        <v>39464</v>
      </c>
      <c r="Z104" s="45">
        <f>SUM(Z99:Z103)</f>
        <v>39464</v>
      </c>
      <c r="AA104" s="45"/>
      <c r="AB104" s="45">
        <f>SUM(AB99:AB103)</f>
        <v>42581</v>
      </c>
      <c r="AC104" s="45">
        <f>SUM(AC99:AC103)</f>
        <v>42946</v>
      </c>
      <c r="AD104" s="45">
        <f>SUM(AD99:AD103)</f>
        <v>41893</v>
      </c>
      <c r="AE104" s="45">
        <f>SUM(AE99:AE103)</f>
        <v>43455</v>
      </c>
      <c r="AF104" s="45">
        <f>SUM(AF99:AF103)</f>
        <v>43455</v>
      </c>
      <c r="AG104" s="45"/>
      <c r="AH104" s="45">
        <f>SUM(AH99:AH103)</f>
        <v>42570</v>
      </c>
      <c r="AI104" s="45">
        <f>SUM(AI99:AI103)</f>
        <v>41982</v>
      </c>
      <c r="AJ104" s="45">
        <f>SUM(AJ99:AJ103)</f>
        <v>42577</v>
      </c>
      <c r="AK104" s="45">
        <f>SUM(AK99:AK103)</f>
        <v>43785</v>
      </c>
      <c r="AL104" s="45">
        <f>SUM(AL99:AL103)</f>
        <v>43785</v>
      </c>
      <c r="AM104" s="79"/>
      <c r="AN104" s="45">
        <f>SUM(AN99:AN103)</f>
        <v>45660</v>
      </c>
      <c r="AO104" s="45">
        <f>SUM(AO99:AO103)</f>
        <v>47000</v>
      </c>
      <c r="AP104" s="45">
        <f>SUM(AP99:AP103)</f>
        <v>48005</v>
      </c>
      <c r="AQ104" s="45">
        <f>SUM(AQ99:AQ103)</f>
        <v>46949</v>
      </c>
      <c r="AR104" s="45">
        <f>SUM(AR99:AR103)</f>
        <v>46949</v>
      </c>
      <c r="AS104" s="45"/>
      <c r="AT104" s="45">
        <f>SUM(AT99:AT103)</f>
        <v>43664</v>
      </c>
      <c r="AU104" s="45">
        <f>SUM(AU99:AU103)</f>
        <v>43096</v>
      </c>
      <c r="AV104" s="45">
        <f>SUM(AV99:AV103)</f>
        <v>44946</v>
      </c>
      <c r="AW104" s="352">
        <f>SUM(AW99:AW103)</f>
        <v>45653.094138017994</v>
      </c>
      <c r="AX104" s="45">
        <f>SUM(AX99:AX103)</f>
        <v>45653.094138017994</v>
      </c>
      <c r="AY104" s="45"/>
      <c r="AZ104" s="45">
        <f>SUM(AZ99:AZ103)</f>
        <v>44840.022960739123</v>
      </c>
      <c r="BA104" s="45">
        <f>SUM(BA99:BA103)</f>
        <v>45399.735547905322</v>
      </c>
      <c r="BB104" s="45">
        <f t="shared" ref="BB104:BC104" si="1035">SUM(BB99:BB103)</f>
        <v>46605.117250995689</v>
      </c>
      <c r="BC104" s="45">
        <f t="shared" si="1035"/>
        <v>46686.395218423058</v>
      </c>
      <c r="BD104" s="45">
        <f>SUM(BD99:BD103)</f>
        <v>46686.395218423058</v>
      </c>
      <c r="BE104" s="45"/>
      <c r="BF104" s="45">
        <f>SUM(BF99:BF103)</f>
        <v>46536.467097314446</v>
      </c>
      <c r="BG104" s="45">
        <f>SUM(BG99:BG103)</f>
        <v>47266.213652832063</v>
      </c>
      <c r="BH104" s="45">
        <f t="shared" ref="BH104" si="1036">SUM(BH99:BH103)</f>
        <v>48416.02888666802</v>
      </c>
      <c r="BI104" s="45">
        <f t="shared" ref="BI104" si="1037">SUM(BI99:BI103)</f>
        <v>48399.751340675881</v>
      </c>
      <c r="BJ104" s="45">
        <f>SUM(BJ99:BJ103)</f>
        <v>48399.751340675881</v>
      </c>
      <c r="BK104" s="45"/>
      <c r="BL104" s="45">
        <f>SUM(BL99:BL103)</f>
        <v>48044.897794924778</v>
      </c>
      <c r="BM104" s="45">
        <f>SUM(BM99:BM103)</f>
        <v>48650.150753830108</v>
      </c>
      <c r="BN104" s="45">
        <f t="shared" ref="BN104" si="1038">SUM(BN99:BN103)</f>
        <v>49945.209954363279</v>
      </c>
      <c r="BO104" s="45">
        <f t="shared" ref="BO104" si="1039">SUM(BO99:BO103)</f>
        <v>50042.126513551106</v>
      </c>
      <c r="BP104" s="45">
        <f>SUM(BP99:BP103)</f>
        <v>50042.126513551106</v>
      </c>
      <c r="BQ104" s="45"/>
      <c r="BR104" s="45">
        <f>SUM(BR99:BR103)</f>
        <v>49681.726624748117</v>
      </c>
      <c r="BS104" s="45">
        <f>SUM(BS99:BS103)</f>
        <v>50518.032918451878</v>
      </c>
      <c r="BT104" s="45">
        <f t="shared" ref="BT104" si="1040">SUM(BT99:BT103)</f>
        <v>51720.970406045686</v>
      </c>
      <c r="BU104" s="45">
        <f t="shared" ref="BU104" si="1041">SUM(BU99:BU103)</f>
        <v>51700.803278841762</v>
      </c>
      <c r="BV104" s="45">
        <f>SUM(BV99:BV103)</f>
        <v>51700.803278841762</v>
      </c>
      <c r="BW104" s="45"/>
      <c r="BX104" s="45">
        <f>SUM(BX99:BX103)</f>
        <v>51308.437963718323</v>
      </c>
      <c r="BY104" s="45">
        <f>SUM(BY99:BY103)</f>
        <v>51777.903185716976</v>
      </c>
      <c r="BZ104" s="45">
        <f t="shared" ref="BZ104" si="1042">SUM(BZ99:BZ103)</f>
        <v>53174.88928043998</v>
      </c>
      <c r="CA104" s="45">
        <f t="shared" ref="CA104" si="1043">SUM(CA99:CA103)</f>
        <v>53321.916749161595</v>
      </c>
      <c r="CB104" s="45">
        <f>SUM(CB99:CB103)</f>
        <v>53321.916749161595</v>
      </c>
      <c r="CC104" s="45"/>
      <c r="CD104" s="45">
        <f>SUM(CD99:CD103)</f>
        <v>53063.644061616113</v>
      </c>
      <c r="CE104" s="45">
        <f>SUM(CE99:CE103)</f>
        <v>53905.459157991252</v>
      </c>
      <c r="CF104" s="45">
        <f t="shared" ref="CF104" si="1044">SUM(CF99:CF103)</f>
        <v>55008.302664142524</v>
      </c>
      <c r="CG104" s="45">
        <f t="shared" ref="CG104" si="1045">SUM(CG99:CG103)</f>
        <v>54836.772904343627</v>
      </c>
      <c r="CH104" s="45">
        <f>SUM(CH99:CH103)</f>
        <v>54836.772904343627</v>
      </c>
      <c r="CI104" s="45"/>
      <c r="CJ104" s="45">
        <f>SUM(CJ99:CJ103)</f>
        <v>53734.561322245638</v>
      </c>
      <c r="CK104" s="45">
        <f>SUM(CK99:CK103)</f>
        <v>54048.115805926886</v>
      </c>
      <c r="CL104" s="45">
        <f t="shared" ref="CL104" si="1046">SUM(CL99:CL103)</f>
        <v>55388.978008250255</v>
      </c>
      <c r="CM104" s="45">
        <f t="shared" ref="CM104" si="1047">SUM(CM99:CM103)</f>
        <v>55428.037412757767</v>
      </c>
      <c r="CN104" s="45">
        <f>SUM(CN99:CN103)</f>
        <v>55428.037412757767</v>
      </c>
    </row>
    <row r="105" spans="1:92" ht="12.95" customHeight="1" x14ac:dyDescent="0.25">
      <c r="B105" s="31" t="s">
        <v>62</v>
      </c>
      <c r="D105" s="74">
        <v>14727</v>
      </c>
      <c r="E105" s="74">
        <v>14420</v>
      </c>
      <c r="F105" s="74">
        <v>14187</v>
      </c>
      <c r="G105" s="74">
        <v>14155</v>
      </c>
      <c r="H105" s="27">
        <f t="shared" ref="H105:H110" si="1048">+G105</f>
        <v>14155</v>
      </c>
      <c r="I105" s="6"/>
      <c r="J105" s="74">
        <v>13912</v>
      </c>
      <c r="K105" s="74">
        <v>13752</v>
      </c>
      <c r="L105" s="74">
        <v>13607</v>
      </c>
      <c r="M105" s="74">
        <v>13574</v>
      </c>
      <c r="N105" s="27">
        <f t="shared" ref="N105:N110" si="1049">+M105</f>
        <v>13574</v>
      </c>
      <c r="O105" s="6"/>
      <c r="P105" s="74">
        <v>13259</v>
      </c>
      <c r="Q105" s="74">
        <v>13172</v>
      </c>
      <c r="R105" s="74">
        <v>12842</v>
      </c>
      <c r="S105" s="74">
        <v>12904</v>
      </c>
      <c r="T105" s="27">
        <f t="shared" ref="T105:T110" si="1050">+S105</f>
        <v>12904</v>
      </c>
      <c r="U105" s="6"/>
      <c r="V105" s="74">
        <v>12488</v>
      </c>
      <c r="W105" s="74">
        <v>12357</v>
      </c>
      <c r="X105" s="74">
        <v>12232</v>
      </c>
      <c r="Y105" s="74">
        <v>12401</v>
      </c>
      <c r="Z105" s="27">
        <f t="shared" ref="Z105:Z110" si="1051">+Y105</f>
        <v>12401</v>
      </c>
      <c r="AA105" s="27"/>
      <c r="AB105" s="74">
        <v>12132</v>
      </c>
      <c r="AC105" s="74">
        <v>12014</v>
      </c>
      <c r="AD105" s="74">
        <v>11904</v>
      </c>
      <c r="AE105" s="74">
        <v>12090</v>
      </c>
      <c r="AF105" s="27">
        <f t="shared" ref="AF105:AF110" si="1052">+AE105</f>
        <v>12090</v>
      </c>
      <c r="AG105" s="27"/>
      <c r="AH105" s="74">
        <v>11932</v>
      </c>
      <c r="AI105" s="74">
        <v>11744</v>
      </c>
      <c r="AJ105" s="74">
        <v>11643</v>
      </c>
      <c r="AK105" s="74">
        <v>12028</v>
      </c>
      <c r="AL105" s="27">
        <f t="shared" ref="AL105:AL110" si="1053">+AK105</f>
        <v>12028</v>
      </c>
      <c r="AM105" s="78"/>
      <c r="AN105" s="74">
        <v>11973</v>
      </c>
      <c r="AO105" s="248">
        <v>12124</v>
      </c>
      <c r="AP105" s="74">
        <v>12287</v>
      </c>
      <c r="AQ105" s="248">
        <v>12680</v>
      </c>
      <c r="AR105" s="235">
        <f t="shared" ref="AR105:AR110" si="1054">+AQ105</f>
        <v>12680</v>
      </c>
      <c r="AS105" s="27"/>
      <c r="AT105" s="74">
        <v>12538</v>
      </c>
      <c r="AU105" s="248">
        <v>12582</v>
      </c>
      <c r="AV105" s="248">
        <v>12837</v>
      </c>
      <c r="AW105" s="564">
        <f>AV105-AW165-AW167-AW44-AW166</f>
        <v>12993.599999999999</v>
      </c>
      <c r="AX105" s="27">
        <f>AW105</f>
        <v>12993.599999999999</v>
      </c>
      <c r="AY105" s="27"/>
      <c r="AZ105" s="565">
        <f>AX105-AZ165-AZ167-AZ44-AZ166</f>
        <v>13073.579999999998</v>
      </c>
      <c r="BA105" s="565">
        <f>AZ105-BA165-BA167-BA44-BA166</f>
        <v>13101.369999999997</v>
      </c>
      <c r="BB105" s="565">
        <f>BA105-BB165-BB167-BB44-BB166</f>
        <v>13110.469999999998</v>
      </c>
      <c r="BC105" s="565">
        <f>BB105-BC165-BC167-BC44-BC166</f>
        <v>13307.503999999997</v>
      </c>
      <c r="BD105" s="27">
        <f>BC105</f>
        <v>13307.503999999997</v>
      </c>
      <c r="BE105" s="27"/>
      <c r="BF105" s="565">
        <f>BD105-BF165-BF167-BF44-BF166</f>
        <v>13411.460599999997</v>
      </c>
      <c r="BG105" s="565">
        <f>BF105-BG165-BG167-BG44-BG166</f>
        <v>13467.327899999997</v>
      </c>
      <c r="BH105" s="565">
        <f>BG105-BH165-BH167-BH44-BH166</f>
        <v>13505.914899999996</v>
      </c>
      <c r="BI105" s="565">
        <f>BH105-BI165-BI167-BI44-BI166</f>
        <v>13745.438679999996</v>
      </c>
      <c r="BJ105" s="27">
        <f>BI105</f>
        <v>13745.438679999996</v>
      </c>
      <c r="BK105" s="27"/>
      <c r="BL105" s="565">
        <f>BJ105-BL165-BL167-BL44-BL166</f>
        <v>13873.681386999995</v>
      </c>
      <c r="BM105" s="565">
        <f>BL105-BM165-BM167-BM44-BM166</f>
        <v>13953.976057999997</v>
      </c>
      <c r="BN105" s="565">
        <f>BM105-BN165-BN167-BN44-BN166</f>
        <v>14017.447097999997</v>
      </c>
      <c r="BO105" s="565">
        <f>BN105-BO165-BO167-BO44-BO166</f>
        <v>14292.488291099997</v>
      </c>
      <c r="BP105" s="27">
        <f>BO105</f>
        <v>14292.488291099997</v>
      </c>
      <c r="BQ105" s="27"/>
      <c r="BR105" s="565">
        <f>BP105-BR165-BR167-BR44-BR166</f>
        <v>14446.395852239997</v>
      </c>
      <c r="BS105" s="565">
        <f>BR105-BS165-BS167-BS44-BS166</f>
        <v>14552.036416659997</v>
      </c>
      <c r="BT105" s="565">
        <f>BS105-BT165-BT167-BT44-BT166</f>
        <v>14640.756877459999</v>
      </c>
      <c r="BU105" s="565">
        <f>BT105-BU165-BU167-BU44-BU166</f>
        <v>14945.658894421998</v>
      </c>
      <c r="BV105" s="27">
        <f>BU105</f>
        <v>14945.658894421998</v>
      </c>
      <c r="BW105" s="27"/>
      <c r="BX105" s="565">
        <f>BV105-BX165-BX167-BX44-BX166</f>
        <v>15105.744606784798</v>
      </c>
      <c r="BY105" s="565">
        <f>BX105-BY165-BY167-BY44-BY166</f>
        <v>15217.237982493198</v>
      </c>
      <c r="BZ105" s="565">
        <f>BY105-BZ165-BZ167-BZ44-BZ166</f>
        <v>15311.712852509198</v>
      </c>
      <c r="CA105" s="565">
        <f>BZ105-CA165-CA167-CA44-CA166</f>
        <v>15627.072909810437</v>
      </c>
      <c r="CB105" s="27">
        <f>CA105</f>
        <v>15627.072909810437</v>
      </c>
      <c r="CC105" s="27"/>
      <c r="CD105" s="565">
        <f>CB105-CD165-CD167-CD44-CD166</f>
        <v>15793.460336420494</v>
      </c>
      <c r="CE105" s="565">
        <f>CD105-CE165-CE167-CE44-CE166</f>
        <v>15910.923579643062</v>
      </c>
      <c r="CF105" s="565">
        <f>CE105-CF165-CF167-CF44-CF166</f>
        <v>16011.267947059381</v>
      </c>
      <c r="CG105" s="565">
        <f>CF105-CG165-CG167-CG44-CG166</f>
        <v>16337.295205506645</v>
      </c>
      <c r="CH105" s="27">
        <f>CG105</f>
        <v>16337.295205506645</v>
      </c>
      <c r="CI105" s="27"/>
      <c r="CJ105" s="565">
        <f>CH105-CJ165-CJ167-CJ44-CJ166</f>
        <v>16510.110380648901</v>
      </c>
      <c r="CK105" s="565">
        <f>CJ105-CK165-CK167-CK44-CK166</f>
        <v>16633.662888735918</v>
      </c>
      <c r="CL105" s="565">
        <f>CK105-CL165-CL167-CL44-CL166</f>
        <v>16739.994143500564</v>
      </c>
      <c r="CM105" s="565">
        <f>CL105-CM165-CM167-CM44-CM166</f>
        <v>17076.901947116778</v>
      </c>
      <c r="CN105" s="27">
        <f>CM105</f>
        <v>17076.901947116778</v>
      </c>
    </row>
    <row r="106" spans="1:92" ht="12.95" customHeight="1" x14ac:dyDescent="0.25">
      <c r="B106" s="31" t="s">
        <v>425</v>
      </c>
      <c r="D106" s="74">
        <v>944</v>
      </c>
      <c r="E106" s="74">
        <v>940</v>
      </c>
      <c r="F106" s="74">
        <v>969</v>
      </c>
      <c r="G106" s="74">
        <v>990</v>
      </c>
      <c r="H106" s="27">
        <f t="shared" si="1048"/>
        <v>990</v>
      </c>
      <c r="I106" s="6"/>
      <c r="J106" s="74">
        <v>1004</v>
      </c>
      <c r="K106" s="74">
        <v>1084</v>
      </c>
      <c r="L106" s="74">
        <v>1129</v>
      </c>
      <c r="M106" s="74">
        <v>1161</v>
      </c>
      <c r="N106" s="27">
        <f t="shared" si="1049"/>
        <v>1161</v>
      </c>
      <c r="O106" s="6"/>
      <c r="P106" s="74">
        <v>1149</v>
      </c>
      <c r="Q106" s="74">
        <v>1154</v>
      </c>
      <c r="R106" s="74">
        <v>1193</v>
      </c>
      <c r="S106" s="74">
        <v>1193</v>
      </c>
      <c r="T106" s="27">
        <f t="shared" si="1050"/>
        <v>1193</v>
      </c>
      <c r="U106" s="6"/>
      <c r="V106" s="74">
        <v>1196</v>
      </c>
      <c r="W106" s="74">
        <v>1167</v>
      </c>
      <c r="X106" s="74">
        <v>1149</v>
      </c>
      <c r="Y106" s="74">
        <v>1185</v>
      </c>
      <c r="Z106" s="27">
        <f t="shared" si="1051"/>
        <v>1185</v>
      </c>
      <c r="AA106" s="27"/>
      <c r="AB106" s="74">
        <v>1115</v>
      </c>
      <c r="AC106" s="74">
        <v>1206</v>
      </c>
      <c r="AD106" s="74">
        <v>1273</v>
      </c>
      <c r="AE106" s="74">
        <v>1204</v>
      </c>
      <c r="AF106" s="27">
        <f t="shared" si="1052"/>
        <v>1204</v>
      </c>
      <c r="AG106" s="27"/>
      <c r="AH106" s="74">
        <v>1204</v>
      </c>
      <c r="AI106" s="74">
        <v>1197</v>
      </c>
      <c r="AJ106" s="74">
        <v>1278</v>
      </c>
      <c r="AK106" s="74">
        <v>1265</v>
      </c>
      <c r="AL106" s="27">
        <f t="shared" si="1053"/>
        <v>1265</v>
      </c>
      <c r="AM106" s="78"/>
      <c r="AN106" s="74">
        <v>1209</v>
      </c>
      <c r="AO106" s="248">
        <v>1161</v>
      </c>
      <c r="AP106" s="74">
        <v>1110</v>
      </c>
      <c r="AQ106" s="248">
        <v>1238</v>
      </c>
      <c r="AR106" s="235">
        <f t="shared" si="1054"/>
        <v>1238</v>
      </c>
      <c r="AS106" s="27"/>
      <c r="AT106" s="74">
        <v>1200</v>
      </c>
      <c r="AU106" s="248">
        <v>1181</v>
      </c>
      <c r="AV106" s="248">
        <v>1346</v>
      </c>
      <c r="AW106" s="158">
        <f>AV106</f>
        <v>1346</v>
      </c>
      <c r="AX106" s="27">
        <f>AW106</f>
        <v>1346</v>
      </c>
      <c r="AY106" s="27"/>
      <c r="AZ106" s="235">
        <f t="shared" ref="AZ106:AZ108" si="1055">AX106</f>
        <v>1346</v>
      </c>
      <c r="BA106" s="235">
        <f>AZ106</f>
        <v>1346</v>
      </c>
      <c r="BB106" s="235">
        <f t="shared" ref="BB106:BC106" si="1056">BA106</f>
        <v>1346</v>
      </c>
      <c r="BC106" s="235">
        <f t="shared" si="1056"/>
        <v>1346</v>
      </c>
      <c r="BD106" s="27">
        <f>BC106</f>
        <v>1346</v>
      </c>
      <c r="BE106" s="27"/>
      <c r="BF106" s="235">
        <f t="shared" ref="BF106:BF108" si="1057">BD106</f>
        <v>1346</v>
      </c>
      <c r="BG106" s="235">
        <f>BF106</f>
        <v>1346</v>
      </c>
      <c r="BH106" s="235">
        <f t="shared" ref="BH106:BI106" si="1058">BG106</f>
        <v>1346</v>
      </c>
      <c r="BI106" s="235">
        <f t="shared" si="1058"/>
        <v>1346</v>
      </c>
      <c r="BJ106" s="27">
        <f>BI106</f>
        <v>1346</v>
      </c>
      <c r="BK106" s="27"/>
      <c r="BL106" s="235">
        <f t="shared" ref="BL106:BL108" si="1059">BJ106</f>
        <v>1346</v>
      </c>
      <c r="BM106" s="235">
        <f>BL106</f>
        <v>1346</v>
      </c>
      <c r="BN106" s="235">
        <f t="shared" ref="BN106:BO106" si="1060">BM106</f>
        <v>1346</v>
      </c>
      <c r="BO106" s="235">
        <f t="shared" si="1060"/>
        <v>1346</v>
      </c>
      <c r="BP106" s="27">
        <f>BO106</f>
        <v>1346</v>
      </c>
      <c r="BQ106" s="27"/>
      <c r="BR106" s="235">
        <f t="shared" ref="BR106:BR108" si="1061">BP106</f>
        <v>1346</v>
      </c>
      <c r="BS106" s="235">
        <f>BR106</f>
        <v>1346</v>
      </c>
      <c r="BT106" s="235">
        <f t="shared" ref="BT106:BU106" si="1062">BS106</f>
        <v>1346</v>
      </c>
      <c r="BU106" s="235">
        <f t="shared" si="1062"/>
        <v>1346</v>
      </c>
      <c r="BV106" s="27">
        <f>BU106</f>
        <v>1346</v>
      </c>
      <c r="BW106" s="27"/>
      <c r="BX106" s="235">
        <f t="shared" ref="BX106:BX108" si="1063">BV106</f>
        <v>1346</v>
      </c>
      <c r="BY106" s="235">
        <f>BX106</f>
        <v>1346</v>
      </c>
      <c r="BZ106" s="235">
        <f t="shared" ref="BZ106:CA106" si="1064">BY106</f>
        <v>1346</v>
      </c>
      <c r="CA106" s="235">
        <f t="shared" si="1064"/>
        <v>1346</v>
      </c>
      <c r="CB106" s="27">
        <f>CA106</f>
        <v>1346</v>
      </c>
      <c r="CC106" s="27"/>
      <c r="CD106" s="235">
        <f t="shared" ref="CD106:CD108" si="1065">CB106</f>
        <v>1346</v>
      </c>
      <c r="CE106" s="235">
        <f>CD106</f>
        <v>1346</v>
      </c>
      <c r="CF106" s="235">
        <f t="shared" ref="CF106:CG106" si="1066">CE106</f>
        <v>1346</v>
      </c>
      <c r="CG106" s="235">
        <f t="shared" si="1066"/>
        <v>1346</v>
      </c>
      <c r="CH106" s="27">
        <f>CG106</f>
        <v>1346</v>
      </c>
      <c r="CI106" s="27"/>
      <c r="CJ106" s="235">
        <f t="shared" ref="CJ106:CJ108" si="1067">CH106</f>
        <v>1346</v>
      </c>
      <c r="CK106" s="235">
        <f>CJ106</f>
        <v>1346</v>
      </c>
      <c r="CL106" s="235">
        <f t="shared" ref="CL106:CM106" si="1068">CK106</f>
        <v>1346</v>
      </c>
      <c r="CM106" s="235">
        <f t="shared" si="1068"/>
        <v>1346</v>
      </c>
      <c r="CN106" s="27">
        <f>CM106</f>
        <v>1346</v>
      </c>
    </row>
    <row r="107" spans="1:92" ht="12.95" customHeight="1" x14ac:dyDescent="0.25">
      <c r="B107" s="31" t="s">
        <v>426</v>
      </c>
      <c r="D107" s="74">
        <v>13426</v>
      </c>
      <c r="E107" s="74">
        <v>13197</v>
      </c>
      <c r="F107" s="74">
        <v>13192</v>
      </c>
      <c r="G107" s="74">
        <v>13542</v>
      </c>
      <c r="H107" s="27">
        <f t="shared" si="1048"/>
        <v>13542</v>
      </c>
      <c r="I107" s="6"/>
      <c r="J107" s="74">
        <v>13359</v>
      </c>
      <c r="K107" s="74">
        <v>13318</v>
      </c>
      <c r="L107" s="74">
        <v>13244</v>
      </c>
      <c r="M107" s="74">
        <v>13286</v>
      </c>
      <c r="N107" s="27">
        <f t="shared" si="1049"/>
        <v>13286</v>
      </c>
      <c r="O107" s="6"/>
      <c r="P107" s="74">
        <v>12674</v>
      </c>
      <c r="Q107" s="74">
        <v>12461</v>
      </c>
      <c r="R107" s="74">
        <v>12412</v>
      </c>
      <c r="S107" s="74">
        <v>12651</v>
      </c>
      <c r="T107" s="27">
        <f t="shared" si="1050"/>
        <v>12651</v>
      </c>
      <c r="U107" s="6"/>
      <c r="V107" s="74">
        <v>12021</v>
      </c>
      <c r="W107" s="74">
        <v>12560</v>
      </c>
      <c r="X107" s="74">
        <v>12209</v>
      </c>
      <c r="Y107" s="74">
        <v>12222</v>
      </c>
      <c r="Z107" s="27">
        <f t="shared" si="1051"/>
        <v>12222</v>
      </c>
      <c r="AA107" s="27"/>
      <c r="AB107" s="74">
        <v>11966</v>
      </c>
      <c r="AC107" s="74">
        <v>12590</v>
      </c>
      <c r="AD107" s="74">
        <v>12605</v>
      </c>
      <c r="AE107" s="74">
        <v>12707</v>
      </c>
      <c r="AF107" s="27">
        <f t="shared" si="1052"/>
        <v>12707</v>
      </c>
      <c r="AG107" s="27"/>
      <c r="AH107" s="74">
        <v>12665</v>
      </c>
      <c r="AI107" s="74">
        <v>12372</v>
      </c>
      <c r="AJ107" s="74">
        <v>11859</v>
      </c>
      <c r="AK107" s="74">
        <v>12013</v>
      </c>
      <c r="AL107" s="27">
        <f t="shared" si="1053"/>
        <v>12013</v>
      </c>
      <c r="AM107" s="78"/>
      <c r="AN107" s="74">
        <v>11845</v>
      </c>
      <c r="AO107" s="248">
        <v>12022</v>
      </c>
      <c r="AP107" s="74">
        <v>11907</v>
      </c>
      <c r="AQ107" s="248">
        <v>12664</v>
      </c>
      <c r="AR107" s="235">
        <f t="shared" si="1054"/>
        <v>12664</v>
      </c>
      <c r="AS107" s="27"/>
      <c r="AT107" s="74">
        <v>12531</v>
      </c>
      <c r="AU107" s="248">
        <v>12797</v>
      </c>
      <c r="AV107" s="248">
        <v>13263</v>
      </c>
      <c r="AW107" s="158">
        <f>AV107</f>
        <v>13263</v>
      </c>
      <c r="AX107" s="27">
        <f>AW107</f>
        <v>13263</v>
      </c>
      <c r="AY107" s="27"/>
      <c r="AZ107" s="235">
        <f t="shared" si="1055"/>
        <v>13263</v>
      </c>
      <c r="BA107" s="235">
        <f>AZ107</f>
        <v>13263</v>
      </c>
      <c r="BB107" s="235">
        <f t="shared" ref="BB107:BC108" si="1069">BA107</f>
        <v>13263</v>
      </c>
      <c r="BC107" s="235">
        <f t="shared" si="1069"/>
        <v>13263</v>
      </c>
      <c r="BD107" s="27">
        <f>BC107</f>
        <v>13263</v>
      </c>
      <c r="BE107" s="27"/>
      <c r="BF107" s="235">
        <f t="shared" si="1057"/>
        <v>13263</v>
      </c>
      <c r="BG107" s="235">
        <f>BF107</f>
        <v>13263</v>
      </c>
      <c r="BH107" s="235">
        <f t="shared" ref="BH107:BI107" si="1070">BG107</f>
        <v>13263</v>
      </c>
      <c r="BI107" s="235">
        <f t="shared" si="1070"/>
        <v>13263</v>
      </c>
      <c r="BJ107" s="27">
        <f>BI107</f>
        <v>13263</v>
      </c>
      <c r="BK107" s="27"/>
      <c r="BL107" s="235">
        <f t="shared" si="1059"/>
        <v>13263</v>
      </c>
      <c r="BM107" s="235">
        <f>BL107</f>
        <v>13263</v>
      </c>
      <c r="BN107" s="235">
        <f t="shared" ref="BN107:BO107" si="1071">BM107</f>
        <v>13263</v>
      </c>
      <c r="BO107" s="235">
        <f t="shared" si="1071"/>
        <v>13263</v>
      </c>
      <c r="BP107" s="27">
        <f>BO107</f>
        <v>13263</v>
      </c>
      <c r="BQ107" s="27"/>
      <c r="BR107" s="235">
        <f t="shared" si="1061"/>
        <v>13263</v>
      </c>
      <c r="BS107" s="235">
        <f>BR107</f>
        <v>13263</v>
      </c>
      <c r="BT107" s="235">
        <f t="shared" ref="BT107:BU107" si="1072">BS107</f>
        <v>13263</v>
      </c>
      <c r="BU107" s="235">
        <f t="shared" si="1072"/>
        <v>13263</v>
      </c>
      <c r="BV107" s="27">
        <f>BU107</f>
        <v>13263</v>
      </c>
      <c r="BW107" s="27"/>
      <c r="BX107" s="235">
        <f t="shared" si="1063"/>
        <v>13263</v>
      </c>
      <c r="BY107" s="235">
        <f>BX107</f>
        <v>13263</v>
      </c>
      <c r="BZ107" s="235">
        <f t="shared" ref="BZ107:CA107" si="1073">BY107</f>
        <v>13263</v>
      </c>
      <c r="CA107" s="235">
        <f t="shared" si="1073"/>
        <v>13263</v>
      </c>
      <c r="CB107" s="27">
        <f>CA107</f>
        <v>13263</v>
      </c>
      <c r="CC107" s="27"/>
      <c r="CD107" s="235">
        <f t="shared" si="1065"/>
        <v>13263</v>
      </c>
      <c r="CE107" s="235">
        <f>CD107</f>
        <v>13263</v>
      </c>
      <c r="CF107" s="235">
        <f t="shared" ref="CF107:CG107" si="1074">CE107</f>
        <v>13263</v>
      </c>
      <c r="CG107" s="235">
        <f t="shared" si="1074"/>
        <v>13263</v>
      </c>
      <c r="CH107" s="27">
        <f>CG107</f>
        <v>13263</v>
      </c>
      <c r="CI107" s="27"/>
      <c r="CJ107" s="235">
        <f t="shared" si="1067"/>
        <v>13263</v>
      </c>
      <c r="CK107" s="235">
        <f>CJ107</f>
        <v>13263</v>
      </c>
      <c r="CL107" s="235">
        <f t="shared" ref="CL107:CM107" si="1075">CK107</f>
        <v>13263</v>
      </c>
      <c r="CM107" s="235">
        <f t="shared" si="1075"/>
        <v>13263</v>
      </c>
      <c r="CN107" s="27">
        <f>CM107</f>
        <v>13263</v>
      </c>
    </row>
    <row r="108" spans="1:92" ht="12.95" customHeight="1" x14ac:dyDescent="0.25">
      <c r="B108" s="31" t="s">
        <v>552</v>
      </c>
      <c r="D108" s="74">
        <v>2940</v>
      </c>
      <c r="E108" s="74">
        <v>2866</v>
      </c>
      <c r="F108" s="74">
        <v>2845</v>
      </c>
      <c r="G108" s="74">
        <v>1693</v>
      </c>
      <c r="H108" s="27">
        <f t="shared" si="1048"/>
        <v>1693</v>
      </c>
      <c r="I108" s="6"/>
      <c r="J108" s="74">
        <v>1687</v>
      </c>
      <c r="K108" s="74">
        <v>1626</v>
      </c>
      <c r="L108" s="74">
        <v>1288</v>
      </c>
      <c r="M108" s="74">
        <v>1439</v>
      </c>
      <c r="N108" s="27">
        <f t="shared" si="1049"/>
        <v>1439</v>
      </c>
      <c r="O108" s="6"/>
      <c r="P108" s="74">
        <v>1378</v>
      </c>
      <c r="Q108" s="74">
        <v>1473</v>
      </c>
      <c r="R108" s="74">
        <v>1372</v>
      </c>
      <c r="S108" s="74">
        <v>1411</v>
      </c>
      <c r="T108" s="27">
        <f t="shared" si="1050"/>
        <v>1411</v>
      </c>
      <c r="U108" s="6"/>
      <c r="V108" s="74">
        <v>1426</v>
      </c>
      <c r="W108" s="74">
        <v>1459</v>
      </c>
      <c r="X108" s="74">
        <v>1440</v>
      </c>
      <c r="Y108" s="74">
        <v>1523</v>
      </c>
      <c r="Z108" s="27">
        <f t="shared" si="1051"/>
        <v>1523</v>
      </c>
      <c r="AA108" s="27"/>
      <c r="AB108" s="74">
        <v>1391</v>
      </c>
      <c r="AC108" s="74">
        <v>1455</v>
      </c>
      <c r="AD108" s="74">
        <v>1744</v>
      </c>
      <c r="AE108" s="74">
        <v>1840</v>
      </c>
      <c r="AF108" s="27">
        <f t="shared" si="1052"/>
        <v>1840</v>
      </c>
      <c r="AG108" s="27"/>
      <c r="AH108" s="74">
        <v>1973</v>
      </c>
      <c r="AI108" s="74">
        <v>2121</v>
      </c>
      <c r="AJ108" s="74">
        <v>2218</v>
      </c>
      <c r="AK108" s="74">
        <v>2213</v>
      </c>
      <c r="AL108" s="27">
        <f t="shared" si="1053"/>
        <v>2213</v>
      </c>
      <c r="AM108" s="78"/>
      <c r="AN108" s="74">
        <v>2405</v>
      </c>
      <c r="AO108" s="248">
        <v>2607</v>
      </c>
      <c r="AP108" s="74">
        <v>2719</v>
      </c>
      <c r="AQ108" s="248">
        <v>2816</v>
      </c>
      <c r="AR108" s="235">
        <f t="shared" si="1054"/>
        <v>2816</v>
      </c>
      <c r="AS108" s="27"/>
      <c r="AT108" s="74">
        <v>2860</v>
      </c>
      <c r="AU108" s="248">
        <v>2920</v>
      </c>
      <c r="AV108" s="248">
        <v>3050</v>
      </c>
      <c r="AW108" s="158">
        <f t="shared" ref="AW108" si="1076">AV108</f>
        <v>3050</v>
      </c>
      <c r="AX108" s="27">
        <f t="shared" ref="AX108:AX110" si="1077">+AW108</f>
        <v>3050</v>
      </c>
      <c r="AY108" s="27"/>
      <c r="AZ108" s="235">
        <f t="shared" si="1055"/>
        <v>3050</v>
      </c>
      <c r="BA108" s="235">
        <f t="shared" ref="BA108" si="1078">AZ108</f>
        <v>3050</v>
      </c>
      <c r="BB108" s="235">
        <f t="shared" si="1069"/>
        <v>3050</v>
      </c>
      <c r="BC108" s="235">
        <f t="shared" si="1069"/>
        <v>3050</v>
      </c>
      <c r="BD108" s="27">
        <f t="shared" ref="BD108:BD110" si="1079">+BC108</f>
        <v>3050</v>
      </c>
      <c r="BE108" s="27"/>
      <c r="BF108" s="235">
        <f t="shared" si="1057"/>
        <v>3050</v>
      </c>
      <c r="BG108" s="235">
        <f t="shared" ref="BG108:BI108" si="1080">BF108</f>
        <v>3050</v>
      </c>
      <c r="BH108" s="235">
        <f t="shared" si="1080"/>
        <v>3050</v>
      </c>
      <c r="BI108" s="235">
        <f t="shared" si="1080"/>
        <v>3050</v>
      </c>
      <c r="BJ108" s="27">
        <f t="shared" ref="BJ108:BJ110" si="1081">+BI108</f>
        <v>3050</v>
      </c>
      <c r="BK108" s="27"/>
      <c r="BL108" s="235">
        <f t="shared" si="1059"/>
        <v>3050</v>
      </c>
      <c r="BM108" s="235">
        <f t="shared" ref="BM108:BO108" si="1082">BL108</f>
        <v>3050</v>
      </c>
      <c r="BN108" s="235">
        <f t="shared" si="1082"/>
        <v>3050</v>
      </c>
      <c r="BO108" s="235">
        <f t="shared" si="1082"/>
        <v>3050</v>
      </c>
      <c r="BP108" s="27">
        <f t="shared" ref="BP108:BP110" si="1083">+BO108</f>
        <v>3050</v>
      </c>
      <c r="BQ108" s="27"/>
      <c r="BR108" s="235">
        <f t="shared" si="1061"/>
        <v>3050</v>
      </c>
      <c r="BS108" s="235">
        <f t="shared" ref="BS108:BU108" si="1084">BR108</f>
        <v>3050</v>
      </c>
      <c r="BT108" s="235">
        <f t="shared" si="1084"/>
        <v>3050</v>
      </c>
      <c r="BU108" s="235">
        <f t="shared" si="1084"/>
        <v>3050</v>
      </c>
      <c r="BV108" s="27">
        <f t="shared" ref="BV108:BV110" si="1085">+BU108</f>
        <v>3050</v>
      </c>
      <c r="BW108" s="27"/>
      <c r="BX108" s="235">
        <f t="shared" si="1063"/>
        <v>3050</v>
      </c>
      <c r="BY108" s="235">
        <f t="shared" ref="BY108:CA108" si="1086">BX108</f>
        <v>3050</v>
      </c>
      <c r="BZ108" s="235">
        <f t="shared" si="1086"/>
        <v>3050</v>
      </c>
      <c r="CA108" s="235">
        <f t="shared" si="1086"/>
        <v>3050</v>
      </c>
      <c r="CB108" s="27">
        <f t="shared" ref="CB108:CB110" si="1087">+CA108</f>
        <v>3050</v>
      </c>
      <c r="CC108" s="27"/>
      <c r="CD108" s="235">
        <f t="shared" si="1065"/>
        <v>3050</v>
      </c>
      <c r="CE108" s="235">
        <f t="shared" ref="CE108:CG108" si="1088">CD108</f>
        <v>3050</v>
      </c>
      <c r="CF108" s="235">
        <f t="shared" si="1088"/>
        <v>3050</v>
      </c>
      <c r="CG108" s="235">
        <f t="shared" si="1088"/>
        <v>3050</v>
      </c>
      <c r="CH108" s="27">
        <f t="shared" ref="CH108:CH110" si="1089">+CG108</f>
        <v>3050</v>
      </c>
      <c r="CI108" s="27"/>
      <c r="CJ108" s="235">
        <f t="shared" si="1067"/>
        <v>3050</v>
      </c>
      <c r="CK108" s="235">
        <f t="shared" ref="CK108:CM108" si="1090">CJ108</f>
        <v>3050</v>
      </c>
      <c r="CL108" s="235">
        <f t="shared" si="1090"/>
        <v>3050</v>
      </c>
      <c r="CM108" s="235">
        <f t="shared" si="1090"/>
        <v>3050</v>
      </c>
      <c r="CN108" s="27">
        <f t="shared" ref="CN108:CN110" si="1091">+CM108</f>
        <v>3050</v>
      </c>
    </row>
    <row r="109" spans="1:92" ht="12.95" customHeight="1" x14ac:dyDescent="0.25">
      <c r="B109" s="31" t="s">
        <v>428</v>
      </c>
      <c r="D109" s="74">
        <f>2287+6051</f>
        <v>8338</v>
      </c>
      <c r="E109" s="74">
        <f>2232+6142</f>
        <v>8374</v>
      </c>
      <c r="F109" s="74">
        <f>2175+6196</f>
        <v>8371</v>
      </c>
      <c r="G109" s="74">
        <f>2111+6200</f>
        <v>8311</v>
      </c>
      <c r="H109" s="27">
        <f t="shared" si="1048"/>
        <v>8311</v>
      </c>
      <c r="I109" s="6"/>
      <c r="J109" s="74">
        <f>2163+6376</f>
        <v>8539</v>
      </c>
      <c r="K109" s="74">
        <f>2039+6249</f>
        <v>8288</v>
      </c>
      <c r="L109" s="74">
        <f>1976+6233</f>
        <v>8209</v>
      </c>
      <c r="M109" s="74">
        <f>1897+6217</f>
        <v>8114</v>
      </c>
      <c r="N109" s="27">
        <f t="shared" si="1049"/>
        <v>8114</v>
      </c>
      <c r="O109" s="6"/>
      <c r="P109" s="74">
        <f>6191+1807</f>
        <v>7998</v>
      </c>
      <c r="Q109" s="74">
        <f>1733+6211</f>
        <v>7944</v>
      </c>
      <c r="R109" s="74">
        <f>6142+1630</f>
        <v>7772</v>
      </c>
      <c r="S109" s="74">
        <f>1565+6196</f>
        <v>7761</v>
      </c>
      <c r="T109" s="27">
        <f t="shared" si="1050"/>
        <v>7761</v>
      </c>
      <c r="U109" s="6"/>
      <c r="V109" s="74">
        <f>1478+6140</f>
        <v>7618</v>
      </c>
      <c r="W109" s="74">
        <f>6192+1420</f>
        <v>7612</v>
      </c>
      <c r="X109" s="74">
        <f>6304+1363</f>
        <v>7667</v>
      </c>
      <c r="Y109" s="74">
        <f>6394+1308</f>
        <v>7702</v>
      </c>
      <c r="Z109" s="27">
        <f t="shared" si="1051"/>
        <v>7702</v>
      </c>
      <c r="AA109" s="27"/>
      <c r="AB109" s="74">
        <f>6343+1246</f>
        <v>7589</v>
      </c>
      <c r="AC109" s="74">
        <f>1176+6372</f>
        <v>7548</v>
      </c>
      <c r="AD109" s="74">
        <f>6353+1121</f>
        <v>7474</v>
      </c>
      <c r="AE109" s="74">
        <f>1042+6324</f>
        <v>7366</v>
      </c>
      <c r="AF109" s="27">
        <f t="shared" si="1052"/>
        <v>7366</v>
      </c>
      <c r="AG109" s="27"/>
      <c r="AH109" s="74">
        <f>6293+967</f>
        <v>7260</v>
      </c>
      <c r="AI109" s="74">
        <f>889+6195</f>
        <v>7084</v>
      </c>
      <c r="AJ109" s="74">
        <f>6092+806</f>
        <v>6898</v>
      </c>
      <c r="AK109" s="74">
        <f>758+5288</f>
        <v>6046</v>
      </c>
      <c r="AL109" s="27">
        <f t="shared" si="1053"/>
        <v>6046</v>
      </c>
      <c r="AM109" s="78"/>
      <c r="AN109" s="74">
        <f>5309+694</f>
        <v>6003</v>
      </c>
      <c r="AO109" s="248">
        <f>630+5293</f>
        <v>5923</v>
      </c>
      <c r="AP109" s="74">
        <f>604+5268</f>
        <v>5872</v>
      </c>
      <c r="AQ109" s="248">
        <f>564+5308</f>
        <v>5872</v>
      </c>
      <c r="AR109" s="235">
        <f t="shared" si="1054"/>
        <v>5872</v>
      </c>
      <c r="AS109" s="27"/>
      <c r="AT109" s="74">
        <f>516+5277</f>
        <v>5793</v>
      </c>
      <c r="AU109" s="248">
        <f>488+5264</f>
        <v>5752</v>
      </c>
      <c r="AV109" s="248">
        <f>5317+448</f>
        <v>5765</v>
      </c>
      <c r="AW109" s="564">
        <f>AV109-AW72</f>
        <v>5765</v>
      </c>
      <c r="AX109" s="27">
        <f t="shared" si="1077"/>
        <v>5765</v>
      </c>
      <c r="AY109" s="27"/>
      <c r="AZ109" s="565">
        <f>AX109-AZ72</f>
        <v>5765</v>
      </c>
      <c r="BA109" s="565">
        <f>AZ109-BA72</f>
        <v>5765</v>
      </c>
      <c r="BB109" s="565">
        <f t="shared" ref="BB109:BC109" si="1092">BA109-BB72</f>
        <v>5765</v>
      </c>
      <c r="BC109" s="565">
        <f t="shared" si="1092"/>
        <v>5765</v>
      </c>
      <c r="BD109" s="27">
        <f t="shared" si="1079"/>
        <v>5765</v>
      </c>
      <c r="BE109" s="27"/>
      <c r="BF109" s="565">
        <f>BD109-BF72</f>
        <v>5765</v>
      </c>
      <c r="BG109" s="565">
        <f>BF109-BG72</f>
        <v>5765</v>
      </c>
      <c r="BH109" s="565">
        <f t="shared" ref="BH109:BI109" si="1093">BG109-BH72</f>
        <v>5765</v>
      </c>
      <c r="BI109" s="565">
        <f t="shared" si="1093"/>
        <v>5765</v>
      </c>
      <c r="BJ109" s="27">
        <f t="shared" si="1081"/>
        <v>5765</v>
      </c>
      <c r="BK109" s="27"/>
      <c r="BL109" s="565">
        <f>BJ109-BL72</f>
        <v>5765</v>
      </c>
      <c r="BM109" s="565">
        <f>BL109-BM72</f>
        <v>5765</v>
      </c>
      <c r="BN109" s="565">
        <f t="shared" ref="BN109:BO109" si="1094">BM109-BN72</f>
        <v>5765</v>
      </c>
      <c r="BO109" s="565">
        <f t="shared" si="1094"/>
        <v>5765</v>
      </c>
      <c r="BP109" s="27">
        <f t="shared" si="1083"/>
        <v>5765</v>
      </c>
      <c r="BQ109" s="27"/>
      <c r="BR109" s="565">
        <f>BP109-BR72</f>
        <v>5765</v>
      </c>
      <c r="BS109" s="565">
        <f>BR109-BS72</f>
        <v>5765</v>
      </c>
      <c r="BT109" s="565">
        <f t="shared" ref="BT109:BU109" si="1095">BS109-BT72</f>
        <v>5765</v>
      </c>
      <c r="BU109" s="565">
        <f t="shared" si="1095"/>
        <v>5765</v>
      </c>
      <c r="BV109" s="27">
        <f t="shared" si="1085"/>
        <v>5765</v>
      </c>
      <c r="BW109" s="27"/>
      <c r="BX109" s="565">
        <f>BV109-BX72</f>
        <v>5765</v>
      </c>
      <c r="BY109" s="565">
        <f>BX109-BY72</f>
        <v>5765</v>
      </c>
      <c r="BZ109" s="565">
        <f t="shared" ref="BZ109:CA109" si="1096">BY109-BZ72</f>
        <v>5765</v>
      </c>
      <c r="CA109" s="565">
        <f t="shared" si="1096"/>
        <v>5765</v>
      </c>
      <c r="CB109" s="27">
        <f t="shared" si="1087"/>
        <v>5765</v>
      </c>
      <c r="CC109" s="27"/>
      <c r="CD109" s="565">
        <f>CB109-CD72</f>
        <v>5765</v>
      </c>
      <c r="CE109" s="565">
        <f>CD109-CE72</f>
        <v>5765</v>
      </c>
      <c r="CF109" s="565">
        <f t="shared" ref="CF109:CG109" si="1097">CE109-CF72</f>
        <v>5765</v>
      </c>
      <c r="CG109" s="565">
        <f t="shared" si="1097"/>
        <v>5765</v>
      </c>
      <c r="CH109" s="27">
        <f t="shared" si="1089"/>
        <v>5765</v>
      </c>
      <c r="CI109" s="27"/>
      <c r="CJ109" s="565">
        <f>CH109-CJ72</f>
        <v>5765</v>
      </c>
      <c r="CK109" s="565">
        <f>CJ109-CK72</f>
        <v>5765</v>
      </c>
      <c r="CL109" s="565">
        <f t="shared" ref="CL109:CM109" si="1098">CK109-CL72</f>
        <v>5765</v>
      </c>
      <c r="CM109" s="565">
        <f t="shared" si="1098"/>
        <v>5765</v>
      </c>
      <c r="CN109" s="27">
        <f t="shared" si="1091"/>
        <v>5765</v>
      </c>
    </row>
    <row r="110" spans="1:92" ht="12.95" customHeight="1" x14ac:dyDescent="0.25">
      <c r="B110" s="31" t="s">
        <v>63</v>
      </c>
      <c r="D110" s="74">
        <f>1626</f>
        <v>1626</v>
      </c>
      <c r="E110" s="74">
        <f>1722</f>
        <v>1722</v>
      </c>
      <c r="F110" s="74">
        <f>1811</f>
        <v>1811</v>
      </c>
      <c r="G110" s="74">
        <f>2027</f>
        <v>2027</v>
      </c>
      <c r="H110" s="27">
        <f t="shared" si="1048"/>
        <v>2027</v>
      </c>
      <c r="I110" s="6"/>
      <c r="J110" s="74">
        <f>2156</f>
        <v>2156</v>
      </c>
      <c r="K110" s="74">
        <f>2278</f>
        <v>2278</v>
      </c>
      <c r="L110" s="74">
        <f>2278</f>
        <v>2278</v>
      </c>
      <c r="M110" s="74">
        <f>2332</f>
        <v>2332</v>
      </c>
      <c r="N110" s="27">
        <f t="shared" si="1049"/>
        <v>2332</v>
      </c>
      <c r="O110" s="6"/>
      <c r="P110" s="74">
        <f>3142</f>
        <v>3142</v>
      </c>
      <c r="Q110" s="74">
        <f>3194</f>
        <v>3194</v>
      </c>
      <c r="R110" s="74">
        <f>3242</f>
        <v>3242</v>
      </c>
      <c r="S110" s="74">
        <f>3340</f>
        <v>3340</v>
      </c>
      <c r="T110" s="27">
        <f t="shared" si="1050"/>
        <v>3340</v>
      </c>
      <c r="U110" s="6"/>
      <c r="V110" s="74">
        <f>3559</f>
        <v>3559</v>
      </c>
      <c r="W110" s="74">
        <f>3549</f>
        <v>3549</v>
      </c>
      <c r="X110" s="74">
        <f>3510</f>
        <v>3510</v>
      </c>
      <c r="Y110" s="74">
        <f>3827</f>
        <v>3827</v>
      </c>
      <c r="Z110" s="27">
        <f t="shared" si="1051"/>
        <v>3827</v>
      </c>
      <c r="AA110" s="27"/>
      <c r="AB110" s="74">
        <v>3955</v>
      </c>
      <c r="AC110" s="74">
        <v>3938</v>
      </c>
      <c r="AD110" s="74">
        <v>3891</v>
      </c>
      <c r="AE110" s="74">
        <v>4131</v>
      </c>
      <c r="AF110" s="27">
        <f t="shared" si="1052"/>
        <v>4131</v>
      </c>
      <c r="AG110" s="27"/>
      <c r="AH110" s="74">
        <v>4672</v>
      </c>
      <c r="AI110" s="74">
        <v>4607</v>
      </c>
      <c r="AJ110" s="74">
        <v>4434</v>
      </c>
      <c r="AK110" s="74">
        <v>4593</v>
      </c>
      <c r="AL110" s="27">
        <f t="shared" si="1053"/>
        <v>4593</v>
      </c>
      <c r="AM110" s="78"/>
      <c r="AN110" s="74">
        <v>4554</v>
      </c>
      <c r="AO110" s="248">
        <v>4590</v>
      </c>
      <c r="AP110" s="74">
        <v>4891</v>
      </c>
      <c r="AQ110" s="248">
        <v>5257</v>
      </c>
      <c r="AR110" s="235">
        <f t="shared" si="1054"/>
        <v>5257</v>
      </c>
      <c r="AS110" s="27"/>
      <c r="AT110" s="74">
        <v>5155</v>
      </c>
      <c r="AU110" s="248">
        <v>5008</v>
      </c>
      <c r="AV110" s="248">
        <v>5066</v>
      </c>
      <c r="AW110" s="158">
        <f>AW95*AW9</f>
        <v>5139.125556531927</v>
      </c>
      <c r="AX110" s="27">
        <f t="shared" si="1077"/>
        <v>5139.125556531927</v>
      </c>
      <c r="AY110" s="27"/>
      <c r="AZ110" s="235">
        <f>AZ95*AZ9</f>
        <v>5022.8702924235722</v>
      </c>
      <c r="BA110" s="235">
        <f>BA95*BA9</f>
        <v>4935.7412427347354</v>
      </c>
      <c r="BB110" s="235">
        <f t="shared" ref="BB110:BC110" si="1099">BB95*BB9</f>
        <v>5089.870528995405</v>
      </c>
      <c r="BC110" s="235">
        <f t="shared" si="1099"/>
        <v>5221.1478451376679</v>
      </c>
      <c r="BD110" s="27">
        <f t="shared" si="1079"/>
        <v>5221.1478451376679</v>
      </c>
      <c r="BE110" s="27"/>
      <c r="BF110" s="235">
        <f>BF95*BF9</f>
        <v>5260.2635650759094</v>
      </c>
      <c r="BG110" s="235">
        <f>BG95*BG9</f>
        <v>5168.9548776468882</v>
      </c>
      <c r="BH110" s="235">
        <f t="shared" ref="BH110:BI110" si="1100">BH95*BH9</f>
        <v>5329.8117545364166</v>
      </c>
      <c r="BI110" s="235">
        <f t="shared" si="1100"/>
        <v>5466.116223084935</v>
      </c>
      <c r="BJ110" s="27">
        <f t="shared" si="1081"/>
        <v>5466.116223084935</v>
      </c>
      <c r="BK110" s="27"/>
      <c r="BL110" s="235">
        <f>BL95*BL9</f>
        <v>5475.317404843332</v>
      </c>
      <c r="BM110" s="235">
        <f>BM95*BM9</f>
        <v>5381.4326392429875</v>
      </c>
      <c r="BN110" s="235">
        <f t="shared" ref="BN110:BO110" si="1101">BN95*BN9</f>
        <v>5548.3051463614993</v>
      </c>
      <c r="BO110" s="235">
        <f t="shared" si="1101"/>
        <v>5691.4811519004124</v>
      </c>
      <c r="BP110" s="27">
        <f t="shared" si="1083"/>
        <v>5691.4811519004124</v>
      </c>
      <c r="BQ110" s="27"/>
      <c r="BR110" s="235">
        <f>BR95*BR9</f>
        <v>5699.5383819733115</v>
      </c>
      <c r="BS110" s="235">
        <f>BS95*BS9</f>
        <v>5603.0137488751789</v>
      </c>
      <c r="BT110" s="235">
        <f t="shared" ref="BT110:BU110" si="1102">BT95*BT9</f>
        <v>5776.1363856020944</v>
      </c>
      <c r="BU110" s="235">
        <f t="shared" si="1102"/>
        <v>5926.5531967244842</v>
      </c>
      <c r="BV110" s="27">
        <f t="shared" si="1085"/>
        <v>5926.5531967244842</v>
      </c>
      <c r="BW110" s="27"/>
      <c r="BX110" s="235">
        <f>BX95*BX9</f>
        <v>5933.3305947469589</v>
      </c>
      <c r="BY110" s="235">
        <f>BY95*BY9</f>
        <v>5834.1012903297406</v>
      </c>
      <c r="BZ110" s="235">
        <f t="shared" ref="BZ110:CA110" si="1103">BZ95*BZ9</f>
        <v>6013.7179673633891</v>
      </c>
      <c r="CA110" s="235">
        <f t="shared" si="1103"/>
        <v>6171.7646684265201</v>
      </c>
      <c r="CB110" s="27">
        <f t="shared" si="1087"/>
        <v>6171.7646684265201</v>
      </c>
      <c r="CC110" s="27"/>
      <c r="CD110" s="235">
        <f>CD95*CD9</f>
        <v>6177.1164345045108</v>
      </c>
      <c r="CE110" s="235">
        <f>CE95*CE9</f>
        <v>6075.1166641814016</v>
      </c>
      <c r="CF110" s="235">
        <f t="shared" ref="CF110:CG110" si="1104">CF95*CF9</f>
        <v>6261.4810895568871</v>
      </c>
      <c r="CG110" s="235">
        <f t="shared" si="1104"/>
        <v>6427.5676277335087</v>
      </c>
      <c r="CH110" s="27">
        <f t="shared" si="1089"/>
        <v>6427.5676277335087</v>
      </c>
      <c r="CI110" s="27"/>
      <c r="CJ110" s="235">
        <f>CJ95*CJ9</f>
        <v>6431.3374312503647</v>
      </c>
      <c r="CK110" s="235">
        <f>CK95*CK9</f>
        <v>6326.5004371911355</v>
      </c>
      <c r="CL110" s="235">
        <f t="shared" ref="CL110:CM110" si="1105">CL95*CL9</f>
        <v>6519.8765184144659</v>
      </c>
      <c r="CM110" s="235">
        <f t="shared" si="1105"/>
        <v>6694.4348052609148</v>
      </c>
      <c r="CN110" s="27">
        <f t="shared" si="1091"/>
        <v>6694.4348052609148</v>
      </c>
    </row>
    <row r="111" spans="1:92" ht="12.95" customHeight="1" x14ac:dyDescent="0.25">
      <c r="B111" s="32" t="s">
        <v>64</v>
      </c>
      <c r="C111" s="16"/>
      <c r="D111" s="45">
        <f t="shared" ref="D111:H111" si="1106">SUM(D104:D110)</f>
        <v>77549</v>
      </c>
      <c r="E111" s="45">
        <f t="shared" si="1106"/>
        <v>78510</v>
      </c>
      <c r="F111" s="45">
        <f t="shared" si="1106"/>
        <v>78560</v>
      </c>
      <c r="G111" s="45">
        <f t="shared" si="1106"/>
        <v>76962</v>
      </c>
      <c r="H111" s="45">
        <f t="shared" si="1106"/>
        <v>76962</v>
      </c>
      <c r="I111" s="18"/>
      <c r="J111" s="45">
        <f t="shared" ref="J111:N111" si="1107">SUM(J104:J110)</f>
        <v>78014</v>
      </c>
      <c r="K111" s="45">
        <f t="shared" si="1107"/>
        <v>78987</v>
      </c>
      <c r="L111" s="45">
        <f t="shared" si="1107"/>
        <v>78209</v>
      </c>
      <c r="M111" s="45">
        <f t="shared" si="1107"/>
        <v>78509</v>
      </c>
      <c r="N111" s="45">
        <f t="shared" si="1107"/>
        <v>78509</v>
      </c>
      <c r="O111" s="18"/>
      <c r="P111" s="45">
        <f>SUM(P104:P110)</f>
        <v>78726</v>
      </c>
      <c r="Q111" s="45">
        <f>SUM(Q104:Q110)</f>
        <v>79187</v>
      </c>
      <c r="R111" s="45">
        <f>SUM(R104:R110)</f>
        <v>77993</v>
      </c>
      <c r="S111" s="45">
        <f>SUM(S104:S110)</f>
        <v>78453</v>
      </c>
      <c r="T111" s="45">
        <f>SUM(T104:T110)</f>
        <v>78453</v>
      </c>
      <c r="U111" s="18"/>
      <c r="V111" s="45">
        <f>SUM(V104:V110)</f>
        <v>75894</v>
      </c>
      <c r="W111" s="45">
        <f>SUM(W104:W110)</f>
        <v>76566</v>
      </c>
      <c r="X111" s="45">
        <f>SUM(X104:X110)</f>
        <v>76741</v>
      </c>
      <c r="Y111" s="45">
        <f>SUM(Y104:Y110)</f>
        <v>78324</v>
      </c>
      <c r="Z111" s="45">
        <f>SUM(Z104:Z110)</f>
        <v>78324</v>
      </c>
      <c r="AA111" s="45"/>
      <c r="AB111" s="45">
        <f>SUM(AB104:AB110)</f>
        <v>80729</v>
      </c>
      <c r="AC111" s="45">
        <f>SUM(AC104:AC110)</f>
        <v>81697</v>
      </c>
      <c r="AD111" s="45">
        <f>SUM(AD104:AD110)</f>
        <v>80784</v>
      </c>
      <c r="AE111" s="45">
        <f>SUM(AE104:AE110)</f>
        <v>82793</v>
      </c>
      <c r="AF111" s="45">
        <f>SUM(AF104:AF110)</f>
        <v>82793</v>
      </c>
      <c r="AG111" s="45"/>
      <c r="AH111" s="45">
        <f>SUM(AH104:AH110)</f>
        <v>82276</v>
      </c>
      <c r="AI111" s="45">
        <f>SUM(AI104:AI110)</f>
        <v>81107</v>
      </c>
      <c r="AJ111" s="45">
        <f>SUM(AJ104:AJ110)</f>
        <v>80907</v>
      </c>
      <c r="AK111" s="45">
        <f>SUM(AK104:AK110)</f>
        <v>81943</v>
      </c>
      <c r="AL111" s="45">
        <f>SUM(AL104:AL110)</f>
        <v>81943</v>
      </c>
      <c r="AM111" s="79"/>
      <c r="AN111" s="45">
        <f>SUM(AN104:AN110)</f>
        <v>83649</v>
      </c>
      <c r="AO111" s="45">
        <f>SUM(AO104:AO110)</f>
        <v>85427</v>
      </c>
      <c r="AP111" s="45">
        <f>SUM(AP104:AP110)</f>
        <v>86791</v>
      </c>
      <c r="AQ111" s="45">
        <f>SUM(AQ104:AQ110)</f>
        <v>87476</v>
      </c>
      <c r="AR111" s="45">
        <f>SUM(AR104:AR110)</f>
        <v>87476</v>
      </c>
      <c r="AS111" s="45"/>
      <c r="AT111" s="45">
        <f>SUM(AT104:AT110)</f>
        <v>83741</v>
      </c>
      <c r="AU111" s="45">
        <f>SUM(AU104:AU110)</f>
        <v>83336</v>
      </c>
      <c r="AV111" s="45">
        <f>SUM(AV104:AV110)</f>
        <v>86273</v>
      </c>
      <c r="AW111" s="352">
        <f>SUM(AW104:AW110)</f>
        <v>87209.819694549922</v>
      </c>
      <c r="AX111" s="45">
        <f>SUM(AX104:AX110)</f>
        <v>87209.819694549922</v>
      </c>
      <c r="AY111" s="45"/>
      <c r="AZ111" s="45">
        <f>SUM(AZ104:AZ110)</f>
        <v>86360.473253162694</v>
      </c>
      <c r="BA111" s="45">
        <f>SUM(BA104:BA110)</f>
        <v>86860.846790640047</v>
      </c>
      <c r="BB111" s="45">
        <f t="shared" ref="BB111:BC111" si="1108">SUM(BB104:BB110)</f>
        <v>88229.457779991091</v>
      </c>
      <c r="BC111" s="45">
        <f t="shared" si="1108"/>
        <v>88639.04706356072</v>
      </c>
      <c r="BD111" s="45">
        <f>SUM(BD104:BD110)</f>
        <v>88639.04706356072</v>
      </c>
      <c r="BE111" s="45"/>
      <c r="BF111" s="45">
        <f>SUM(BF104:BF110)</f>
        <v>88632.191262390348</v>
      </c>
      <c r="BG111" s="45">
        <f>SUM(BG104:BG110)</f>
        <v>89326.496430478946</v>
      </c>
      <c r="BH111" s="45">
        <f t="shared" ref="BH111" si="1109">SUM(BH104:BH110)</f>
        <v>90675.755541204431</v>
      </c>
      <c r="BI111" s="45">
        <f t="shared" ref="BI111" si="1110">SUM(BI104:BI110)</f>
        <v>91035.306243760802</v>
      </c>
      <c r="BJ111" s="45">
        <f>SUM(BJ104:BJ110)</f>
        <v>91035.306243760802</v>
      </c>
      <c r="BK111" s="45"/>
      <c r="BL111" s="45">
        <f>SUM(BL104:BL110)</f>
        <v>90817.896586768111</v>
      </c>
      <c r="BM111" s="45">
        <f>SUM(BM104:BM110)</f>
        <v>91409.559451073103</v>
      </c>
      <c r="BN111" s="45">
        <f t="shared" ref="BN111" si="1111">SUM(BN104:BN110)</f>
        <v>92934.962198724766</v>
      </c>
      <c r="BO111" s="45">
        <f t="shared" ref="BO111" si="1112">SUM(BO104:BO110)</f>
        <v>93450.095956551508</v>
      </c>
      <c r="BP111" s="45">
        <f>SUM(BP104:BP110)</f>
        <v>93450.095956551508</v>
      </c>
      <c r="BQ111" s="45"/>
      <c r="BR111" s="45">
        <f>SUM(BR104:BR110)</f>
        <v>93251.660858961433</v>
      </c>
      <c r="BS111" s="45">
        <f>SUM(BS104:BS110)</f>
        <v>94097.083083987061</v>
      </c>
      <c r="BT111" s="45">
        <f t="shared" ref="BT111" si="1113">SUM(BT104:BT110)</f>
        <v>95561.86366910777</v>
      </c>
      <c r="BU111" s="45">
        <f t="shared" ref="BU111" si="1114">SUM(BU104:BU110)</f>
        <v>95997.01536998825</v>
      </c>
      <c r="BV111" s="45">
        <f>SUM(BV104:BV110)</f>
        <v>95997.01536998825</v>
      </c>
      <c r="BW111" s="45"/>
      <c r="BX111" s="45">
        <f>SUM(BX104:BX110)</f>
        <v>95771.513165250086</v>
      </c>
      <c r="BY111" s="45">
        <f>SUM(BY104:BY110)</f>
        <v>96253.242458539913</v>
      </c>
      <c r="BZ111" s="45">
        <f t="shared" ref="BZ111" si="1115">SUM(BZ104:BZ110)</f>
        <v>97924.320100312572</v>
      </c>
      <c r="CA111" s="45">
        <f t="shared" ref="CA111" si="1116">SUM(CA104:CA110)</f>
        <v>98544.75432739855</v>
      </c>
      <c r="CB111" s="45">
        <f>SUM(CB104:CB110)</f>
        <v>98544.75432739855</v>
      </c>
      <c r="CC111" s="45"/>
      <c r="CD111" s="45">
        <f>SUM(CD104:CD110)</f>
        <v>98458.220832541119</v>
      </c>
      <c r="CE111" s="45">
        <f>SUM(CE104:CE110)</f>
        <v>99315.499401815716</v>
      </c>
      <c r="CF111" s="45">
        <f t="shared" ref="CF111" si="1117">SUM(CF104:CF110)</f>
        <v>100705.05170075879</v>
      </c>
      <c r="CG111" s="45">
        <f t="shared" ref="CG111" si="1118">SUM(CG104:CG110)</f>
        <v>101025.63573758378</v>
      </c>
      <c r="CH111" s="45">
        <f>SUM(CH104:CH110)</f>
        <v>101025.63573758378</v>
      </c>
      <c r="CI111" s="45"/>
      <c r="CJ111" s="45">
        <f>SUM(CJ104:CJ110)</f>
        <v>100100.0091341449</v>
      </c>
      <c r="CK111" s="45">
        <f>SUM(CK104:CK110)</f>
        <v>100432.27913185394</v>
      </c>
      <c r="CL111" s="45">
        <f t="shared" ref="CL111" si="1119">SUM(CL104:CL110)</f>
        <v>102072.84867016529</v>
      </c>
      <c r="CM111" s="45">
        <f t="shared" ref="CM111" si="1120">SUM(CM104:CM110)</f>
        <v>102623.37416513546</v>
      </c>
      <c r="CN111" s="45">
        <f>SUM(CN104:CN110)</f>
        <v>102623.37416513546</v>
      </c>
    </row>
    <row r="112" spans="1:92" ht="12.95" customHeight="1" x14ac:dyDescent="0.25">
      <c r="B112" s="31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27"/>
      <c r="T112" s="27"/>
      <c r="U112" s="6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78"/>
      <c r="AN112" s="27"/>
      <c r="AO112" s="563"/>
      <c r="AP112" s="27"/>
      <c r="AQ112" s="563"/>
      <c r="AR112" s="235"/>
      <c r="AS112" s="27"/>
      <c r="AT112" s="27"/>
      <c r="AU112" s="563"/>
      <c r="AV112" s="235"/>
      <c r="AW112" s="158"/>
      <c r="AX112" s="27"/>
      <c r="AY112" s="27"/>
      <c r="AZ112" s="235"/>
      <c r="BA112" s="235"/>
      <c r="BB112" s="235"/>
      <c r="BC112" s="235"/>
      <c r="BD112" s="27"/>
      <c r="BE112" s="27"/>
      <c r="BF112" s="235"/>
      <c r="BG112" s="235"/>
      <c r="BH112" s="235"/>
      <c r="BI112" s="235"/>
      <c r="BJ112" s="27"/>
      <c r="BK112" s="27"/>
      <c r="BL112" s="235"/>
      <c r="BM112" s="235"/>
      <c r="BN112" s="235"/>
      <c r="BO112" s="235"/>
      <c r="BP112" s="27"/>
      <c r="BQ112" s="27"/>
      <c r="BR112" s="235"/>
      <c r="BS112" s="235"/>
      <c r="BT112" s="235"/>
      <c r="BU112" s="235"/>
      <c r="BV112" s="27"/>
      <c r="BW112" s="27"/>
      <c r="BX112" s="235"/>
      <c r="BY112" s="235"/>
      <c r="BZ112" s="235"/>
      <c r="CA112" s="235"/>
      <c r="CB112" s="27"/>
      <c r="CC112" s="27"/>
      <c r="CD112" s="235"/>
      <c r="CE112" s="235"/>
      <c r="CF112" s="235"/>
      <c r="CG112" s="235"/>
      <c r="CH112" s="27"/>
      <c r="CI112" s="27"/>
      <c r="CJ112" s="235"/>
      <c r="CK112" s="235"/>
      <c r="CL112" s="235"/>
      <c r="CM112" s="235"/>
      <c r="CN112" s="27"/>
    </row>
    <row r="113" spans="2:92" ht="12.95" customHeight="1" x14ac:dyDescent="0.25">
      <c r="B113" s="31" t="s">
        <v>429</v>
      </c>
      <c r="D113" s="74">
        <f>436+7385</f>
        <v>7821</v>
      </c>
      <c r="E113" s="74">
        <f>5+6775</f>
        <v>6780</v>
      </c>
      <c r="F113" s="74">
        <f>11+5459</f>
        <v>5470</v>
      </c>
      <c r="G113" s="74">
        <f>1+4836</f>
        <v>4837</v>
      </c>
      <c r="H113" s="27">
        <f>G113</f>
        <v>4837</v>
      </c>
      <c r="I113" s="6"/>
      <c r="J113" s="74">
        <f>7+5726</f>
        <v>5733</v>
      </c>
      <c r="K113" s="74">
        <f>35+6185</f>
        <v>6220</v>
      </c>
      <c r="L113" s="74">
        <f>59+4462</f>
        <v>4521</v>
      </c>
      <c r="M113" s="74">
        <v>5723</v>
      </c>
      <c r="N113" s="27">
        <f>M113</f>
        <v>5723</v>
      </c>
      <c r="O113" s="6"/>
      <c r="P113" s="74">
        <f>4+5586</f>
        <v>5590</v>
      </c>
      <c r="Q113" s="74">
        <v>5266</v>
      </c>
      <c r="R113" s="74">
        <v>4268</v>
      </c>
      <c r="S113" s="74">
        <f>5+5161</f>
        <v>5166</v>
      </c>
      <c r="T113" s="27">
        <f>S113</f>
        <v>5166</v>
      </c>
      <c r="U113" s="6"/>
      <c r="V113" s="74">
        <v>4789</v>
      </c>
      <c r="W113" s="74">
        <v>4314</v>
      </c>
      <c r="X113" s="74">
        <v>2660</v>
      </c>
      <c r="Y113" s="74">
        <v>2015</v>
      </c>
      <c r="Z113" s="27">
        <f>Y113</f>
        <v>2015</v>
      </c>
      <c r="AA113" s="27"/>
      <c r="AB113" s="74">
        <v>3625</v>
      </c>
      <c r="AC113" s="74">
        <v>3425</v>
      </c>
      <c r="AD113" s="74">
        <v>3247</v>
      </c>
      <c r="AE113" s="74">
        <v>5404</v>
      </c>
      <c r="AF113" s="27">
        <f>AE113</f>
        <v>5404</v>
      </c>
      <c r="AG113" s="27"/>
      <c r="AH113" s="74">
        <v>4501</v>
      </c>
      <c r="AI113" s="74">
        <v>5002</v>
      </c>
      <c r="AJ113" s="74">
        <v>4202</v>
      </c>
      <c r="AK113" s="74">
        <v>5957</v>
      </c>
      <c r="AL113" s="27">
        <f>AK113</f>
        <v>5957</v>
      </c>
      <c r="AM113" s="78"/>
      <c r="AN113" s="74">
        <v>5841</v>
      </c>
      <c r="AO113" s="248">
        <v>5548</v>
      </c>
      <c r="AP113" s="74">
        <v>4218</v>
      </c>
      <c r="AQ113" s="248">
        <v>4643</v>
      </c>
      <c r="AR113" s="235">
        <f>AQ113</f>
        <v>4643</v>
      </c>
      <c r="AS113" s="27"/>
      <c r="AT113" s="74">
        <v>3568</v>
      </c>
      <c r="AU113" s="248">
        <v>5298</v>
      </c>
      <c r="AV113" s="248">
        <v>3725</v>
      </c>
      <c r="AW113" s="158">
        <f>AV113</f>
        <v>3725</v>
      </c>
      <c r="AX113" s="27">
        <f>AW113</f>
        <v>3725</v>
      </c>
      <c r="AY113" s="27"/>
      <c r="AZ113" s="235">
        <f>AX113</f>
        <v>3725</v>
      </c>
      <c r="BA113" s="235">
        <f>AZ113</f>
        <v>3725</v>
      </c>
      <c r="BB113" s="235">
        <f t="shared" ref="BB113:BC113" si="1121">BA113</f>
        <v>3725</v>
      </c>
      <c r="BC113" s="235">
        <f t="shared" si="1121"/>
        <v>3725</v>
      </c>
      <c r="BD113" s="27">
        <f>BC113</f>
        <v>3725</v>
      </c>
      <c r="BE113" s="27"/>
      <c r="BF113" s="235">
        <f>BD113</f>
        <v>3725</v>
      </c>
      <c r="BG113" s="235">
        <f>BF113</f>
        <v>3725</v>
      </c>
      <c r="BH113" s="235">
        <f t="shared" ref="BH113:BI113" si="1122">BG113</f>
        <v>3725</v>
      </c>
      <c r="BI113" s="235">
        <f t="shared" si="1122"/>
        <v>3725</v>
      </c>
      <c r="BJ113" s="27">
        <f>BI113</f>
        <v>3725</v>
      </c>
      <c r="BK113" s="27"/>
      <c r="BL113" s="235">
        <f>BJ113</f>
        <v>3725</v>
      </c>
      <c r="BM113" s="235">
        <f>BL113</f>
        <v>3725</v>
      </c>
      <c r="BN113" s="235">
        <f t="shared" ref="BN113:BO113" si="1123">BM113</f>
        <v>3725</v>
      </c>
      <c r="BO113" s="235">
        <f t="shared" si="1123"/>
        <v>3725</v>
      </c>
      <c r="BP113" s="27">
        <f>BO113</f>
        <v>3725</v>
      </c>
      <c r="BQ113" s="27"/>
      <c r="BR113" s="235">
        <f>BP113</f>
        <v>3725</v>
      </c>
      <c r="BS113" s="235">
        <f>BR113</f>
        <v>3725</v>
      </c>
      <c r="BT113" s="235">
        <f t="shared" ref="BT113:BU113" si="1124">BS113</f>
        <v>3725</v>
      </c>
      <c r="BU113" s="235">
        <f t="shared" si="1124"/>
        <v>3725</v>
      </c>
      <c r="BV113" s="27">
        <f>BU113</f>
        <v>3725</v>
      </c>
      <c r="BW113" s="27"/>
      <c r="BX113" s="235">
        <f>BV113</f>
        <v>3725</v>
      </c>
      <c r="BY113" s="235">
        <f>BX113</f>
        <v>3725</v>
      </c>
      <c r="BZ113" s="235">
        <f t="shared" ref="BZ113:CA113" si="1125">BY113</f>
        <v>3725</v>
      </c>
      <c r="CA113" s="235">
        <f t="shared" si="1125"/>
        <v>3725</v>
      </c>
      <c r="CB113" s="27">
        <f>CA113</f>
        <v>3725</v>
      </c>
      <c r="CC113" s="27"/>
      <c r="CD113" s="235">
        <f>CB113</f>
        <v>3725</v>
      </c>
      <c r="CE113" s="235">
        <f>CD113</f>
        <v>3725</v>
      </c>
      <c r="CF113" s="235">
        <f t="shared" ref="CF113:CG113" si="1126">CE113</f>
        <v>3725</v>
      </c>
      <c r="CG113" s="235">
        <f t="shared" si="1126"/>
        <v>3725</v>
      </c>
      <c r="CH113" s="27">
        <f>CG113</f>
        <v>3725</v>
      </c>
      <c r="CI113" s="27"/>
      <c r="CJ113" s="235">
        <f>CH113</f>
        <v>3725</v>
      </c>
      <c r="CK113" s="235">
        <f>CJ113</f>
        <v>3725</v>
      </c>
      <c r="CL113" s="235">
        <f t="shared" ref="CL113:CM113" si="1127">CK113</f>
        <v>3725</v>
      </c>
      <c r="CM113" s="235">
        <f t="shared" si="1127"/>
        <v>3725</v>
      </c>
      <c r="CN113" s="27">
        <f>CM113</f>
        <v>3725</v>
      </c>
    </row>
    <row r="114" spans="2:92" ht="12.95" customHeight="1" x14ac:dyDescent="0.25">
      <c r="B114" s="31" t="s">
        <v>430</v>
      </c>
      <c r="D114" s="74">
        <v>5302</v>
      </c>
      <c r="E114" s="74">
        <v>5778</v>
      </c>
      <c r="F114" s="74">
        <v>6113</v>
      </c>
      <c r="G114" s="74">
        <v>6487</v>
      </c>
      <c r="H114" s="27">
        <f t="shared" ref="H114:H120" si="1128">G114</f>
        <v>6487</v>
      </c>
      <c r="I114" s="6"/>
      <c r="J114" s="74">
        <v>6938</v>
      </c>
      <c r="K114" s="74">
        <v>6831</v>
      </c>
      <c r="L114" s="74">
        <v>6788</v>
      </c>
      <c r="M114" s="74">
        <v>7051</v>
      </c>
      <c r="N114" s="27">
        <f t="shared" ref="N114:N120" si="1129">M114</f>
        <v>7051</v>
      </c>
      <c r="O114" s="6"/>
      <c r="P114" s="74">
        <v>7198</v>
      </c>
      <c r="Q114" s="74">
        <v>7022</v>
      </c>
      <c r="R114" s="74">
        <v>6141</v>
      </c>
      <c r="S114" s="74">
        <v>5957</v>
      </c>
      <c r="T114" s="27">
        <f t="shared" ref="T114:T120" si="1130">S114</f>
        <v>5957</v>
      </c>
      <c r="U114" s="6"/>
      <c r="V114" s="74">
        <v>5769</v>
      </c>
      <c r="W114" s="74">
        <v>5083</v>
      </c>
      <c r="X114" s="74">
        <v>5193</v>
      </c>
      <c r="Y114" s="74">
        <v>6128</v>
      </c>
      <c r="Z114" s="27">
        <f t="shared" ref="Z114:Z120" si="1131">Y114</f>
        <v>6128</v>
      </c>
      <c r="AA114" s="27"/>
      <c r="AB114" s="74">
        <v>6694</v>
      </c>
      <c r="AC114" s="74">
        <v>6921</v>
      </c>
      <c r="AD114" s="74">
        <v>7218</v>
      </c>
      <c r="AE114" s="74">
        <v>8154</v>
      </c>
      <c r="AF114" s="27">
        <f t="shared" ref="AF114:AF120" si="1132">AE114</f>
        <v>8154</v>
      </c>
      <c r="AG114" s="27"/>
      <c r="AH114" s="74">
        <v>8361</v>
      </c>
      <c r="AI114" s="74">
        <v>8092</v>
      </c>
      <c r="AJ114" s="74">
        <v>8260</v>
      </c>
      <c r="AK114" s="74">
        <v>8689</v>
      </c>
      <c r="AL114" s="27">
        <f t="shared" ref="AL114:AL120" si="1133">AK114</f>
        <v>8689</v>
      </c>
      <c r="AM114" s="78"/>
      <c r="AN114" s="74">
        <v>8951</v>
      </c>
      <c r="AO114" s="248">
        <v>8443</v>
      </c>
      <c r="AP114" s="74">
        <v>7827</v>
      </c>
      <c r="AQ114" s="248">
        <v>7906</v>
      </c>
      <c r="AR114" s="235">
        <f t="shared" ref="AR114:AR120" si="1134">AQ114</f>
        <v>7906</v>
      </c>
      <c r="AS114" s="27"/>
      <c r="AT114" s="74">
        <v>7778</v>
      </c>
      <c r="AU114" s="248">
        <v>7575</v>
      </c>
      <c r="AV114" s="248">
        <v>7705</v>
      </c>
      <c r="AW114" s="564">
        <f>AW91*AW21/AW5</f>
        <v>7643.4013863196569</v>
      </c>
      <c r="AX114" s="27">
        <f>AW114</f>
        <v>7643.4013863196569</v>
      </c>
      <c r="AY114" s="27"/>
      <c r="AZ114" s="565">
        <f>AZ91*AZ21/AZ5</f>
        <v>7823.5920973799048</v>
      </c>
      <c r="BA114" s="565">
        <f>BA91*BA21/BA5</f>
        <v>7441.4440032693665</v>
      </c>
      <c r="BB114" s="565">
        <f t="shared" ref="BB114:BC114" si="1135">BB91*BB21/BB5</f>
        <v>7809.6339512568084</v>
      </c>
      <c r="BC114" s="565">
        <f t="shared" si="1135"/>
        <v>7737.3910929993535</v>
      </c>
      <c r="BD114" s="27">
        <f>BC114</f>
        <v>7737.3910929993535</v>
      </c>
      <c r="BE114" s="27"/>
      <c r="BF114" s="565">
        <f>BF91*BF21/BF5</f>
        <v>8103.6940364795637</v>
      </c>
      <c r="BG114" s="565">
        <f>BG91*BG21/BG5</f>
        <v>7704.8793321364265</v>
      </c>
      <c r="BH114" s="565">
        <f t="shared" ref="BH114:BI114" si="1136">BH91*BH21/BH5</f>
        <v>8080.1150678699778</v>
      </c>
      <c r="BI114" s="565">
        <f t="shared" si="1136"/>
        <v>8003.0573462823222</v>
      </c>
      <c r="BJ114" s="27">
        <f>BI114</f>
        <v>8003.0573462823222</v>
      </c>
      <c r="BK114" s="27"/>
      <c r="BL114" s="565">
        <f>BL91*BL21/BL5</f>
        <v>8391.9728760379458</v>
      </c>
      <c r="BM114" s="565">
        <f>BM91*BM21/BM5</f>
        <v>7979.5444835493508</v>
      </c>
      <c r="BN114" s="565">
        <f t="shared" ref="BN114:BO114" si="1137">BN91*BN21/BN5</f>
        <v>8361.0044590397592</v>
      </c>
      <c r="BO114" s="565">
        <f t="shared" si="1137"/>
        <v>8282.4088030226885</v>
      </c>
      <c r="BP114" s="27">
        <f>BO114</f>
        <v>8282.4088030226885</v>
      </c>
      <c r="BQ114" s="27"/>
      <c r="BR114" s="565">
        <f>BR91*BR21/BR5</f>
        <v>8594.5021920799591</v>
      </c>
      <c r="BS114" s="565">
        <f>BS91*BS21/BS5</f>
        <v>8263.4944165920933</v>
      </c>
      <c r="BT114" s="565">
        <f t="shared" ref="BT114:BU114" si="1138">BT91*BT21/BT5</f>
        <v>8651.2735864136048</v>
      </c>
      <c r="BU114" s="565">
        <f t="shared" si="1138"/>
        <v>8571.3849051289053</v>
      </c>
      <c r="BV114" s="27">
        <f>BU114</f>
        <v>8571.3849051289053</v>
      </c>
      <c r="BW114" s="27"/>
      <c r="BX114" s="565">
        <f>BX91*BX21/BX5</f>
        <v>9000.9883742285056</v>
      </c>
      <c r="BY114" s="565">
        <f>BY91*BY21/BY5</f>
        <v>8559.8695159948238</v>
      </c>
      <c r="BZ114" s="565">
        <f t="shared" ref="BZ114:CA114" si="1139">BZ91*BZ21/BZ5</f>
        <v>8954.2038659888876</v>
      </c>
      <c r="CA114" s="565">
        <f t="shared" si="1139"/>
        <v>8873.05217601199</v>
      </c>
      <c r="CB114" s="27">
        <f>CA114</f>
        <v>8873.05217601199</v>
      </c>
      <c r="CC114" s="27"/>
      <c r="CD114" s="565">
        <f>CD91*CD21/CD5</f>
        <v>9325.5306119364323</v>
      </c>
      <c r="CE114" s="565">
        <f>CE91*CE21/CE5</f>
        <v>8869.2307331771626</v>
      </c>
      <c r="CF114" s="565">
        <f t="shared" ref="CF114:CG114" si="1140">CF91*CF21/CF5</f>
        <v>9270.3652736362674</v>
      </c>
      <c r="CG114" s="565">
        <f t="shared" si="1140"/>
        <v>9187.9860273465347</v>
      </c>
      <c r="CH114" s="27">
        <f>CG114</f>
        <v>9187.9860273465347</v>
      </c>
      <c r="CI114" s="27"/>
      <c r="CJ114" s="565">
        <f>CJ91*CJ21/CJ5</f>
        <v>9659.6421898262743</v>
      </c>
      <c r="CK114" s="565">
        <f>CK91*CK21/CK5</f>
        <v>9187.901180248964</v>
      </c>
      <c r="CL114" s="565">
        <f t="shared" ref="CL114:CM114" si="1141">CL91*CL21/CL5</f>
        <v>9595.8498958356067</v>
      </c>
      <c r="CM114" s="565">
        <f t="shared" si="1141"/>
        <v>9512.563123034457</v>
      </c>
      <c r="CN114" s="27">
        <f>CM114</f>
        <v>9512.563123034457</v>
      </c>
    </row>
    <row r="115" spans="2:92" ht="12.95" customHeight="1" x14ac:dyDescent="0.25">
      <c r="B115" s="31" t="s">
        <v>150</v>
      </c>
      <c r="D115" s="74">
        <v>3086</v>
      </c>
      <c r="E115" s="74">
        <v>3211</v>
      </c>
      <c r="F115" s="74">
        <v>3114</v>
      </c>
      <c r="G115" s="74">
        <v>3220</v>
      </c>
      <c r="H115" s="27">
        <f t="shared" si="1128"/>
        <v>3220</v>
      </c>
      <c r="I115" s="6"/>
      <c r="J115" s="74">
        <v>3551</v>
      </c>
      <c r="K115" s="74">
        <v>3450</v>
      </c>
      <c r="L115" s="74">
        <v>3423</v>
      </c>
      <c r="M115" s="74">
        <v>3573</v>
      </c>
      <c r="N115" s="27">
        <f t="shared" si="1129"/>
        <v>3573</v>
      </c>
      <c r="O115" s="6"/>
      <c r="P115" s="74">
        <v>3746</v>
      </c>
      <c r="Q115" s="74">
        <v>3789</v>
      </c>
      <c r="R115" s="74">
        <v>3727</v>
      </c>
      <c r="S115" s="74">
        <v>3750</v>
      </c>
      <c r="T115" s="27">
        <f t="shared" si="1130"/>
        <v>3750</v>
      </c>
      <c r="U115" s="6"/>
      <c r="V115" s="74">
        <v>3776</v>
      </c>
      <c r="W115" s="74">
        <v>3547</v>
      </c>
      <c r="X115" s="74">
        <v>3510</v>
      </c>
      <c r="Y115" s="74">
        <v>3642</v>
      </c>
      <c r="Z115" s="27">
        <f t="shared" si="1131"/>
        <v>3642</v>
      </c>
      <c r="AA115" s="27"/>
      <c r="AB115" s="74">
        <v>3574</v>
      </c>
      <c r="AC115" s="74">
        <v>3556</v>
      </c>
      <c r="AD115" s="74">
        <v>3579</v>
      </c>
      <c r="AE115" s="74">
        <v>3757</v>
      </c>
      <c r="AF115" s="27">
        <f t="shared" si="1132"/>
        <v>3757</v>
      </c>
      <c r="AG115" s="27"/>
      <c r="AH115" s="74">
        <v>3846</v>
      </c>
      <c r="AI115" s="74">
        <v>3782</v>
      </c>
      <c r="AJ115" s="74">
        <v>4013</v>
      </c>
      <c r="AK115" s="74">
        <v>4080</v>
      </c>
      <c r="AL115" s="27">
        <f t="shared" si="1133"/>
        <v>4080</v>
      </c>
      <c r="AM115" s="78"/>
      <c r="AN115" s="74">
        <v>4121</v>
      </c>
      <c r="AO115" s="248">
        <v>4493</v>
      </c>
      <c r="AP115" s="74">
        <v>4669</v>
      </c>
      <c r="AQ115" s="248">
        <v>4958</v>
      </c>
      <c r="AR115" s="235">
        <f t="shared" si="1134"/>
        <v>4958</v>
      </c>
      <c r="AS115" s="27"/>
      <c r="AT115" s="74">
        <v>4821</v>
      </c>
      <c r="AU115" s="248">
        <v>4947</v>
      </c>
      <c r="AV115" s="248">
        <v>4980</v>
      </c>
      <c r="AW115" s="564">
        <f>AW92*AW9</f>
        <v>4846.8298476859982</v>
      </c>
      <c r="AX115" s="27">
        <f>AW115</f>
        <v>4846.8298476859982</v>
      </c>
      <c r="AY115" s="27"/>
      <c r="AZ115" s="565">
        <f>AZ92*AZ9</f>
        <v>4697.431169694285</v>
      </c>
      <c r="BA115" s="565">
        <f>BA92*BA9</f>
        <v>4875.6213913356105</v>
      </c>
      <c r="BB115" s="565">
        <f t="shared" ref="BB115:BC115" si="1142">BB92*BB9</f>
        <v>5003.4653048553337</v>
      </c>
      <c r="BC115" s="565">
        <f t="shared" si="1142"/>
        <v>4924.1869918570592</v>
      </c>
      <c r="BD115" s="27">
        <f>BC115</f>
        <v>4924.1869918570592</v>
      </c>
      <c r="BE115" s="27"/>
      <c r="BF115" s="565">
        <f>BF92*BF9</f>
        <v>4919.4433845258891</v>
      </c>
      <c r="BG115" s="565">
        <f>BG92*BG9</f>
        <v>5105.9943649598954</v>
      </c>
      <c r="BH115" s="565">
        <f t="shared" ref="BH115:BI115" si="1143">BH92*BH9</f>
        <v>5239.3333078545911</v>
      </c>
      <c r="BI115" s="565">
        <f t="shared" si="1143"/>
        <v>5155.2224146956642</v>
      </c>
      <c r="BJ115" s="27">
        <f>BI115</f>
        <v>5155.2224146956642</v>
      </c>
      <c r="BK115" s="27"/>
      <c r="BL115" s="565">
        <f>BL92*BL9</f>
        <v>5120.563571047468</v>
      </c>
      <c r="BM115" s="565">
        <f>BM92*BM9</f>
        <v>5315.8840388049239</v>
      </c>
      <c r="BN115" s="565">
        <f t="shared" ref="BN115:BO115" si="1144">BN92*BN9</f>
        <v>5454.1175738018692</v>
      </c>
      <c r="BO115" s="565">
        <f t="shared" si="1144"/>
        <v>5367.7693648701243</v>
      </c>
      <c r="BP115" s="27">
        <f>BO115</f>
        <v>5367.7693648701243</v>
      </c>
      <c r="BQ115" s="27"/>
      <c r="BR115" s="565">
        <f>BR92*BR9</f>
        <v>5330.2569426757191</v>
      </c>
      <c r="BS115" s="565">
        <f>BS92*BS9</f>
        <v>5534.7661772534966</v>
      </c>
      <c r="BT115" s="565">
        <f t="shared" ref="BT115:BU115" si="1145">BT92*BT9</f>
        <v>5678.0811686337211</v>
      </c>
      <c r="BU115" s="565">
        <f t="shared" si="1145"/>
        <v>5589.471323827277</v>
      </c>
      <c r="BV115" s="27">
        <f>BU115</f>
        <v>5589.471323827277</v>
      </c>
      <c r="BW115" s="27"/>
      <c r="BX115" s="565">
        <f>BX92*BX9</f>
        <v>5548.9014155722762</v>
      </c>
      <c r="BY115" s="565">
        <f>BY92*BY9</f>
        <v>5763.038954325325</v>
      </c>
      <c r="BZ115" s="565">
        <f t="shared" ref="BZ115:CA115" si="1146">BZ92*BZ9</f>
        <v>5911.6295849723019</v>
      </c>
      <c r="CA115" s="565">
        <f t="shared" si="1146"/>
        <v>5820.7360140876326</v>
      </c>
      <c r="CB115" s="27">
        <f>CA115</f>
        <v>5820.7360140876326</v>
      </c>
      <c r="CC115" s="27"/>
      <c r="CD115" s="565">
        <f>CD92*CD9</f>
        <v>5776.8920137238101</v>
      </c>
      <c r="CE115" s="565">
        <f>CE92*CE9</f>
        <v>6001.118637720725</v>
      </c>
      <c r="CF115" s="565">
        <f t="shared" ref="CF115:CG115" si="1147">CF92*CF9</f>
        <v>6155.1867007487754</v>
      </c>
      <c r="CG115" s="565">
        <f t="shared" si="1147"/>
        <v>6061.9897847256489</v>
      </c>
      <c r="CH115" s="27">
        <f>CG115</f>
        <v>6061.9897847256489</v>
      </c>
      <c r="CI115" s="27"/>
      <c r="CJ115" s="565">
        <f>CJ92*CJ9</f>
        <v>6014.6416597590696</v>
      </c>
      <c r="CK115" s="565">
        <f>CK92*CK9</f>
        <v>6249.4404278723141</v>
      </c>
      <c r="CL115" s="565">
        <f t="shared" ref="CL115:CM115" si="1148">CL92*CL9</f>
        <v>6409.1956300244847</v>
      </c>
      <c r="CM115" s="565">
        <f t="shared" si="1148"/>
        <v>6313.6784790724014</v>
      </c>
      <c r="CN115" s="27">
        <f>CM115</f>
        <v>6313.6784790724014</v>
      </c>
    </row>
    <row r="116" spans="2:92" ht="12.95" customHeight="1" x14ac:dyDescent="0.25">
      <c r="B116" s="31" t="s">
        <v>431</v>
      </c>
      <c r="D116" s="74">
        <v>1666</v>
      </c>
      <c r="E116" s="74">
        <v>1986</v>
      </c>
      <c r="F116" s="74">
        <v>2333</v>
      </c>
      <c r="G116" s="74">
        <v>2559</v>
      </c>
      <c r="H116" s="27">
        <f t="shared" si="1128"/>
        <v>2559</v>
      </c>
      <c r="I116" s="6"/>
      <c r="J116" s="74">
        <v>1474</v>
      </c>
      <c r="K116" s="74">
        <v>1789</v>
      </c>
      <c r="L116" s="74">
        <v>2132</v>
      </c>
      <c r="M116" s="74">
        <v>2384</v>
      </c>
      <c r="N116" s="27">
        <f t="shared" si="1129"/>
        <v>2384</v>
      </c>
      <c r="O116" s="6"/>
      <c r="P116" s="74">
        <v>1200</v>
      </c>
      <c r="Q116" s="74">
        <v>1411</v>
      </c>
      <c r="R116" s="74">
        <v>1518</v>
      </c>
      <c r="S116" s="74">
        <v>1629</v>
      </c>
      <c r="T116" s="27">
        <f t="shared" si="1130"/>
        <v>1629</v>
      </c>
      <c r="U116" s="6"/>
      <c r="V116" s="74">
        <v>878</v>
      </c>
      <c r="W116" s="74">
        <v>958</v>
      </c>
      <c r="X116" s="74">
        <v>1069</v>
      </c>
      <c r="Y116" s="74">
        <v>1096</v>
      </c>
      <c r="Z116" s="27">
        <f t="shared" si="1131"/>
        <v>1096</v>
      </c>
      <c r="AA116" s="27"/>
      <c r="AB116" s="74">
        <v>1283</v>
      </c>
      <c r="AC116" s="74">
        <v>1759</v>
      </c>
      <c r="AD116" s="74">
        <v>2075</v>
      </c>
      <c r="AE116" s="74">
        <v>2242</v>
      </c>
      <c r="AF116" s="27">
        <f t="shared" si="1132"/>
        <v>2242</v>
      </c>
      <c r="AG116" s="27"/>
      <c r="AH116" s="74">
        <v>1275</v>
      </c>
      <c r="AI116" s="74">
        <v>1772</v>
      </c>
      <c r="AJ116" s="74">
        <v>2204</v>
      </c>
      <c r="AK116" s="74">
        <v>2313</v>
      </c>
      <c r="AL116" s="27">
        <f t="shared" si="1133"/>
        <v>2313</v>
      </c>
      <c r="AM116" s="78"/>
      <c r="AN116" s="74">
        <v>1368</v>
      </c>
      <c r="AO116" s="248">
        <v>1755</v>
      </c>
      <c r="AP116" s="74">
        <v>2300</v>
      </c>
      <c r="AQ116" s="248">
        <v>2757</v>
      </c>
      <c r="AR116" s="235">
        <f t="shared" si="1134"/>
        <v>2757</v>
      </c>
      <c r="AS116" s="27"/>
      <c r="AT116" s="74">
        <v>1291</v>
      </c>
      <c r="AU116" s="248">
        <v>1677</v>
      </c>
      <c r="AV116" s="248">
        <v>2078</v>
      </c>
      <c r="AW116" s="564">
        <f>AW93*AW9</f>
        <v>2695.1815026362042</v>
      </c>
      <c r="AX116" s="27">
        <f>AW116</f>
        <v>2695.1815026362042</v>
      </c>
      <c r="AY116" s="27"/>
      <c r="AZ116" s="565">
        <f>AZ93*AZ9</f>
        <v>1257.9099025254766</v>
      </c>
      <c r="BA116" s="565">
        <f>BA93*BA9</f>
        <v>1652.8031278087365</v>
      </c>
      <c r="BB116" s="565">
        <f t="shared" ref="BB116:BC116" si="1149">BB93*BB9</f>
        <v>2087.7913460822056</v>
      </c>
      <c r="BC116" s="565">
        <f t="shared" si="1149"/>
        <v>2738.197566871705</v>
      </c>
      <c r="BD116" s="27">
        <f>BC116</f>
        <v>2738.197566871705</v>
      </c>
      <c r="BE116" s="27"/>
      <c r="BF116" s="565">
        <f>BF93*BF9</f>
        <v>1317.36183559903</v>
      </c>
      <c r="BG116" s="565">
        <f>BG93*BG9</f>
        <v>1730.8980291161806</v>
      </c>
      <c r="BH116" s="565">
        <f t="shared" ref="BH116:BI116" si="1150">BH93*BH9</f>
        <v>2186.2117698236625</v>
      </c>
      <c r="BI116" s="565">
        <f t="shared" si="1150"/>
        <v>2866.6696646462178</v>
      </c>
      <c r="BJ116" s="27">
        <f>BI116</f>
        <v>2866.6696646462178</v>
      </c>
      <c r="BK116" s="27"/>
      <c r="BL116" s="565">
        <f>BL93*BL9</f>
        <v>1371.2191599714338</v>
      </c>
      <c r="BM116" s="565">
        <f>BM93*BM9</f>
        <v>1802.0492284365996</v>
      </c>
      <c r="BN116" s="565">
        <f t="shared" ref="BN116:BO116" si="1151">BN93*BN9</f>
        <v>2275.8346020803783</v>
      </c>
      <c r="BO116" s="565">
        <f t="shared" si="1151"/>
        <v>2984.8608590050294</v>
      </c>
      <c r="BP116" s="27">
        <f>BO116</f>
        <v>2984.8608590050294</v>
      </c>
      <c r="BQ116" s="27"/>
      <c r="BR116" s="565">
        <f>BR93*BR9</f>
        <v>1427.3722698598535</v>
      </c>
      <c r="BS116" s="565">
        <f>BS93*BS9</f>
        <v>1876.2488132715009</v>
      </c>
      <c r="BT116" s="565">
        <f t="shared" ref="BT116:BU116" si="1152">BT93*BT9</f>
        <v>2369.2876844218622</v>
      </c>
      <c r="BU116" s="565">
        <f t="shared" si="1152"/>
        <v>3108.1428882194036</v>
      </c>
      <c r="BV116" s="27">
        <f>BU116</f>
        <v>3108.1428882194036</v>
      </c>
      <c r="BW116" s="27"/>
      <c r="BX116" s="565">
        <f>BX93*BX9</f>
        <v>1485.9223662111199</v>
      </c>
      <c r="BY116" s="565">
        <f>BY93*BY9</f>
        <v>1953.6317619574634</v>
      </c>
      <c r="BZ116" s="565">
        <f t="shared" ref="BZ116:CA116" si="1153">BZ93*BZ9</f>
        <v>2466.7402163800084</v>
      </c>
      <c r="CA116" s="565">
        <f t="shared" si="1153"/>
        <v>3236.7424749575644</v>
      </c>
      <c r="CB116" s="27">
        <f>CA116</f>
        <v>3236.7424749575644</v>
      </c>
      <c r="CC116" s="27"/>
      <c r="CD116" s="565">
        <f>CD93*CD9</f>
        <v>1546.9752312212072</v>
      </c>
      <c r="CE116" s="565">
        <f>CE93*CE9</f>
        <v>2034.3391864680932</v>
      </c>
      <c r="CF116" s="565">
        <f t="shared" ref="CF116:CG116" si="1154">CF93*CF9</f>
        <v>2568.3690691076217</v>
      </c>
      <c r="CG116" s="565">
        <f t="shared" si="1154"/>
        <v>3370.8966995741462</v>
      </c>
      <c r="CH116" s="27">
        <f>CG116</f>
        <v>3370.8966995741462</v>
      </c>
      <c r="CI116" s="27"/>
      <c r="CJ116" s="565">
        <f>CJ93*CJ9</f>
        <v>1610.6414401055713</v>
      </c>
      <c r="CK116" s="565">
        <f>CK93*CK9</f>
        <v>2118.5186168469522</v>
      </c>
      <c r="CL116" s="565">
        <f t="shared" ref="CL116:CM116" si="1155">CL93*CL9</f>
        <v>2674.3591403997748</v>
      </c>
      <c r="CM116" s="565">
        <f t="shared" si="1155"/>
        <v>3510.8534826144842</v>
      </c>
      <c r="CN116" s="27">
        <f>CM116</f>
        <v>3510.8534826144842</v>
      </c>
    </row>
    <row r="117" spans="2:92" ht="12.95" customHeight="1" x14ac:dyDescent="0.25">
      <c r="B117" s="31" t="s">
        <v>432</v>
      </c>
      <c r="D117" s="74">
        <v>1383</v>
      </c>
      <c r="E117" s="74">
        <v>1533</v>
      </c>
      <c r="F117" s="74">
        <v>1510</v>
      </c>
      <c r="G117" s="74">
        <v>1426</v>
      </c>
      <c r="H117" s="27">
        <f t="shared" si="1128"/>
        <v>1426</v>
      </c>
      <c r="I117" s="6"/>
      <c r="J117" s="74">
        <v>1399</v>
      </c>
      <c r="K117" s="74">
        <v>1378</v>
      </c>
      <c r="L117" s="74">
        <v>1491</v>
      </c>
      <c r="M117" s="74">
        <v>1243</v>
      </c>
      <c r="N117" s="27">
        <f t="shared" si="1129"/>
        <v>1243</v>
      </c>
      <c r="O117" s="6"/>
      <c r="P117" s="74">
        <v>1354</v>
      </c>
      <c r="Q117" s="74">
        <v>1263</v>
      </c>
      <c r="R117" s="74">
        <v>1309</v>
      </c>
      <c r="S117" s="74">
        <v>1187</v>
      </c>
      <c r="T117" s="27">
        <f t="shared" si="1130"/>
        <v>1187</v>
      </c>
      <c r="U117" s="6"/>
      <c r="V117" s="74">
        <v>1295</v>
      </c>
      <c r="W117" s="74">
        <v>1227</v>
      </c>
      <c r="X117" s="74">
        <v>1209</v>
      </c>
      <c r="Y117" s="74">
        <v>1108</v>
      </c>
      <c r="Z117" s="27">
        <f t="shared" si="1131"/>
        <v>1108</v>
      </c>
      <c r="AA117" s="27"/>
      <c r="AB117" s="74">
        <v>1168</v>
      </c>
      <c r="AC117" s="74">
        <v>1157</v>
      </c>
      <c r="AD117" s="74">
        <v>1155</v>
      </c>
      <c r="AE117" s="74">
        <v>1087</v>
      </c>
      <c r="AF117" s="27">
        <f t="shared" si="1132"/>
        <v>1087</v>
      </c>
      <c r="AG117" s="27"/>
      <c r="AH117" s="74">
        <v>1388</v>
      </c>
      <c r="AI117" s="74">
        <v>1608</v>
      </c>
      <c r="AJ117" s="74">
        <v>1831</v>
      </c>
      <c r="AK117" s="74">
        <v>1860</v>
      </c>
      <c r="AL117" s="27">
        <f t="shared" si="1133"/>
        <v>1860</v>
      </c>
      <c r="AM117" s="78"/>
      <c r="AN117" s="74">
        <v>2202</v>
      </c>
      <c r="AO117" s="248">
        <v>2137</v>
      </c>
      <c r="AP117" s="74">
        <v>2333</v>
      </c>
      <c r="AQ117" s="248">
        <v>1929</v>
      </c>
      <c r="AR117" s="235">
        <f t="shared" si="1134"/>
        <v>1929</v>
      </c>
      <c r="AS117" s="27"/>
      <c r="AT117" s="74">
        <v>2194</v>
      </c>
      <c r="AU117" s="248">
        <v>2324</v>
      </c>
      <c r="AV117" s="248">
        <v>2404</v>
      </c>
      <c r="AW117" s="564">
        <f>AW94*AW9</f>
        <v>1885.7472319859403</v>
      </c>
      <c r="AX117" s="27">
        <f t="shared" ref="AX117:AX119" si="1156">AW117</f>
        <v>1885.7472319859403</v>
      </c>
      <c r="AY117" s="27"/>
      <c r="AZ117" s="565">
        <f>AZ94*AZ9</f>
        <v>2137.7647762516617</v>
      </c>
      <c r="BA117" s="565">
        <f>BA94*BA9</f>
        <v>2290.4677811732281</v>
      </c>
      <c r="BB117" s="565">
        <f t="shared" ref="BB117:BC117" si="1157">BB94*BB9</f>
        <v>2415.3274282875946</v>
      </c>
      <c r="BC117" s="565">
        <f t="shared" si="1157"/>
        <v>1915.8444347100176</v>
      </c>
      <c r="BD117" s="27">
        <f t="shared" ref="BD117:BD119" si="1158">BC117</f>
        <v>1915.8444347100176</v>
      </c>
      <c r="BE117" s="27"/>
      <c r="BF117" s="565">
        <f>BF94*BF9</f>
        <v>2238.8008267267787</v>
      </c>
      <c r="BG117" s="565">
        <f>BG94*BG9</f>
        <v>2398.6923194192032</v>
      </c>
      <c r="BH117" s="565">
        <f t="shared" ref="BH117:BI117" si="1159">BH94*BH9</f>
        <v>2529.1882072454691</v>
      </c>
      <c r="BI117" s="565">
        <f t="shared" si="1159"/>
        <v>2005.7329644913145</v>
      </c>
      <c r="BJ117" s="27">
        <f t="shared" ref="BJ117:BJ119" si="1160">BI117</f>
        <v>2005.7329644913145</v>
      </c>
      <c r="BK117" s="27"/>
      <c r="BL117" s="565">
        <f>BL94*BL9</f>
        <v>2330.3290758925837</v>
      </c>
      <c r="BM117" s="565">
        <f>BM94*BM9</f>
        <v>2497.2942199681916</v>
      </c>
      <c r="BN117" s="565">
        <f t="shared" ref="BN117:BO117" si="1161">BN94*BN9</f>
        <v>2632.8712143413036</v>
      </c>
      <c r="BO117" s="565">
        <f t="shared" si="1161"/>
        <v>2088.4282179980783</v>
      </c>
      <c r="BP117" s="27">
        <f t="shared" ref="BP117:BP119" si="1162">BO117</f>
        <v>2088.4282179980783</v>
      </c>
      <c r="BQ117" s="27"/>
      <c r="BR117" s="565">
        <f>BR94*BR9</f>
        <v>2425.758915625498</v>
      </c>
      <c r="BS117" s="565">
        <f>BS94*BS9</f>
        <v>2600.1205975211496</v>
      </c>
      <c r="BT117" s="565">
        <f t="shared" ref="BT117:BU117" si="1163">BT94*BT9</f>
        <v>2740.9853673484868</v>
      </c>
      <c r="BU117" s="565">
        <f t="shared" si="1163"/>
        <v>2174.6853940425208</v>
      </c>
      <c r="BV117" s="27">
        <f t="shared" ref="BV117:BV119" si="1164">BU117</f>
        <v>2174.6853940425208</v>
      </c>
      <c r="BW117" s="27"/>
      <c r="BX117" s="565">
        <f>BX94*BX9</f>
        <v>2525.2623326624298</v>
      </c>
      <c r="BY117" s="565">
        <f>BY94*BY9</f>
        <v>2707.358506135447</v>
      </c>
      <c r="BZ117" s="565">
        <f t="shared" ref="BZ117:CA117" si="1165">BZ94*BZ9</f>
        <v>2853.7264100950629</v>
      </c>
      <c r="CA117" s="565">
        <f t="shared" si="1165"/>
        <v>2264.6631244806463</v>
      </c>
      <c r="CB117" s="27">
        <f t="shared" ref="CB117:CB119" si="1166">CA117</f>
        <v>2264.6631244806463</v>
      </c>
      <c r="CC117" s="27"/>
      <c r="CD117" s="565">
        <f>CD94*CD9</f>
        <v>2629.0190993798051</v>
      </c>
      <c r="CE117" s="565">
        <f>CE94*CE9</f>
        <v>2819.2034999116568</v>
      </c>
      <c r="CF117" s="565">
        <f t="shared" ref="CF117:CG117" si="1167">CF94*CF9</f>
        <v>2971.2989615662764</v>
      </c>
      <c r="CG117" s="565">
        <f t="shared" si="1167"/>
        <v>2358.5272881677647</v>
      </c>
      <c r="CH117" s="27">
        <f t="shared" ref="CH117:CH119" si="1168">CG117</f>
        <v>2358.5272881677647</v>
      </c>
      <c r="CI117" s="27"/>
      <c r="CJ117" s="565">
        <f>CJ94*CJ9</f>
        <v>2737.2171336883216</v>
      </c>
      <c r="CK117" s="565">
        <f>CK94*CK9</f>
        <v>2935.8600271629793</v>
      </c>
      <c r="CL117" s="565">
        <f t="shared" ref="CL117:CM117" si="1169">CL94*CL9</f>
        <v>3093.9169266222611</v>
      </c>
      <c r="CM117" s="565">
        <f t="shared" si="1169"/>
        <v>2456.451348553986</v>
      </c>
      <c r="CN117" s="27">
        <f t="shared" ref="CN117:CN119" si="1170">CM117</f>
        <v>2456.451348553986</v>
      </c>
    </row>
    <row r="118" spans="2:92" ht="12.95" customHeight="1" x14ac:dyDescent="0.25">
      <c r="B118" s="31" t="s">
        <v>433</v>
      </c>
      <c r="D118" s="74">
        <v>0</v>
      </c>
      <c r="E118" s="74">
        <v>461</v>
      </c>
      <c r="F118" s="74">
        <v>0</v>
      </c>
      <c r="G118" s="74">
        <v>466</v>
      </c>
      <c r="H118" s="27">
        <f t="shared" si="1128"/>
        <v>466</v>
      </c>
      <c r="I118" s="6"/>
      <c r="J118" s="74">
        <v>0</v>
      </c>
      <c r="K118" s="74">
        <v>511</v>
      </c>
      <c r="L118" s="74">
        <v>0</v>
      </c>
      <c r="M118" s="74">
        <v>495</v>
      </c>
      <c r="N118" s="27">
        <f t="shared" si="1129"/>
        <v>495</v>
      </c>
      <c r="O118" s="6"/>
      <c r="P118" s="74">
        <v>0</v>
      </c>
      <c r="Q118" s="74">
        <v>579</v>
      </c>
      <c r="R118" s="74">
        <v>0</v>
      </c>
      <c r="S118" s="74">
        <v>567</v>
      </c>
      <c r="T118" s="27">
        <f t="shared" si="1130"/>
        <v>567</v>
      </c>
      <c r="U118" s="6"/>
      <c r="V118" s="74">
        <v>0</v>
      </c>
      <c r="W118" s="74">
        <v>558</v>
      </c>
      <c r="X118" s="74">
        <v>0</v>
      </c>
      <c r="Y118" s="74">
        <v>562</v>
      </c>
      <c r="Z118" s="27">
        <f t="shared" si="1131"/>
        <v>562</v>
      </c>
      <c r="AA118" s="27"/>
      <c r="AB118" s="74">
        <v>0</v>
      </c>
      <c r="AC118" s="74">
        <v>608</v>
      </c>
      <c r="AD118" s="74">
        <v>0</v>
      </c>
      <c r="AE118" s="74">
        <v>595</v>
      </c>
      <c r="AF118" s="27">
        <f t="shared" si="1132"/>
        <v>595</v>
      </c>
      <c r="AG118" s="27"/>
      <c r="AH118" s="74">
        <v>0</v>
      </c>
      <c r="AI118" s="74">
        <v>633</v>
      </c>
      <c r="AJ118" s="74">
        <v>0</v>
      </c>
      <c r="AK118" s="74">
        <v>620</v>
      </c>
      <c r="AL118" s="27">
        <f t="shared" si="1133"/>
        <v>620</v>
      </c>
      <c r="AM118" s="78"/>
      <c r="AN118" s="74">
        <f>AJ118</f>
        <v>0</v>
      </c>
      <c r="AO118" s="248">
        <v>663</v>
      </c>
      <c r="AP118" s="74">
        <v>0</v>
      </c>
      <c r="AQ118" s="248">
        <v>649</v>
      </c>
      <c r="AR118" s="235">
        <f t="shared" si="1134"/>
        <v>649</v>
      </c>
      <c r="AS118" s="27"/>
      <c r="AT118" s="74">
        <v>0</v>
      </c>
      <c r="AU118" s="248">
        <v>684</v>
      </c>
      <c r="AV118" s="248">
        <v>0</v>
      </c>
      <c r="AW118" s="158">
        <f>AV118</f>
        <v>0</v>
      </c>
      <c r="AX118" s="27">
        <f t="shared" si="1156"/>
        <v>0</v>
      </c>
      <c r="AY118" s="27"/>
      <c r="AZ118" s="235">
        <f>AX118</f>
        <v>0</v>
      </c>
      <c r="BA118" s="235">
        <f>AZ118</f>
        <v>0</v>
      </c>
      <c r="BB118" s="235">
        <f t="shared" ref="BB118:BC118" si="1171">BA118</f>
        <v>0</v>
      </c>
      <c r="BC118" s="235">
        <f t="shared" si="1171"/>
        <v>0</v>
      </c>
      <c r="BD118" s="27">
        <f t="shared" si="1158"/>
        <v>0</v>
      </c>
      <c r="BE118" s="27"/>
      <c r="BF118" s="235">
        <f>BD118</f>
        <v>0</v>
      </c>
      <c r="BG118" s="235">
        <f>BF118</f>
        <v>0</v>
      </c>
      <c r="BH118" s="235">
        <f t="shared" ref="BH118:BI118" si="1172">BG118</f>
        <v>0</v>
      </c>
      <c r="BI118" s="235">
        <f t="shared" si="1172"/>
        <v>0</v>
      </c>
      <c r="BJ118" s="27">
        <f t="shared" si="1160"/>
        <v>0</v>
      </c>
      <c r="BK118" s="27"/>
      <c r="BL118" s="235">
        <f>BJ118</f>
        <v>0</v>
      </c>
      <c r="BM118" s="235">
        <f>BL118</f>
        <v>0</v>
      </c>
      <c r="BN118" s="235">
        <f t="shared" ref="BN118:BO118" si="1173">BM118</f>
        <v>0</v>
      </c>
      <c r="BO118" s="235">
        <f t="shared" si="1173"/>
        <v>0</v>
      </c>
      <c r="BP118" s="27">
        <f t="shared" si="1162"/>
        <v>0</v>
      </c>
      <c r="BQ118" s="27"/>
      <c r="BR118" s="235">
        <f>BP118</f>
        <v>0</v>
      </c>
      <c r="BS118" s="235">
        <f>BR118</f>
        <v>0</v>
      </c>
      <c r="BT118" s="235">
        <f t="shared" ref="BT118:BU118" si="1174">BS118</f>
        <v>0</v>
      </c>
      <c r="BU118" s="235">
        <f t="shared" si="1174"/>
        <v>0</v>
      </c>
      <c r="BV118" s="27">
        <f t="shared" si="1164"/>
        <v>0</v>
      </c>
      <c r="BW118" s="27"/>
      <c r="BX118" s="235">
        <f>BV118</f>
        <v>0</v>
      </c>
      <c r="BY118" s="235">
        <f>BX118</f>
        <v>0</v>
      </c>
      <c r="BZ118" s="235">
        <f t="shared" ref="BZ118:CA118" si="1175">BY118</f>
        <v>0</v>
      </c>
      <c r="CA118" s="235">
        <f t="shared" si="1175"/>
        <v>0</v>
      </c>
      <c r="CB118" s="27">
        <f t="shared" si="1166"/>
        <v>0</v>
      </c>
      <c r="CC118" s="27"/>
      <c r="CD118" s="235">
        <f>CB118</f>
        <v>0</v>
      </c>
      <c r="CE118" s="235">
        <f>CD118</f>
        <v>0</v>
      </c>
      <c r="CF118" s="235">
        <f t="shared" ref="CF118:CG118" si="1176">CE118</f>
        <v>0</v>
      </c>
      <c r="CG118" s="235">
        <f t="shared" si="1176"/>
        <v>0</v>
      </c>
      <c r="CH118" s="27">
        <f t="shared" si="1168"/>
        <v>0</v>
      </c>
      <c r="CI118" s="27"/>
      <c r="CJ118" s="235">
        <f>CH118</f>
        <v>0</v>
      </c>
      <c r="CK118" s="235">
        <f>CJ118</f>
        <v>0</v>
      </c>
      <c r="CL118" s="235">
        <f t="shared" ref="CL118:CM118" si="1177">CK118</f>
        <v>0</v>
      </c>
      <c r="CM118" s="235">
        <f t="shared" si="1177"/>
        <v>0</v>
      </c>
      <c r="CN118" s="27">
        <f t="shared" si="1170"/>
        <v>0</v>
      </c>
    </row>
    <row r="119" spans="2:92" ht="12.95" customHeight="1" x14ac:dyDescent="0.25">
      <c r="B119" s="31" t="s">
        <v>199</v>
      </c>
      <c r="D119" s="74">
        <v>1641</v>
      </c>
      <c r="E119" s="74">
        <v>1787</v>
      </c>
      <c r="F119" s="74">
        <v>1744</v>
      </c>
      <c r="G119" s="74">
        <v>1742</v>
      </c>
      <c r="H119" s="27">
        <f t="shared" si="1128"/>
        <v>1742</v>
      </c>
      <c r="I119" s="6"/>
      <c r="J119" s="74">
        <v>1890</v>
      </c>
      <c r="K119" s="74">
        <v>1871</v>
      </c>
      <c r="L119" s="74">
        <v>1867</v>
      </c>
      <c r="M119" s="74">
        <v>1919</v>
      </c>
      <c r="N119" s="27">
        <f t="shared" si="1129"/>
        <v>1919</v>
      </c>
      <c r="O119" s="6"/>
      <c r="P119" s="74">
        <v>2348</v>
      </c>
      <c r="Q119" s="74">
        <v>2157</v>
      </c>
      <c r="R119" s="74">
        <v>2188</v>
      </c>
      <c r="S119" s="74">
        <v>2155</v>
      </c>
      <c r="T119" s="27">
        <f t="shared" si="1130"/>
        <v>2155</v>
      </c>
      <c r="U119" s="6"/>
      <c r="V119" s="74">
        <v>2074</v>
      </c>
      <c r="W119" s="74">
        <v>2143</v>
      </c>
      <c r="X119" s="74">
        <v>1978</v>
      </c>
      <c r="Y119" s="74">
        <v>2017</v>
      </c>
      <c r="Z119" s="27">
        <f t="shared" si="1131"/>
        <v>2017</v>
      </c>
      <c r="AA119" s="27"/>
      <c r="AB119" s="74">
        <v>2035</v>
      </c>
      <c r="AC119" s="74">
        <v>2126</v>
      </c>
      <c r="AD119" s="74">
        <v>2319</v>
      </c>
      <c r="AE119" s="74">
        <v>2256</v>
      </c>
      <c r="AF119" s="27">
        <f t="shared" si="1132"/>
        <v>2256</v>
      </c>
      <c r="AG119" s="27"/>
      <c r="AH119" s="74">
        <v>2355</v>
      </c>
      <c r="AI119" s="74">
        <v>2333</v>
      </c>
      <c r="AJ119" s="74">
        <v>2878</v>
      </c>
      <c r="AK119" s="74">
        <v>2690</v>
      </c>
      <c r="AL119" s="27">
        <f t="shared" si="1133"/>
        <v>2690</v>
      </c>
      <c r="AM119" s="78"/>
      <c r="AN119" s="74">
        <f>3035</f>
        <v>3035</v>
      </c>
      <c r="AO119" s="248">
        <v>3109</v>
      </c>
      <c r="AP119" s="74">
        <v>3115</v>
      </c>
      <c r="AQ119" s="248">
        <v>3123</v>
      </c>
      <c r="AR119" s="235">
        <f t="shared" si="1134"/>
        <v>3123</v>
      </c>
      <c r="AS119" s="27"/>
      <c r="AT119" s="74">
        <v>3265</v>
      </c>
      <c r="AU119" s="248">
        <v>2882</v>
      </c>
      <c r="AV119" s="248">
        <v>2934</v>
      </c>
      <c r="AW119" s="564">
        <f>AW96*AW9</f>
        <v>3052.9749121265377</v>
      </c>
      <c r="AX119" s="27">
        <f t="shared" si="1156"/>
        <v>3052.9749121265377</v>
      </c>
      <c r="AY119" s="27"/>
      <c r="AZ119" s="565">
        <f>AZ96*AZ9</f>
        <v>3181.3135799734168</v>
      </c>
      <c r="BA119" s="565">
        <f>BA96*BA9</f>
        <v>2840.4165857750618</v>
      </c>
      <c r="BB119" s="565">
        <f t="shared" ref="BB119:BC119" si="1178">BB96*BB9</f>
        <v>2947.8247398485037</v>
      </c>
      <c r="BC119" s="565">
        <f t="shared" si="1178"/>
        <v>3101.7014876098419</v>
      </c>
      <c r="BD119" s="27">
        <f t="shared" si="1158"/>
        <v>3101.7014876098419</v>
      </c>
      <c r="BE119" s="27"/>
      <c r="BF119" s="565">
        <f>BF96*BF9</f>
        <v>3331.6703278317832</v>
      </c>
      <c r="BG119" s="565">
        <f>BG96*BG9</f>
        <v>2974.6261895723505</v>
      </c>
      <c r="BH119" s="565">
        <f t="shared" ref="BH119:BI119" si="1179">BH96*BH9</f>
        <v>3086.7879367962591</v>
      </c>
      <c r="BI119" s="565">
        <f t="shared" si="1179"/>
        <v>3247.2286408016462</v>
      </c>
      <c r="BJ119" s="27">
        <f t="shared" si="1160"/>
        <v>3247.2286408016462</v>
      </c>
      <c r="BK119" s="27"/>
      <c r="BL119" s="565">
        <f>BL96*BL9</f>
        <v>3467.8780459385989</v>
      </c>
      <c r="BM119" s="565">
        <f>BM96*BM9</f>
        <v>3096.902728893429</v>
      </c>
      <c r="BN119" s="565">
        <f t="shared" ref="BN119:BO119" si="1180">BN96*BN9</f>
        <v>3213.3295103483301</v>
      </c>
      <c r="BO119" s="565">
        <f t="shared" si="1180"/>
        <v>3381.1100698849136</v>
      </c>
      <c r="BP119" s="27">
        <f t="shared" si="1162"/>
        <v>3381.1100698849136</v>
      </c>
      <c r="BQ119" s="27"/>
      <c r="BR119" s="565">
        <f>BR96*BR9</f>
        <v>3609.8919140917283</v>
      </c>
      <c r="BS119" s="565">
        <f>BS96*BS9</f>
        <v>3224.4180559621141</v>
      </c>
      <c r="BT119" s="565">
        <f t="shared" ref="BT119:BU119" si="1181">BT96*BT9</f>
        <v>3345.2791463396261</v>
      </c>
      <c r="BU119" s="565">
        <f t="shared" si="1181"/>
        <v>3520.7581573845478</v>
      </c>
      <c r="BV119" s="27">
        <f t="shared" si="1164"/>
        <v>3520.7581573845478</v>
      </c>
      <c r="BW119" s="27"/>
      <c r="BX119" s="565">
        <f>BX96*BX9</f>
        <v>3757.9678742674719</v>
      </c>
      <c r="BY119" s="565">
        <f>BY96*BY9</f>
        <v>3357.4041371266599</v>
      </c>
      <c r="BZ119" s="565">
        <f t="shared" ref="BZ119:CA119" si="1182">BZ96*BZ9</f>
        <v>3482.8757434354884</v>
      </c>
      <c r="CA119" s="565">
        <f t="shared" si="1182"/>
        <v>3666.4297240814199</v>
      </c>
      <c r="CB119" s="27">
        <f t="shared" si="1166"/>
        <v>3666.4297240814199</v>
      </c>
      <c r="CC119" s="27"/>
      <c r="CD119" s="565">
        <f>CD96*CD9</f>
        <v>3912.3734546376772</v>
      </c>
      <c r="CE119" s="565">
        <f>CE96*CE9</f>
        <v>3496.1034796666931</v>
      </c>
      <c r="CF119" s="565">
        <f t="shared" ref="CF119:CG119" si="1183">CF96*CF9</f>
        <v>3626.3690321278932</v>
      </c>
      <c r="CG119" s="565">
        <f t="shared" si="1183"/>
        <v>3818.3933234566771</v>
      </c>
      <c r="CH119" s="27">
        <f t="shared" si="1168"/>
        <v>3818.3933234566771</v>
      </c>
      <c r="CI119" s="27"/>
      <c r="CJ119" s="565">
        <f>CJ96*CJ9</f>
        <v>4073.3883051469329</v>
      </c>
      <c r="CK119" s="565">
        <f>CK96*CK9</f>
        <v>3640.7696206040046</v>
      </c>
      <c r="CL119" s="565">
        <f t="shared" ref="CL119:CM119" si="1184">CL96*CL9</f>
        <v>3776.0200760023772</v>
      </c>
      <c r="CM119" s="565">
        <f t="shared" si="1184"/>
        <v>3976.9297882499218</v>
      </c>
      <c r="CN119" s="27">
        <f t="shared" si="1170"/>
        <v>3976.9297882499218</v>
      </c>
    </row>
    <row r="120" spans="2:92" ht="12.95" customHeight="1" x14ac:dyDescent="0.25">
      <c r="B120" s="31" t="s">
        <v>434</v>
      </c>
      <c r="D120" s="74">
        <f>505+6231</f>
        <v>6736</v>
      </c>
      <c r="E120" s="74">
        <f>5+6592</f>
        <v>6597</v>
      </c>
      <c r="F120" s="74">
        <f>5+5614</f>
        <v>5619</v>
      </c>
      <c r="G120" s="74">
        <f>6+6188</f>
        <v>6194</v>
      </c>
      <c r="H120" s="27">
        <f t="shared" si="1128"/>
        <v>6194</v>
      </c>
      <c r="I120" s="6"/>
      <c r="J120" s="74">
        <f>8+6409</f>
        <v>6417</v>
      </c>
      <c r="K120" s="74">
        <f>9+6241</f>
        <v>6250</v>
      </c>
      <c r="L120" s="74">
        <f>10+5801</f>
        <v>5811</v>
      </c>
      <c r="M120" s="74">
        <f>10+5820</f>
        <v>5830</v>
      </c>
      <c r="N120" s="27">
        <f t="shared" si="1129"/>
        <v>5830</v>
      </c>
      <c r="O120" s="6"/>
      <c r="P120" s="74">
        <f>13+5939</f>
        <v>5952</v>
      </c>
      <c r="Q120" s="74">
        <f>13+6235</f>
        <v>6248</v>
      </c>
      <c r="R120" s="74">
        <f>25+8025</f>
        <v>8050</v>
      </c>
      <c r="S120" s="74">
        <f>16+6194</f>
        <v>6210</v>
      </c>
      <c r="T120" s="27">
        <f t="shared" si="1130"/>
        <v>6210</v>
      </c>
      <c r="U120" s="6"/>
      <c r="V120" s="74">
        <v>7935</v>
      </c>
      <c r="W120" s="74">
        <v>7401</v>
      </c>
      <c r="X120" s="74">
        <v>9359</v>
      </c>
      <c r="Y120" s="74">
        <v>9149</v>
      </c>
      <c r="Z120" s="27">
        <f t="shared" si="1131"/>
        <v>9149</v>
      </c>
      <c r="AA120" s="27"/>
      <c r="AB120" s="74">
        <f>1301+6898</f>
        <v>8199</v>
      </c>
      <c r="AC120" s="74">
        <v>7956</v>
      </c>
      <c r="AD120" s="74">
        <v>6383</v>
      </c>
      <c r="AE120" s="74">
        <v>6352</v>
      </c>
      <c r="AF120" s="27">
        <f t="shared" si="1132"/>
        <v>6352</v>
      </c>
      <c r="AG120" s="27"/>
      <c r="AH120" s="74">
        <v>7806</v>
      </c>
      <c r="AI120" s="74">
        <v>5741</v>
      </c>
      <c r="AJ120" s="74">
        <v>6814</v>
      </c>
      <c r="AK120" s="74">
        <v>5322</v>
      </c>
      <c r="AL120" s="27">
        <f t="shared" si="1133"/>
        <v>5322</v>
      </c>
      <c r="AM120" s="78"/>
      <c r="AN120" s="74">
        <v>6324</v>
      </c>
      <c r="AO120" s="248">
        <v>9166</v>
      </c>
      <c r="AP120" s="74">
        <v>8662</v>
      </c>
      <c r="AQ120" s="248">
        <f>1044+7719</f>
        <v>8763</v>
      </c>
      <c r="AR120" s="235">
        <f t="shared" si="1134"/>
        <v>8763</v>
      </c>
      <c r="AS120" s="27"/>
      <c r="AT120" s="74">
        <v>9454</v>
      </c>
      <c r="AU120" s="248">
        <v>8177</v>
      </c>
      <c r="AV120" s="248">
        <v>8392</v>
      </c>
      <c r="AW120" s="158">
        <f>AV120</f>
        <v>8392</v>
      </c>
      <c r="AX120" s="27">
        <f>AW120</f>
        <v>8392</v>
      </c>
      <c r="AY120" s="27"/>
      <c r="AZ120" s="235">
        <f>AX120</f>
        <v>8392</v>
      </c>
      <c r="BA120" s="235">
        <f>AZ120</f>
        <v>8392</v>
      </c>
      <c r="BB120" s="235">
        <f t="shared" ref="BB120:BC120" si="1185">BA120</f>
        <v>8392</v>
      </c>
      <c r="BC120" s="235">
        <f t="shared" si="1185"/>
        <v>8392</v>
      </c>
      <c r="BD120" s="27">
        <f>BC120</f>
        <v>8392</v>
      </c>
      <c r="BE120" s="27"/>
      <c r="BF120" s="235">
        <f>BD120</f>
        <v>8392</v>
      </c>
      <c r="BG120" s="235">
        <f>BF120</f>
        <v>8392</v>
      </c>
      <c r="BH120" s="235">
        <f t="shared" ref="BH120:BI120" si="1186">BG120</f>
        <v>8392</v>
      </c>
      <c r="BI120" s="235">
        <f t="shared" si="1186"/>
        <v>8392</v>
      </c>
      <c r="BJ120" s="27">
        <f>BI120</f>
        <v>8392</v>
      </c>
      <c r="BK120" s="27"/>
      <c r="BL120" s="235">
        <f>BJ120</f>
        <v>8392</v>
      </c>
      <c r="BM120" s="235">
        <f>BL120</f>
        <v>8392</v>
      </c>
      <c r="BN120" s="235">
        <f t="shared" ref="BN120:BO120" si="1187">BM120</f>
        <v>8392</v>
      </c>
      <c r="BO120" s="235">
        <f t="shared" si="1187"/>
        <v>8392</v>
      </c>
      <c r="BP120" s="27">
        <f>BO120</f>
        <v>8392</v>
      </c>
      <c r="BQ120" s="27"/>
      <c r="BR120" s="235">
        <f>BP120</f>
        <v>8392</v>
      </c>
      <c r="BS120" s="235">
        <f>BR120</f>
        <v>8392</v>
      </c>
      <c r="BT120" s="235">
        <f t="shared" ref="BT120:BU120" si="1188">BS120</f>
        <v>8392</v>
      </c>
      <c r="BU120" s="235">
        <f t="shared" si="1188"/>
        <v>8392</v>
      </c>
      <c r="BV120" s="27">
        <f>BU120</f>
        <v>8392</v>
      </c>
      <c r="BW120" s="27"/>
      <c r="BX120" s="235">
        <f>BV120</f>
        <v>8392</v>
      </c>
      <c r="BY120" s="235">
        <f>BX120</f>
        <v>8392</v>
      </c>
      <c r="BZ120" s="235">
        <f t="shared" ref="BZ120:CA120" si="1189">BY120</f>
        <v>8392</v>
      </c>
      <c r="CA120" s="235">
        <f t="shared" si="1189"/>
        <v>8392</v>
      </c>
      <c r="CB120" s="27">
        <f>CA120</f>
        <v>8392</v>
      </c>
      <c r="CC120" s="27"/>
      <c r="CD120" s="235">
        <f>CB120</f>
        <v>8392</v>
      </c>
      <c r="CE120" s="235">
        <f>CD120</f>
        <v>8392</v>
      </c>
      <c r="CF120" s="235">
        <f t="shared" ref="CF120:CG120" si="1190">CE120</f>
        <v>8392</v>
      </c>
      <c r="CG120" s="235">
        <f t="shared" si="1190"/>
        <v>8392</v>
      </c>
      <c r="CH120" s="27">
        <f>CG120</f>
        <v>8392</v>
      </c>
      <c r="CI120" s="27"/>
      <c r="CJ120" s="235">
        <f>CH120</f>
        <v>8392</v>
      </c>
      <c r="CK120" s="235">
        <f>CJ120</f>
        <v>8392</v>
      </c>
      <c r="CL120" s="235">
        <f t="shared" ref="CL120:CM120" si="1191">CK120</f>
        <v>8392</v>
      </c>
      <c r="CM120" s="235">
        <f t="shared" si="1191"/>
        <v>8392</v>
      </c>
      <c r="CN120" s="27">
        <f>CM120</f>
        <v>8392</v>
      </c>
    </row>
    <row r="121" spans="2:92" ht="12.95" customHeight="1" x14ac:dyDescent="0.25">
      <c r="B121" s="32" t="s">
        <v>66</v>
      </c>
      <c r="C121" s="16"/>
      <c r="D121" s="45">
        <f t="shared" ref="D121:H121" si="1192">SUM(D113:D120)</f>
        <v>27635</v>
      </c>
      <c r="E121" s="45">
        <f t="shared" si="1192"/>
        <v>28133</v>
      </c>
      <c r="F121" s="45">
        <f t="shared" si="1192"/>
        <v>25903</v>
      </c>
      <c r="G121" s="45">
        <f t="shared" si="1192"/>
        <v>26931</v>
      </c>
      <c r="H121" s="45">
        <f t="shared" si="1192"/>
        <v>26931</v>
      </c>
      <c r="I121" s="18"/>
      <c r="J121" s="45">
        <f t="shared" ref="J121:N121" si="1193">SUM(J113:J120)</f>
        <v>27402</v>
      </c>
      <c r="K121" s="45">
        <f t="shared" si="1193"/>
        <v>28300</v>
      </c>
      <c r="L121" s="45">
        <f t="shared" si="1193"/>
        <v>26033</v>
      </c>
      <c r="M121" s="45">
        <f t="shared" si="1193"/>
        <v>28218</v>
      </c>
      <c r="N121" s="45">
        <f t="shared" si="1193"/>
        <v>28218</v>
      </c>
      <c r="O121" s="18"/>
      <c r="P121" s="45">
        <f>SUM(P113:P120)</f>
        <v>27388</v>
      </c>
      <c r="Q121" s="45">
        <f>SUM(Q113:Q120)</f>
        <v>27735</v>
      </c>
      <c r="R121" s="45">
        <f>SUM(R113:R120)</f>
        <v>27201</v>
      </c>
      <c r="S121" s="45">
        <f>SUM(S113:S120)</f>
        <v>26621</v>
      </c>
      <c r="T121" s="45">
        <f>SUM(T113:T120)</f>
        <v>26621</v>
      </c>
      <c r="U121" s="18"/>
      <c r="V121" s="45">
        <f>SUM(V113:V120)</f>
        <v>26516</v>
      </c>
      <c r="W121" s="45">
        <f>SUM(W113:W120)</f>
        <v>25231</v>
      </c>
      <c r="X121" s="45">
        <f>SUM(X113:X120)</f>
        <v>24978</v>
      </c>
      <c r="Y121" s="45">
        <f>SUM(Y113:Y120)</f>
        <v>25717</v>
      </c>
      <c r="Z121" s="45">
        <f>SUM(Z113:Z120)</f>
        <v>25717</v>
      </c>
      <c r="AA121" s="45"/>
      <c r="AB121" s="45">
        <f>SUM(AB113:AB120)</f>
        <v>26578</v>
      </c>
      <c r="AC121" s="45">
        <f t="shared" ref="AC121:AF121" si="1194">SUM(AC113:AC120)</f>
        <v>27508</v>
      </c>
      <c r="AD121" s="45">
        <f t="shared" si="1194"/>
        <v>25976</v>
      </c>
      <c r="AE121" s="45">
        <f t="shared" si="1194"/>
        <v>29847</v>
      </c>
      <c r="AF121" s="45">
        <f t="shared" si="1194"/>
        <v>29847</v>
      </c>
      <c r="AG121" s="45"/>
      <c r="AH121" s="45">
        <f>SUM(AH113:AH120)</f>
        <v>29532</v>
      </c>
      <c r="AI121" s="45">
        <f t="shared" ref="AI121" si="1195">SUM(AI113:AI120)</f>
        <v>28963</v>
      </c>
      <c r="AJ121" s="45">
        <f t="shared" ref="AJ121:AL121" si="1196">SUM(AJ113:AJ120)</f>
        <v>30202</v>
      </c>
      <c r="AK121" s="45">
        <f t="shared" si="1196"/>
        <v>31531</v>
      </c>
      <c r="AL121" s="45">
        <f t="shared" si="1196"/>
        <v>31531</v>
      </c>
      <c r="AM121" s="79"/>
      <c r="AN121" s="45">
        <f>SUM(AN113:AN120)</f>
        <v>31842</v>
      </c>
      <c r="AO121" s="45">
        <f t="shared" ref="AO121" si="1197">SUM(AO113:AO120)</f>
        <v>35314</v>
      </c>
      <c r="AP121" s="45">
        <f t="shared" ref="AP121" si="1198">SUM(AP113:AP120)</f>
        <v>33124</v>
      </c>
      <c r="AQ121" s="45">
        <f t="shared" ref="AQ121" si="1199">SUM(AQ113:AQ120)</f>
        <v>34728</v>
      </c>
      <c r="AR121" s="45">
        <f t="shared" ref="AR121" si="1200">SUM(AR113:AR120)</f>
        <v>34728</v>
      </c>
      <c r="AS121" s="45"/>
      <c r="AT121" s="45">
        <f>SUM(AT113:AT120)</f>
        <v>32371</v>
      </c>
      <c r="AU121" s="45">
        <f t="shared" ref="AU121" si="1201">SUM(AU113:AU120)</f>
        <v>33564</v>
      </c>
      <c r="AV121" s="45">
        <f t="shared" ref="AV121" si="1202">SUM(AV113:AV120)</f>
        <v>32218</v>
      </c>
      <c r="AW121" s="352">
        <f t="shared" ref="AW121:AX121" si="1203">SUM(AW113:AW120)</f>
        <v>32241.134880754336</v>
      </c>
      <c r="AX121" s="45">
        <f t="shared" si="1203"/>
        <v>32241.134880754336</v>
      </c>
      <c r="AY121" s="45"/>
      <c r="AZ121" s="45">
        <f t="shared" ref="AZ121:BA121" si="1204">SUM(AZ113:AZ120)</f>
        <v>31215.011525824742</v>
      </c>
      <c r="BA121" s="45">
        <f t="shared" si="1204"/>
        <v>31217.752889362007</v>
      </c>
      <c r="BB121" s="45">
        <f t="shared" ref="BB121:BD121" si="1205">SUM(BB113:BB120)</f>
        <v>32381.042770330445</v>
      </c>
      <c r="BC121" s="45">
        <f t="shared" si="1205"/>
        <v>32534.321574047979</v>
      </c>
      <c r="BD121" s="45">
        <f t="shared" si="1205"/>
        <v>32534.321574047979</v>
      </c>
      <c r="BE121" s="45"/>
      <c r="BF121" s="45">
        <f t="shared" ref="BF121:BJ121" si="1206">SUM(BF113:BF120)</f>
        <v>32027.970411163045</v>
      </c>
      <c r="BG121" s="45">
        <f t="shared" si="1206"/>
        <v>32032.090235204054</v>
      </c>
      <c r="BH121" s="45">
        <f t="shared" si="1206"/>
        <v>33238.636289589958</v>
      </c>
      <c r="BI121" s="45">
        <f t="shared" si="1206"/>
        <v>33394.911030917166</v>
      </c>
      <c r="BJ121" s="45">
        <f t="shared" si="1206"/>
        <v>33394.911030917166</v>
      </c>
      <c r="BK121" s="45"/>
      <c r="BL121" s="45">
        <f t="shared" ref="BL121:BP121" si="1207">SUM(BL113:BL120)</f>
        <v>32798.962728888029</v>
      </c>
      <c r="BM121" s="45">
        <f t="shared" si="1207"/>
        <v>32808.674699652503</v>
      </c>
      <c r="BN121" s="45">
        <f t="shared" si="1207"/>
        <v>34054.157359611636</v>
      </c>
      <c r="BO121" s="45">
        <f t="shared" si="1207"/>
        <v>34221.577314780836</v>
      </c>
      <c r="BP121" s="45">
        <f t="shared" si="1207"/>
        <v>34221.577314780836</v>
      </c>
      <c r="BQ121" s="45"/>
      <c r="BR121" s="45">
        <f t="shared" ref="BR121:BV121" si="1208">SUM(BR113:BR120)</f>
        <v>33504.782234332757</v>
      </c>
      <c r="BS121" s="45">
        <f t="shared" si="1208"/>
        <v>33616.048060600355</v>
      </c>
      <c r="BT121" s="45">
        <f t="shared" si="1208"/>
        <v>34901.906953157304</v>
      </c>
      <c r="BU121" s="45">
        <f t="shared" si="1208"/>
        <v>35081.442668602656</v>
      </c>
      <c r="BV121" s="45">
        <f t="shared" si="1208"/>
        <v>35081.442668602656</v>
      </c>
      <c r="BW121" s="45"/>
      <c r="BX121" s="45">
        <f t="shared" ref="BX121:CB121" si="1209">SUM(BX113:BX120)</f>
        <v>34436.042362941807</v>
      </c>
      <c r="BY121" s="45">
        <f t="shared" si="1209"/>
        <v>34458.302875539717</v>
      </c>
      <c r="BZ121" s="45">
        <f t="shared" si="1209"/>
        <v>35786.175820871751</v>
      </c>
      <c r="CA121" s="45">
        <f t="shared" si="1209"/>
        <v>35978.623513619255</v>
      </c>
      <c r="CB121" s="45">
        <f t="shared" si="1209"/>
        <v>35978.623513619255</v>
      </c>
      <c r="CC121" s="45"/>
      <c r="CD121" s="45">
        <f t="shared" ref="CD121:CH121" si="1210">SUM(CD113:CD120)</f>
        <v>35307.790410898931</v>
      </c>
      <c r="CE121" s="45">
        <f t="shared" si="1210"/>
        <v>35336.995536944327</v>
      </c>
      <c r="CF121" s="45">
        <f t="shared" si="1210"/>
        <v>36708.58903718683</v>
      </c>
      <c r="CG121" s="45">
        <f t="shared" si="1210"/>
        <v>36914.793123270763</v>
      </c>
      <c r="CH121" s="45">
        <f t="shared" si="1210"/>
        <v>36914.793123270763</v>
      </c>
      <c r="CI121" s="45"/>
      <c r="CJ121" s="45">
        <f t="shared" ref="CJ121:CN121" si="1211">SUM(CJ113:CJ120)</f>
        <v>36212.530728526166</v>
      </c>
      <c r="CK121" s="45">
        <f t="shared" si="1211"/>
        <v>36249.489872735212</v>
      </c>
      <c r="CL121" s="45">
        <f t="shared" si="1211"/>
        <v>37666.341668884503</v>
      </c>
      <c r="CM121" s="45">
        <f t="shared" si="1211"/>
        <v>37887.476221525249</v>
      </c>
      <c r="CN121" s="45">
        <f t="shared" si="1211"/>
        <v>37887.476221525249</v>
      </c>
    </row>
    <row r="122" spans="2:92" ht="12.95" customHeight="1" x14ac:dyDescent="0.25">
      <c r="B122" s="31" t="s">
        <v>436</v>
      </c>
      <c r="D122" s="74">
        <f>8804+14921</f>
        <v>23725</v>
      </c>
      <c r="E122" s="74">
        <f>8815+15000</f>
        <v>23815</v>
      </c>
      <c r="F122" s="74">
        <f>8820+16015</f>
        <v>24835</v>
      </c>
      <c r="G122" s="74">
        <f>7929+15918</f>
        <v>23847</v>
      </c>
      <c r="H122" s="27">
        <f>G122</f>
        <v>23847</v>
      </c>
      <c r="I122" s="6"/>
      <c r="J122" s="74">
        <f>7980+15185</f>
        <v>23165</v>
      </c>
      <c r="K122" s="74">
        <f>7982+15717</f>
        <v>23699</v>
      </c>
      <c r="L122" s="74">
        <f>7991+17450</f>
        <v>25441</v>
      </c>
      <c r="M122" s="74">
        <f>8005+16995</f>
        <v>25000</v>
      </c>
      <c r="N122" s="27">
        <f>M122</f>
        <v>25000</v>
      </c>
      <c r="O122" s="6"/>
      <c r="P122" s="74">
        <f>7650+16590</f>
        <v>24240</v>
      </c>
      <c r="Q122" s="74">
        <f>7657+17107</f>
        <v>24764</v>
      </c>
      <c r="R122" s="74">
        <f>9134+16454</f>
        <v>25588</v>
      </c>
      <c r="S122" s="74">
        <f>9141+17140</f>
        <v>26281</v>
      </c>
      <c r="T122" s="27">
        <f>S122</f>
        <v>26281</v>
      </c>
      <c r="U122" s="6"/>
      <c r="V122" s="74">
        <v>24369</v>
      </c>
      <c r="W122" s="74">
        <v>26907</v>
      </c>
      <c r="X122" s="74">
        <v>26107</v>
      </c>
      <c r="Y122" s="74">
        <v>25999</v>
      </c>
      <c r="Z122" s="27">
        <f>Y122</f>
        <v>25999</v>
      </c>
      <c r="AA122" s="27"/>
      <c r="AB122" s="74">
        <f>9751+16605</f>
        <v>26356</v>
      </c>
      <c r="AC122" s="74">
        <v>26204</v>
      </c>
      <c r="AD122" s="74">
        <v>27154</v>
      </c>
      <c r="AE122" s="74">
        <v>26033</v>
      </c>
      <c r="AF122" s="27">
        <f>AE122</f>
        <v>26033</v>
      </c>
      <c r="AG122" s="27"/>
      <c r="AH122" s="74">
        <v>25277</v>
      </c>
      <c r="AI122" s="74">
        <v>26219</v>
      </c>
      <c r="AJ122" s="74">
        <v>25509</v>
      </c>
      <c r="AK122" s="74">
        <v>25714</v>
      </c>
      <c r="AL122" s="27">
        <f>AK122</f>
        <v>25714</v>
      </c>
      <c r="AM122" s="78"/>
      <c r="AN122" s="74">
        <v>24873</v>
      </c>
      <c r="AO122" s="248">
        <v>22985</v>
      </c>
      <c r="AP122" s="74">
        <v>24259</v>
      </c>
      <c r="AQ122" s="248">
        <f>15893+8579</f>
        <v>24472</v>
      </c>
      <c r="AR122" s="235">
        <f>AQ122</f>
        <v>24472</v>
      </c>
      <c r="AS122" s="27"/>
      <c r="AT122" s="74">
        <v>24831</v>
      </c>
      <c r="AU122" s="248">
        <v>23836</v>
      </c>
      <c r="AV122" s="248">
        <v>25784</v>
      </c>
      <c r="AW122" s="158">
        <f>AV122+(AW364-AV364)</f>
        <v>25784</v>
      </c>
      <c r="AX122" s="27">
        <f>AW122</f>
        <v>25784</v>
      </c>
      <c r="AY122" s="27"/>
      <c r="AZ122" s="235">
        <f>AX122+(AZ364-AX364)</f>
        <v>25639</v>
      </c>
      <c r="BA122" s="235">
        <f>AZ122+(BA364-AZ364)</f>
        <v>25639</v>
      </c>
      <c r="BB122" s="235">
        <f>BA122+(BB364-BA364)</f>
        <v>25639</v>
      </c>
      <c r="BC122" s="235">
        <f>BB122+(BC364-BB364)</f>
        <v>25639</v>
      </c>
      <c r="BD122" s="27">
        <f>BC122</f>
        <v>25639</v>
      </c>
      <c r="BE122" s="27"/>
      <c r="BF122" s="235">
        <f>BD122+(BF364-BD364)</f>
        <v>25639</v>
      </c>
      <c r="BG122" s="235">
        <f>BF122+(BG364-BF364)</f>
        <v>25639</v>
      </c>
      <c r="BH122" s="235">
        <f>BG122+(BH364-BG364)</f>
        <v>25639</v>
      </c>
      <c r="BI122" s="235">
        <f>BH122+(BI364-BH364)</f>
        <v>25639</v>
      </c>
      <c r="BJ122" s="27">
        <f>BI122</f>
        <v>25639</v>
      </c>
      <c r="BK122" s="27"/>
      <c r="BL122" s="235">
        <f>BJ122+(BL364-BJ364)</f>
        <v>25639</v>
      </c>
      <c r="BM122" s="235">
        <f>BL122+(BM364-BL364)</f>
        <v>25639</v>
      </c>
      <c r="BN122" s="235">
        <f>BM122+(BN364-BM364)</f>
        <v>25639</v>
      </c>
      <c r="BO122" s="235">
        <f>BN122+(BO364-BN364)</f>
        <v>25639</v>
      </c>
      <c r="BP122" s="27">
        <f>BO122</f>
        <v>25639</v>
      </c>
      <c r="BQ122" s="27"/>
      <c r="BR122" s="235">
        <f>BP122+(BR364-BP364)</f>
        <v>25639</v>
      </c>
      <c r="BS122" s="235">
        <f>BR122+(BS364-BR364)</f>
        <v>25639</v>
      </c>
      <c r="BT122" s="235">
        <f>BS122+(BT364-BS364)</f>
        <v>25639</v>
      </c>
      <c r="BU122" s="235">
        <f>BT122+(BU364-BT364)</f>
        <v>25639</v>
      </c>
      <c r="BV122" s="27">
        <f>BU122</f>
        <v>25639</v>
      </c>
      <c r="BW122" s="27"/>
      <c r="BX122" s="235">
        <f>BV122+(BX364-BV364)</f>
        <v>25639</v>
      </c>
      <c r="BY122" s="235">
        <f>BX122+(BY364-BX364)</f>
        <v>25446</v>
      </c>
      <c r="BZ122" s="235">
        <f>BY122+(BZ364-BY364)</f>
        <v>25446</v>
      </c>
      <c r="CA122" s="235">
        <f>BZ122+(CA364-BZ364)</f>
        <v>25446</v>
      </c>
      <c r="CB122" s="27">
        <f>CA122</f>
        <v>25446</v>
      </c>
      <c r="CC122" s="27"/>
      <c r="CD122" s="235">
        <f>CB122+(CD364-CB364)</f>
        <v>25446</v>
      </c>
      <c r="CE122" s="235">
        <f>CD122+(CE364-CD364)</f>
        <v>25446</v>
      </c>
      <c r="CF122" s="235">
        <f>CE122+(CF364-CE364)</f>
        <v>25446</v>
      </c>
      <c r="CG122" s="235">
        <f>CF122+(CG364-CF364)</f>
        <v>25446</v>
      </c>
      <c r="CH122" s="27">
        <f>CG122</f>
        <v>25446</v>
      </c>
      <c r="CI122" s="27"/>
      <c r="CJ122" s="235">
        <f>CH122+(CJ364-CH364)</f>
        <v>24951</v>
      </c>
      <c r="CK122" s="235">
        <f>CJ122+(CK364-CJ364)</f>
        <v>24710</v>
      </c>
      <c r="CL122" s="235">
        <f>CK122+(CL364-CK364)</f>
        <v>24710</v>
      </c>
      <c r="CM122" s="235">
        <f>CL122+(CM364-CL364)</f>
        <v>24710</v>
      </c>
      <c r="CN122" s="27">
        <f>CM122</f>
        <v>24710</v>
      </c>
    </row>
    <row r="123" spans="2:92" ht="12.95" customHeight="1" x14ac:dyDescent="0.25">
      <c r="B123" s="31" t="s">
        <v>435</v>
      </c>
      <c r="D123" s="74">
        <v>9291</v>
      </c>
      <c r="E123" s="74">
        <v>9248</v>
      </c>
      <c r="F123" s="74">
        <v>8973</v>
      </c>
      <c r="G123" s="74">
        <v>8365</v>
      </c>
      <c r="H123" s="27">
        <f>G123</f>
        <v>8365</v>
      </c>
      <c r="I123" s="6"/>
      <c r="J123" s="74">
        <v>8233</v>
      </c>
      <c r="K123" s="74">
        <v>8092</v>
      </c>
      <c r="L123" s="74">
        <v>7046</v>
      </c>
      <c r="M123" s="74">
        <v>7455</v>
      </c>
      <c r="N123" s="27">
        <f>M123</f>
        <v>7455</v>
      </c>
      <c r="O123" s="6"/>
      <c r="P123" s="74">
        <v>7441</v>
      </c>
      <c r="Q123" s="74">
        <v>7448</v>
      </c>
      <c r="R123" s="74">
        <v>5900</v>
      </c>
      <c r="S123" s="74">
        <v>6599</v>
      </c>
      <c r="T123" s="27">
        <f>S123</f>
        <v>6599</v>
      </c>
      <c r="U123" s="6"/>
      <c r="V123" s="74">
        <v>6333</v>
      </c>
      <c r="W123" s="74">
        <v>6285</v>
      </c>
      <c r="X123" s="74">
        <v>6254</v>
      </c>
      <c r="Y123" s="74">
        <v>6872</v>
      </c>
      <c r="Z123" s="27">
        <f>Y123</f>
        <v>6872</v>
      </c>
      <c r="AA123" s="27"/>
      <c r="AB123" s="74">
        <v>6698</v>
      </c>
      <c r="AC123" s="74">
        <v>6581</v>
      </c>
      <c r="AD123" s="74">
        <v>6395</v>
      </c>
      <c r="AE123" s="74">
        <v>5592</v>
      </c>
      <c r="AF123" s="27">
        <f>AE123</f>
        <v>5592</v>
      </c>
      <c r="AG123" s="27"/>
      <c r="AH123" s="74">
        <v>5363</v>
      </c>
      <c r="AI123" s="74">
        <v>5160</v>
      </c>
      <c r="AJ123" s="74">
        <v>5038</v>
      </c>
      <c r="AK123" s="74">
        <v>4203</v>
      </c>
      <c r="AL123" s="27">
        <f>AK123</f>
        <v>4203</v>
      </c>
      <c r="AM123" s="78"/>
      <c r="AN123" s="74">
        <v>4069</v>
      </c>
      <c r="AO123" s="248">
        <v>4084</v>
      </c>
      <c r="AP123" s="74">
        <v>4060</v>
      </c>
      <c r="AQ123" s="248">
        <v>4098</v>
      </c>
      <c r="AR123" s="235">
        <f>AQ123</f>
        <v>4098</v>
      </c>
      <c r="AS123" s="27"/>
      <c r="AT123" s="74">
        <v>4068</v>
      </c>
      <c r="AU123" s="248">
        <v>3993</v>
      </c>
      <c r="AV123" s="248">
        <v>4029</v>
      </c>
      <c r="AW123" s="158">
        <f>AV123</f>
        <v>4029</v>
      </c>
      <c r="AX123" s="27">
        <f t="shared" ref="AX123" si="1212">AW123</f>
        <v>4029</v>
      </c>
      <c r="AY123" s="27"/>
      <c r="AZ123" s="235">
        <f>AX123</f>
        <v>4029</v>
      </c>
      <c r="BA123" s="235">
        <f>AZ123</f>
        <v>4029</v>
      </c>
      <c r="BB123" s="235">
        <f t="shared" ref="BB123:BD123" si="1213">BA123</f>
        <v>4029</v>
      </c>
      <c r="BC123" s="235">
        <f t="shared" si="1213"/>
        <v>4029</v>
      </c>
      <c r="BD123" s="27">
        <f t="shared" si="1213"/>
        <v>4029</v>
      </c>
      <c r="BE123" s="27"/>
      <c r="BF123" s="235">
        <f>BD123</f>
        <v>4029</v>
      </c>
      <c r="BG123" s="235">
        <f>BF123</f>
        <v>4029</v>
      </c>
      <c r="BH123" s="235">
        <f t="shared" ref="BH123:BJ123" si="1214">BG123</f>
        <v>4029</v>
      </c>
      <c r="BI123" s="235">
        <f t="shared" si="1214"/>
        <v>4029</v>
      </c>
      <c r="BJ123" s="27">
        <f t="shared" si="1214"/>
        <v>4029</v>
      </c>
      <c r="BK123" s="27"/>
      <c r="BL123" s="235">
        <f>BJ123</f>
        <v>4029</v>
      </c>
      <c r="BM123" s="235">
        <f>BL123</f>
        <v>4029</v>
      </c>
      <c r="BN123" s="235">
        <f t="shared" ref="BN123:BP123" si="1215">BM123</f>
        <v>4029</v>
      </c>
      <c r="BO123" s="235">
        <f t="shared" si="1215"/>
        <v>4029</v>
      </c>
      <c r="BP123" s="27">
        <f t="shared" si="1215"/>
        <v>4029</v>
      </c>
      <c r="BQ123" s="27"/>
      <c r="BR123" s="235">
        <f>BP123</f>
        <v>4029</v>
      </c>
      <c r="BS123" s="235">
        <f>BR123</f>
        <v>4029</v>
      </c>
      <c r="BT123" s="235">
        <f t="shared" ref="BT123:BV123" si="1216">BS123</f>
        <v>4029</v>
      </c>
      <c r="BU123" s="235">
        <f t="shared" si="1216"/>
        <v>4029</v>
      </c>
      <c r="BV123" s="27">
        <f t="shared" si="1216"/>
        <v>4029</v>
      </c>
      <c r="BW123" s="27"/>
      <c r="BX123" s="235">
        <f>BV123</f>
        <v>4029</v>
      </c>
      <c r="BY123" s="235">
        <f>BX123</f>
        <v>4029</v>
      </c>
      <c r="BZ123" s="235">
        <f t="shared" ref="BZ123:CB123" si="1217">BY123</f>
        <v>4029</v>
      </c>
      <c r="CA123" s="235">
        <f t="shared" si="1217"/>
        <v>4029</v>
      </c>
      <c r="CB123" s="27">
        <f t="shared" si="1217"/>
        <v>4029</v>
      </c>
      <c r="CC123" s="27"/>
      <c r="CD123" s="235">
        <f>CB123</f>
        <v>4029</v>
      </c>
      <c r="CE123" s="235">
        <f>CD123</f>
        <v>4029</v>
      </c>
      <c r="CF123" s="235">
        <f t="shared" ref="CF123:CH123" si="1218">CE123</f>
        <v>4029</v>
      </c>
      <c r="CG123" s="235">
        <f t="shared" si="1218"/>
        <v>4029</v>
      </c>
      <c r="CH123" s="27">
        <f t="shared" si="1218"/>
        <v>4029</v>
      </c>
      <c r="CI123" s="27"/>
      <c r="CJ123" s="235">
        <f>CH123</f>
        <v>4029</v>
      </c>
      <c r="CK123" s="235">
        <f>CJ123</f>
        <v>4029</v>
      </c>
      <c r="CL123" s="235">
        <f t="shared" ref="CL123:CN123" si="1219">CK123</f>
        <v>4029</v>
      </c>
      <c r="CM123" s="235">
        <f t="shared" si="1219"/>
        <v>4029</v>
      </c>
      <c r="CN123" s="27">
        <f t="shared" si="1219"/>
        <v>4029</v>
      </c>
    </row>
    <row r="124" spans="2:92" ht="12.95" customHeight="1" x14ac:dyDescent="0.25">
      <c r="B124" s="31" t="s">
        <v>437</v>
      </c>
      <c r="D124" s="74">
        <v>3238</v>
      </c>
      <c r="E124" s="74">
        <v>3235</v>
      </c>
      <c r="F124" s="74">
        <v>3152</v>
      </c>
      <c r="G124" s="74">
        <v>4053</v>
      </c>
      <c r="H124" s="27">
        <f>G124</f>
        <v>4053</v>
      </c>
      <c r="I124" s="6"/>
      <c r="J124" s="74">
        <v>3942</v>
      </c>
      <c r="K124" s="74">
        <v>3954</v>
      </c>
      <c r="L124" s="74">
        <v>3799</v>
      </c>
      <c r="M124" s="74">
        <v>3756</v>
      </c>
      <c r="N124" s="27">
        <f>M124</f>
        <v>3756</v>
      </c>
      <c r="O124" s="6"/>
      <c r="P124" s="74">
        <v>4179</v>
      </c>
      <c r="Q124" s="74">
        <v>4362</v>
      </c>
      <c r="R124" s="74">
        <v>4311</v>
      </c>
      <c r="S124" s="74">
        <v>4323</v>
      </c>
      <c r="T124" s="27">
        <f>S124</f>
        <v>4323</v>
      </c>
      <c r="U124" s="6"/>
      <c r="V124" s="74">
        <v>4437</v>
      </c>
      <c r="W124" s="74">
        <v>4366</v>
      </c>
      <c r="X124" s="74">
        <v>4408</v>
      </c>
      <c r="Y124" s="74">
        <v>4358</v>
      </c>
      <c r="Z124" s="27">
        <f>Y124</f>
        <v>4358</v>
      </c>
      <c r="AA124" s="27"/>
      <c r="AB124" s="74">
        <v>4480</v>
      </c>
      <c r="AC124" s="74">
        <v>4524</v>
      </c>
      <c r="AD124" s="74">
        <v>4564</v>
      </c>
      <c r="AE124" s="74">
        <v>4805</v>
      </c>
      <c r="AF124" s="27">
        <f>AE124</f>
        <v>4805</v>
      </c>
      <c r="AG124" s="27"/>
      <c r="AH124" s="74">
        <v>5007</v>
      </c>
      <c r="AI124" s="74">
        <v>5006</v>
      </c>
      <c r="AJ124" s="74">
        <v>4536</v>
      </c>
      <c r="AK124" s="74">
        <v>4604</v>
      </c>
      <c r="AL124" s="27">
        <f>AK124</f>
        <v>4604</v>
      </c>
      <c r="AM124" s="78"/>
      <c r="AN124" s="74">
        <v>4695</v>
      </c>
      <c r="AO124" s="248">
        <v>4788</v>
      </c>
      <c r="AP124" s="74">
        <v>4841</v>
      </c>
      <c r="AQ124" s="248">
        <v>4675</v>
      </c>
      <c r="AR124" s="235">
        <f>AQ124</f>
        <v>4675</v>
      </c>
      <c r="AS124" s="27"/>
      <c r="AT124" s="74">
        <v>4826</v>
      </c>
      <c r="AU124" s="248">
        <v>4807</v>
      </c>
      <c r="AV124" s="248">
        <v>4839</v>
      </c>
      <c r="AW124" s="158">
        <f>AV124</f>
        <v>4839</v>
      </c>
      <c r="AX124" s="27">
        <f>AW124</f>
        <v>4839</v>
      </c>
      <c r="AY124" s="27"/>
      <c r="AZ124" s="235">
        <f>AX124</f>
        <v>4839</v>
      </c>
      <c r="BA124" s="235">
        <f>AZ124</f>
        <v>4839</v>
      </c>
      <c r="BB124" s="235">
        <f t="shared" ref="BB124:BC124" si="1220">BA124</f>
        <v>4839</v>
      </c>
      <c r="BC124" s="235">
        <f t="shared" si="1220"/>
        <v>4839</v>
      </c>
      <c r="BD124" s="27">
        <f>BC124</f>
        <v>4839</v>
      </c>
      <c r="BE124" s="27"/>
      <c r="BF124" s="235">
        <f>BD124</f>
        <v>4839</v>
      </c>
      <c r="BG124" s="235">
        <f>BF124</f>
        <v>4839</v>
      </c>
      <c r="BH124" s="235">
        <f t="shared" ref="BH124:BI124" si="1221">BG124</f>
        <v>4839</v>
      </c>
      <c r="BI124" s="235">
        <f t="shared" si="1221"/>
        <v>4839</v>
      </c>
      <c r="BJ124" s="27">
        <f>BI124</f>
        <v>4839</v>
      </c>
      <c r="BK124" s="27"/>
      <c r="BL124" s="235">
        <f>BJ124</f>
        <v>4839</v>
      </c>
      <c r="BM124" s="235">
        <f>BL124</f>
        <v>4839</v>
      </c>
      <c r="BN124" s="235">
        <f t="shared" ref="BN124:BO124" si="1222">BM124</f>
        <v>4839</v>
      </c>
      <c r="BO124" s="235">
        <f t="shared" si="1222"/>
        <v>4839</v>
      </c>
      <c r="BP124" s="27">
        <f>BO124</f>
        <v>4839</v>
      </c>
      <c r="BQ124" s="27"/>
      <c r="BR124" s="235">
        <f>BP124</f>
        <v>4839</v>
      </c>
      <c r="BS124" s="235">
        <f>BR124</f>
        <v>4839</v>
      </c>
      <c r="BT124" s="235">
        <f t="shared" ref="BT124:BU124" si="1223">BS124</f>
        <v>4839</v>
      </c>
      <c r="BU124" s="235">
        <f t="shared" si="1223"/>
        <v>4839</v>
      </c>
      <c r="BV124" s="27">
        <f>BU124</f>
        <v>4839</v>
      </c>
      <c r="BW124" s="27"/>
      <c r="BX124" s="235">
        <f>BV124</f>
        <v>4839</v>
      </c>
      <c r="BY124" s="235">
        <f>BX124</f>
        <v>4839</v>
      </c>
      <c r="BZ124" s="235">
        <f t="shared" ref="BZ124:CA124" si="1224">BY124</f>
        <v>4839</v>
      </c>
      <c r="CA124" s="235">
        <f t="shared" si="1224"/>
        <v>4839</v>
      </c>
      <c r="CB124" s="27">
        <f>CA124</f>
        <v>4839</v>
      </c>
      <c r="CC124" s="27"/>
      <c r="CD124" s="235">
        <f>CB124</f>
        <v>4839</v>
      </c>
      <c r="CE124" s="235">
        <f>CD124</f>
        <v>4839</v>
      </c>
      <c r="CF124" s="235">
        <f t="shared" ref="CF124:CG124" si="1225">CE124</f>
        <v>4839</v>
      </c>
      <c r="CG124" s="235">
        <f t="shared" si="1225"/>
        <v>4839</v>
      </c>
      <c r="CH124" s="27">
        <f>CG124</f>
        <v>4839</v>
      </c>
      <c r="CI124" s="27"/>
      <c r="CJ124" s="235">
        <f>CH124</f>
        <v>4839</v>
      </c>
      <c r="CK124" s="235">
        <f>CJ124</f>
        <v>4839</v>
      </c>
      <c r="CL124" s="235">
        <f t="shared" ref="CL124:CM124" si="1226">CK124</f>
        <v>4839</v>
      </c>
      <c r="CM124" s="235">
        <f t="shared" si="1226"/>
        <v>4839</v>
      </c>
      <c r="CN124" s="27">
        <f>CM124</f>
        <v>4839</v>
      </c>
    </row>
    <row r="125" spans="2:92" ht="12.95" customHeight="1" x14ac:dyDescent="0.25">
      <c r="B125" s="32" t="s">
        <v>67</v>
      </c>
      <c r="C125" s="16"/>
      <c r="D125" s="45">
        <f t="shared" ref="D125:H125" si="1227">SUM(D121:D124)</f>
        <v>63889</v>
      </c>
      <c r="E125" s="45">
        <f t="shared" si="1227"/>
        <v>64431</v>
      </c>
      <c r="F125" s="45">
        <f t="shared" si="1227"/>
        <v>62863</v>
      </c>
      <c r="G125" s="45">
        <f t="shared" si="1227"/>
        <v>63196</v>
      </c>
      <c r="H125" s="45">
        <f t="shared" si="1227"/>
        <v>63196</v>
      </c>
      <c r="I125" s="18"/>
      <c r="J125" s="45">
        <f t="shared" ref="J125:N125" si="1228">SUM(J121:J124)</f>
        <v>62742</v>
      </c>
      <c r="K125" s="45">
        <f t="shared" si="1228"/>
        <v>64045</v>
      </c>
      <c r="L125" s="45">
        <f t="shared" si="1228"/>
        <v>62319</v>
      </c>
      <c r="M125" s="45">
        <f t="shared" si="1228"/>
        <v>64429</v>
      </c>
      <c r="N125" s="45">
        <f t="shared" si="1228"/>
        <v>64429</v>
      </c>
      <c r="O125" s="18"/>
      <c r="P125" s="45">
        <f>SUM(P121:P124)</f>
        <v>63248</v>
      </c>
      <c r="Q125" s="45">
        <f>SUM(Q121:Q124)</f>
        <v>64309</v>
      </c>
      <c r="R125" s="45">
        <f>SUM(R121:R124)</f>
        <v>63000</v>
      </c>
      <c r="S125" s="45">
        <f>SUM(S121:S124)</f>
        <v>63824</v>
      </c>
      <c r="T125" s="45">
        <f>SUM(T121:T124)</f>
        <v>63824</v>
      </c>
      <c r="U125" s="18"/>
      <c r="V125" s="45">
        <f>SUM(V121:V124)</f>
        <v>61655</v>
      </c>
      <c r="W125" s="45">
        <f>SUM(W121:W124)</f>
        <v>62789</v>
      </c>
      <c r="X125" s="45">
        <f>SUM(X121:X124)</f>
        <v>61747</v>
      </c>
      <c r="Y125" s="45">
        <f>SUM(Y121:Y124)</f>
        <v>62946</v>
      </c>
      <c r="Z125" s="45">
        <f>SUM(Z121:Z124)</f>
        <v>62946</v>
      </c>
      <c r="AA125" s="45"/>
      <c r="AB125" s="45">
        <f>SUM(AB121:AB124)</f>
        <v>64112</v>
      </c>
      <c r="AC125" s="45">
        <f>SUM(AC121:AC124)</f>
        <v>64817</v>
      </c>
      <c r="AD125" s="45">
        <f>SUM(AD121:AD124)</f>
        <v>64089</v>
      </c>
      <c r="AE125" s="45">
        <f>SUM(AE121:AE124)</f>
        <v>66277</v>
      </c>
      <c r="AF125" s="45">
        <f>SUM(AF121:AF124)</f>
        <v>66277</v>
      </c>
      <c r="AG125" s="45"/>
      <c r="AH125" s="45">
        <f>SUM(AH121:AH124)</f>
        <v>65179</v>
      </c>
      <c r="AI125" s="45">
        <f>SUM(AI121:AI124)</f>
        <v>65348</v>
      </c>
      <c r="AJ125" s="45">
        <f>SUM(AJ121:AJ124)</f>
        <v>65285</v>
      </c>
      <c r="AK125" s="45">
        <f>SUM(AK121:AK124)</f>
        <v>66052</v>
      </c>
      <c r="AL125" s="45">
        <f>SUM(AL121:AL124)</f>
        <v>66052</v>
      </c>
      <c r="AM125" s="79"/>
      <c r="AN125" s="45">
        <f>SUM(AN121:AN124)</f>
        <v>65479</v>
      </c>
      <c r="AO125" s="45">
        <f>SUM(AO121:AO124)</f>
        <v>67171</v>
      </c>
      <c r="AP125" s="45">
        <f>SUM(AP121:AP124)</f>
        <v>66284</v>
      </c>
      <c r="AQ125" s="45">
        <f>SUM(AQ121:AQ124)</f>
        <v>67973</v>
      </c>
      <c r="AR125" s="45">
        <f>SUM(AR121:AR124)</f>
        <v>67973</v>
      </c>
      <c r="AS125" s="45"/>
      <c r="AT125" s="45">
        <f>SUM(AT121:AT124)</f>
        <v>66096</v>
      </c>
      <c r="AU125" s="45">
        <f>SUM(AU121:AU124)</f>
        <v>66200</v>
      </c>
      <c r="AV125" s="45">
        <f>SUM(AV121:AV124)</f>
        <v>66870</v>
      </c>
      <c r="AW125" s="352">
        <f>SUM(AW121:AW124)</f>
        <v>66893.13488075434</v>
      </c>
      <c r="AX125" s="45">
        <f>SUM(AX121:AX124)</f>
        <v>66893.13488075434</v>
      </c>
      <c r="AY125" s="45"/>
      <c r="AZ125" s="45">
        <f>SUM(AZ121:AZ124)</f>
        <v>65722.011525824739</v>
      </c>
      <c r="BA125" s="45">
        <f>SUM(BA121:BA124)</f>
        <v>65724.752889362004</v>
      </c>
      <c r="BB125" s="45">
        <f t="shared" ref="BB125:BC125" si="1229">SUM(BB121:BB124)</f>
        <v>66888.042770330445</v>
      </c>
      <c r="BC125" s="45">
        <f t="shared" si="1229"/>
        <v>67041.321574047979</v>
      </c>
      <c r="BD125" s="45">
        <f>SUM(BD121:BD124)</f>
        <v>67041.321574047979</v>
      </c>
      <c r="BE125" s="45"/>
      <c r="BF125" s="45">
        <f>SUM(BF121:BF124)</f>
        <v>66534.970411163042</v>
      </c>
      <c r="BG125" s="45">
        <f>SUM(BG121:BG124)</f>
        <v>66539.090235204058</v>
      </c>
      <c r="BH125" s="45">
        <f t="shared" ref="BH125" si="1230">SUM(BH121:BH124)</f>
        <v>67745.636289589951</v>
      </c>
      <c r="BI125" s="45">
        <f t="shared" ref="BI125" si="1231">SUM(BI121:BI124)</f>
        <v>67901.911030917166</v>
      </c>
      <c r="BJ125" s="45">
        <f>SUM(BJ121:BJ124)</f>
        <v>67901.911030917166</v>
      </c>
      <c r="BK125" s="45"/>
      <c r="BL125" s="45">
        <f>SUM(BL121:BL124)</f>
        <v>67305.962728888029</v>
      </c>
      <c r="BM125" s="45">
        <f>SUM(BM121:BM124)</f>
        <v>67315.674699652503</v>
      </c>
      <c r="BN125" s="45">
        <f t="shared" ref="BN125" si="1232">SUM(BN121:BN124)</f>
        <v>68561.157359611636</v>
      </c>
      <c r="BO125" s="45">
        <f t="shared" ref="BO125" si="1233">SUM(BO121:BO124)</f>
        <v>68728.577314780836</v>
      </c>
      <c r="BP125" s="45">
        <f>SUM(BP121:BP124)</f>
        <v>68728.577314780836</v>
      </c>
      <c r="BQ125" s="45"/>
      <c r="BR125" s="45">
        <f>SUM(BR121:BR124)</f>
        <v>68011.782234332757</v>
      </c>
      <c r="BS125" s="45">
        <f>SUM(BS121:BS124)</f>
        <v>68123.048060600355</v>
      </c>
      <c r="BT125" s="45">
        <f t="shared" ref="BT125" si="1234">SUM(BT121:BT124)</f>
        <v>69408.906953157304</v>
      </c>
      <c r="BU125" s="45">
        <f t="shared" ref="BU125" si="1235">SUM(BU121:BU124)</f>
        <v>69588.442668602656</v>
      </c>
      <c r="BV125" s="45">
        <f>SUM(BV121:BV124)</f>
        <v>69588.442668602656</v>
      </c>
      <c r="BW125" s="45"/>
      <c r="BX125" s="45">
        <f>SUM(BX121:BX124)</f>
        <v>68943.042362941807</v>
      </c>
      <c r="BY125" s="45">
        <f>SUM(BY121:BY124)</f>
        <v>68772.302875539724</v>
      </c>
      <c r="BZ125" s="45">
        <f t="shared" ref="BZ125" si="1236">SUM(BZ121:BZ124)</f>
        <v>70100.175820871751</v>
      </c>
      <c r="CA125" s="45">
        <f t="shared" ref="CA125" si="1237">SUM(CA121:CA124)</f>
        <v>70292.623513619255</v>
      </c>
      <c r="CB125" s="45">
        <f>SUM(CB121:CB124)</f>
        <v>70292.623513619255</v>
      </c>
      <c r="CC125" s="45"/>
      <c r="CD125" s="45">
        <f>SUM(CD121:CD124)</f>
        <v>69621.790410898931</v>
      </c>
      <c r="CE125" s="45">
        <f>SUM(CE121:CE124)</f>
        <v>69650.995536944334</v>
      </c>
      <c r="CF125" s="45">
        <f t="shared" ref="CF125" si="1238">SUM(CF121:CF124)</f>
        <v>71022.58903718683</v>
      </c>
      <c r="CG125" s="45">
        <f t="shared" ref="CG125" si="1239">SUM(CG121:CG124)</f>
        <v>71228.793123270763</v>
      </c>
      <c r="CH125" s="45">
        <f>SUM(CH121:CH124)</f>
        <v>71228.793123270763</v>
      </c>
      <c r="CI125" s="45"/>
      <c r="CJ125" s="45">
        <f>SUM(CJ121:CJ124)</f>
        <v>70031.530728526166</v>
      </c>
      <c r="CK125" s="45">
        <f>SUM(CK121:CK124)</f>
        <v>69827.489872735212</v>
      </c>
      <c r="CL125" s="45">
        <f t="shared" ref="CL125" si="1240">SUM(CL121:CL124)</f>
        <v>71244.341668884503</v>
      </c>
      <c r="CM125" s="45">
        <f t="shared" ref="CM125" si="1241">SUM(CM121:CM124)</f>
        <v>71465.476221525256</v>
      </c>
      <c r="CN125" s="45">
        <f>SUM(CN121:CN124)</f>
        <v>71465.476221525256</v>
      </c>
    </row>
    <row r="126" spans="2:92" ht="12.95" customHeight="1" x14ac:dyDescent="0.25">
      <c r="B126" s="31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27"/>
      <c r="T126" s="27"/>
      <c r="U126" s="6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78"/>
      <c r="AN126" s="27"/>
      <c r="AO126" s="235"/>
      <c r="AP126" s="27"/>
      <c r="AQ126" s="235"/>
      <c r="AR126" s="235"/>
      <c r="AS126" s="27"/>
      <c r="AT126" s="27"/>
      <c r="AU126" s="235"/>
      <c r="AV126" s="235"/>
      <c r="AW126" s="158"/>
      <c r="AX126" s="27"/>
      <c r="AY126" s="27"/>
      <c r="AZ126" s="235"/>
      <c r="BA126" s="235"/>
      <c r="BB126" s="235"/>
      <c r="BC126" s="235"/>
      <c r="BD126" s="27"/>
      <c r="BE126" s="27"/>
      <c r="BF126" s="235"/>
      <c r="BG126" s="235"/>
      <c r="BH126" s="235"/>
      <c r="BI126" s="235"/>
      <c r="BJ126" s="27"/>
      <c r="BK126" s="27"/>
      <c r="BL126" s="235"/>
      <c r="BM126" s="235"/>
      <c r="BN126" s="235"/>
      <c r="BO126" s="235"/>
      <c r="BP126" s="27"/>
      <c r="BQ126" s="27"/>
      <c r="BR126" s="235"/>
      <c r="BS126" s="235"/>
      <c r="BT126" s="235"/>
      <c r="BU126" s="235"/>
      <c r="BV126" s="27"/>
      <c r="BW126" s="27"/>
      <c r="BX126" s="235"/>
      <c r="BY126" s="235"/>
      <c r="BZ126" s="235"/>
      <c r="CA126" s="235"/>
      <c r="CB126" s="27"/>
      <c r="CC126" s="27"/>
      <c r="CD126" s="235"/>
      <c r="CE126" s="235"/>
      <c r="CF126" s="235"/>
      <c r="CG126" s="235"/>
      <c r="CH126" s="27"/>
      <c r="CI126" s="27"/>
      <c r="CJ126" s="235"/>
      <c r="CK126" s="235"/>
      <c r="CL126" s="235"/>
      <c r="CM126" s="235"/>
      <c r="CN126" s="27"/>
    </row>
    <row r="127" spans="2:92" ht="12.95" customHeight="1" x14ac:dyDescent="0.25">
      <c r="B127" s="31" t="s">
        <v>438</v>
      </c>
      <c r="D127" s="74">
        <v>5222</v>
      </c>
      <c r="E127" s="74">
        <v>5316</v>
      </c>
      <c r="F127" s="74">
        <v>5460</v>
      </c>
      <c r="G127" s="74">
        <v>5593</v>
      </c>
      <c r="H127" s="27">
        <f>G127</f>
        <v>5593</v>
      </c>
      <c r="I127" s="6"/>
      <c r="J127" s="74">
        <v>5640</v>
      </c>
      <c r="K127" s="74">
        <v>5746</v>
      </c>
      <c r="L127" s="74">
        <v>5715</v>
      </c>
      <c r="M127" s="74">
        <v>5827</v>
      </c>
      <c r="N127" s="27">
        <f>M127</f>
        <v>5827</v>
      </c>
      <c r="O127" s="6"/>
      <c r="P127" s="74">
        <v>5804</v>
      </c>
      <c r="Q127" s="74">
        <v>5822</v>
      </c>
      <c r="R127" s="74">
        <v>5951</v>
      </c>
      <c r="S127" s="74">
        <v>5935</v>
      </c>
      <c r="T127" s="27">
        <f>S127</f>
        <v>5935</v>
      </c>
      <c r="U127" s="6"/>
      <c r="V127" s="74">
        <v>6046</v>
      </c>
      <c r="W127" s="74">
        <v>6120</v>
      </c>
      <c r="X127" s="74">
        <v>6204</v>
      </c>
      <c r="Y127" s="74">
        <v>6230</v>
      </c>
      <c r="Z127" s="27">
        <f>Y127</f>
        <v>6230</v>
      </c>
      <c r="AA127" s="27"/>
      <c r="AB127" s="74">
        <v>6215</v>
      </c>
      <c r="AC127" s="74">
        <v>6293</v>
      </c>
      <c r="AD127" s="74">
        <v>6352</v>
      </c>
      <c r="AE127" s="74">
        <v>6398</v>
      </c>
      <c r="AF127" s="27">
        <f>AE127</f>
        <v>6398</v>
      </c>
      <c r="AG127" s="27"/>
      <c r="AH127" s="27">
        <v>6281</v>
      </c>
      <c r="AI127" s="74">
        <v>6464</v>
      </c>
      <c r="AJ127" s="74">
        <v>6523</v>
      </c>
      <c r="AK127" s="74">
        <v>6560</v>
      </c>
      <c r="AL127" s="27">
        <f>AK127</f>
        <v>6560</v>
      </c>
      <c r="AM127" s="78"/>
      <c r="AN127" s="74">
        <v>6546</v>
      </c>
      <c r="AO127" s="248">
        <v>6478</v>
      </c>
      <c r="AP127" s="74">
        <v>6698</v>
      </c>
      <c r="AQ127" s="248">
        <v>6403</v>
      </c>
      <c r="AR127" s="235">
        <f>AQ127</f>
        <v>6403</v>
      </c>
      <c r="AS127" s="27"/>
      <c r="AT127" s="74">
        <v>5663</v>
      </c>
      <c r="AU127" s="248">
        <v>5517</v>
      </c>
      <c r="AV127" s="248">
        <v>5584</v>
      </c>
      <c r="AW127" s="158">
        <f>AV127</f>
        <v>5584</v>
      </c>
      <c r="AX127" s="27">
        <f>AW127</f>
        <v>5584</v>
      </c>
      <c r="AY127" s="27"/>
      <c r="AZ127" s="235">
        <f>AX127</f>
        <v>5584</v>
      </c>
      <c r="BA127" s="235">
        <f>AZ127</f>
        <v>5584</v>
      </c>
      <c r="BB127" s="235">
        <f t="shared" ref="BB127:BC127" si="1242">BA127</f>
        <v>5584</v>
      </c>
      <c r="BC127" s="235">
        <f t="shared" si="1242"/>
        <v>5584</v>
      </c>
      <c r="BD127" s="27">
        <f>BC127</f>
        <v>5584</v>
      </c>
      <c r="BE127" s="27"/>
      <c r="BF127" s="235">
        <f>BD127</f>
        <v>5584</v>
      </c>
      <c r="BG127" s="235">
        <f>BF127</f>
        <v>5584</v>
      </c>
      <c r="BH127" s="235">
        <f t="shared" ref="BH127:BI127" si="1243">BG127</f>
        <v>5584</v>
      </c>
      <c r="BI127" s="235">
        <f t="shared" si="1243"/>
        <v>5584</v>
      </c>
      <c r="BJ127" s="27">
        <f>BI127</f>
        <v>5584</v>
      </c>
      <c r="BK127" s="27"/>
      <c r="BL127" s="235">
        <f>BJ127</f>
        <v>5584</v>
      </c>
      <c r="BM127" s="235">
        <f>BL127</f>
        <v>5584</v>
      </c>
      <c r="BN127" s="235">
        <f t="shared" ref="BN127:BO127" si="1244">BM127</f>
        <v>5584</v>
      </c>
      <c r="BO127" s="235">
        <f t="shared" si="1244"/>
        <v>5584</v>
      </c>
      <c r="BP127" s="27">
        <f>BO127</f>
        <v>5584</v>
      </c>
      <c r="BQ127" s="27"/>
      <c r="BR127" s="235">
        <f>BP127</f>
        <v>5584</v>
      </c>
      <c r="BS127" s="235">
        <f>BR127</f>
        <v>5584</v>
      </c>
      <c r="BT127" s="235">
        <f t="shared" ref="BT127:BU127" si="1245">BS127</f>
        <v>5584</v>
      </c>
      <c r="BU127" s="235">
        <f t="shared" si="1245"/>
        <v>5584</v>
      </c>
      <c r="BV127" s="27">
        <f>BU127</f>
        <v>5584</v>
      </c>
      <c r="BW127" s="27"/>
      <c r="BX127" s="235">
        <f>BV127</f>
        <v>5584</v>
      </c>
      <c r="BY127" s="235">
        <f>BX127</f>
        <v>5584</v>
      </c>
      <c r="BZ127" s="235">
        <f t="shared" ref="BZ127:CA127" si="1246">BY127</f>
        <v>5584</v>
      </c>
      <c r="CA127" s="235">
        <f t="shared" si="1246"/>
        <v>5584</v>
      </c>
      <c r="CB127" s="27">
        <f>CA127</f>
        <v>5584</v>
      </c>
      <c r="CC127" s="27"/>
      <c r="CD127" s="235">
        <f>CB127</f>
        <v>5584</v>
      </c>
      <c r="CE127" s="235">
        <f>CD127</f>
        <v>5584</v>
      </c>
      <c r="CF127" s="235">
        <f t="shared" ref="CF127:CG127" si="1247">CE127</f>
        <v>5584</v>
      </c>
      <c r="CG127" s="235">
        <f t="shared" si="1247"/>
        <v>5584</v>
      </c>
      <c r="CH127" s="27">
        <f>CG127</f>
        <v>5584</v>
      </c>
      <c r="CI127" s="27"/>
      <c r="CJ127" s="235">
        <f>CH127</f>
        <v>5584</v>
      </c>
      <c r="CK127" s="235">
        <f>CJ127</f>
        <v>5584</v>
      </c>
      <c r="CL127" s="235">
        <f t="shared" ref="CL127:CM127" si="1248">CK127</f>
        <v>5584</v>
      </c>
      <c r="CM127" s="235">
        <f t="shared" si="1248"/>
        <v>5584</v>
      </c>
      <c r="CN127" s="27">
        <f>CM127</f>
        <v>5584</v>
      </c>
    </row>
    <row r="128" spans="2:92" ht="12.95" customHeight="1" x14ac:dyDescent="0.25">
      <c r="B128" s="31" t="s">
        <v>439</v>
      </c>
      <c r="D128" s="74">
        <v>-17391</v>
      </c>
      <c r="E128" s="74">
        <v>-17307</v>
      </c>
      <c r="F128" s="74">
        <v>-17130</v>
      </c>
      <c r="G128" s="74">
        <v>-17005</v>
      </c>
      <c r="H128" s="27">
        <f>G128</f>
        <v>-17005</v>
      </c>
      <c r="I128" s="6"/>
      <c r="J128" s="74">
        <v>-17347</v>
      </c>
      <c r="K128" s="74">
        <v>-18028</v>
      </c>
      <c r="L128" s="74">
        <v>-18681</v>
      </c>
      <c r="M128" s="74">
        <v>-20531</v>
      </c>
      <c r="N128" s="27">
        <f>M128</f>
        <v>-20531</v>
      </c>
      <c r="O128" s="6"/>
      <c r="P128" s="74">
        <v>-21214</v>
      </c>
      <c r="Q128" s="74">
        <v>-22467</v>
      </c>
      <c r="R128" s="74">
        <v>-23693</v>
      </c>
      <c r="S128" s="74">
        <v>-24217</v>
      </c>
      <c r="T128" s="27">
        <f>S128</f>
        <v>-24217</v>
      </c>
      <c r="U128" s="6"/>
      <c r="V128" s="74">
        <v>-25341</v>
      </c>
      <c r="W128" s="74">
        <v>-25412</v>
      </c>
      <c r="X128" s="74">
        <v>-25315</v>
      </c>
      <c r="Y128" s="74">
        <v>-25178</v>
      </c>
      <c r="Z128" s="27">
        <f>Y128</f>
        <v>-25178</v>
      </c>
      <c r="AA128" s="27"/>
      <c r="AB128" s="74">
        <v>-25049</v>
      </c>
      <c r="AC128" s="74">
        <v>-25240</v>
      </c>
      <c r="AD128" s="74">
        <v>-26608</v>
      </c>
      <c r="AE128" s="74">
        <v>-27643</v>
      </c>
      <c r="AF128" s="27">
        <f>AE128</f>
        <v>-27643</v>
      </c>
      <c r="AG128" s="27"/>
      <c r="AH128" s="27">
        <v>-28326</v>
      </c>
      <c r="AI128" s="74">
        <v>-29501</v>
      </c>
      <c r="AJ128" s="74">
        <v>-30883</v>
      </c>
      <c r="AK128" s="74">
        <v>-31748</v>
      </c>
      <c r="AL128" s="27">
        <f>AK128</f>
        <v>-31748</v>
      </c>
      <c r="AM128" s="78"/>
      <c r="AN128" s="74">
        <v>-32108</v>
      </c>
      <c r="AO128" s="248">
        <v>-33391</v>
      </c>
      <c r="AP128" s="74">
        <v>-33865</v>
      </c>
      <c r="AQ128" s="248">
        <v>-36339</v>
      </c>
      <c r="AR128" s="235">
        <f>AQ128</f>
        <v>-36339</v>
      </c>
      <c r="AS128" s="27"/>
      <c r="AT128" s="74">
        <v>-40039</v>
      </c>
      <c r="AU128" s="248">
        <v>-41612</v>
      </c>
      <c r="AV128" s="248">
        <v>-42390</v>
      </c>
      <c r="AW128" s="564">
        <f>AV128+AW181</f>
        <v>-43190</v>
      </c>
      <c r="AX128" s="27">
        <f>AW128</f>
        <v>-43190</v>
      </c>
      <c r="AY128" s="27"/>
      <c r="AZ128" s="565">
        <f>AX128+AZ181</f>
        <v>-44690</v>
      </c>
      <c r="BA128" s="565">
        <f>AZ128+BA181</f>
        <v>-46190</v>
      </c>
      <c r="BB128" s="565">
        <f>BA128+BB181</f>
        <v>-47690</v>
      </c>
      <c r="BC128" s="565">
        <f>BB128+BC181</f>
        <v>-49190</v>
      </c>
      <c r="BD128" s="27">
        <f>BC128</f>
        <v>-49190</v>
      </c>
      <c r="BE128" s="27"/>
      <c r="BF128" s="565">
        <f>BD128+BF181</f>
        <v>-50690</v>
      </c>
      <c r="BG128" s="565">
        <f>BF128+BG181</f>
        <v>-52190</v>
      </c>
      <c r="BH128" s="565">
        <f>BG128+BH181</f>
        <v>-53940</v>
      </c>
      <c r="BI128" s="565">
        <f>BH128+BI181</f>
        <v>-55690</v>
      </c>
      <c r="BJ128" s="27">
        <f>BI128</f>
        <v>-55690</v>
      </c>
      <c r="BK128" s="27"/>
      <c r="BL128" s="565">
        <f>BJ128+BL181</f>
        <v>-57440</v>
      </c>
      <c r="BM128" s="565">
        <f>BL128+BM181</f>
        <v>-59190</v>
      </c>
      <c r="BN128" s="565">
        <f>BM128+BN181</f>
        <v>-60940</v>
      </c>
      <c r="BO128" s="565">
        <f>BN128+BO181</f>
        <v>-62690</v>
      </c>
      <c r="BP128" s="27">
        <f>BO128</f>
        <v>-62690</v>
      </c>
      <c r="BQ128" s="27"/>
      <c r="BR128" s="565">
        <f>BP128+BR181</f>
        <v>-64440</v>
      </c>
      <c r="BS128" s="565">
        <f>BR128+BS181</f>
        <v>-66190</v>
      </c>
      <c r="BT128" s="565">
        <f>BS128+BT181</f>
        <v>-68190</v>
      </c>
      <c r="BU128" s="565">
        <f>BT128+BU181</f>
        <v>-70190</v>
      </c>
      <c r="BV128" s="27">
        <f>BU128</f>
        <v>-70190</v>
      </c>
      <c r="BW128" s="27"/>
      <c r="BX128" s="565">
        <f>BV128+BX181</f>
        <v>-72190</v>
      </c>
      <c r="BY128" s="565">
        <f>BX128+BY181</f>
        <v>-74190</v>
      </c>
      <c r="BZ128" s="565">
        <f>BY128+BZ181</f>
        <v>-76190</v>
      </c>
      <c r="CA128" s="565">
        <f>BZ128+CA181</f>
        <v>-78190</v>
      </c>
      <c r="CB128" s="27">
        <f>CA128</f>
        <v>-78190</v>
      </c>
      <c r="CC128" s="27"/>
      <c r="CD128" s="565">
        <f>CB128+CD181</f>
        <v>-80190</v>
      </c>
      <c r="CE128" s="565">
        <f>CD128+CE181</f>
        <v>-82190</v>
      </c>
      <c r="CF128" s="565">
        <f>CE128+CF181</f>
        <v>-84690</v>
      </c>
      <c r="CG128" s="565">
        <f>CF128+CG181</f>
        <v>-87190</v>
      </c>
      <c r="CH128" s="27">
        <f>CG128</f>
        <v>-87190</v>
      </c>
      <c r="CI128" s="27"/>
      <c r="CJ128" s="565">
        <f>CH128+CJ181</f>
        <v>-89690</v>
      </c>
      <c r="CK128" s="565">
        <f>CJ128+CK181</f>
        <v>-92190</v>
      </c>
      <c r="CL128" s="565">
        <f>CK128+CL181</f>
        <v>-94690</v>
      </c>
      <c r="CM128" s="565">
        <f>CL128+CM181</f>
        <v>-97190</v>
      </c>
      <c r="CN128" s="27">
        <f>CM128</f>
        <v>-97190</v>
      </c>
    </row>
    <row r="129" spans="2:92" ht="12.95" customHeight="1" x14ac:dyDescent="0.25">
      <c r="B129" s="31" t="s">
        <v>440</v>
      </c>
      <c r="D129" s="74">
        <v>27584</v>
      </c>
      <c r="E129" s="74">
        <v>27471</v>
      </c>
      <c r="F129" s="74">
        <v>28530</v>
      </c>
      <c r="G129" s="74">
        <v>26301</v>
      </c>
      <c r="H129" s="27">
        <f>G129</f>
        <v>26301</v>
      </c>
      <c r="I129" s="6"/>
      <c r="J129" s="74">
        <v>27929</v>
      </c>
      <c r="K129" s="74">
        <v>28657</v>
      </c>
      <c r="L129" s="74">
        <v>30384</v>
      </c>
      <c r="M129" s="74">
        <v>30427</v>
      </c>
      <c r="N129" s="27">
        <f>M129</f>
        <v>30427</v>
      </c>
      <c r="O129" s="6"/>
      <c r="P129" s="74">
        <v>32435</v>
      </c>
      <c r="Q129" s="74">
        <v>32981</v>
      </c>
      <c r="R129" s="74">
        <v>34477</v>
      </c>
      <c r="S129" s="74">
        <v>34437</v>
      </c>
      <c r="T129" s="27">
        <f>S129</f>
        <v>34437</v>
      </c>
      <c r="U129" s="6"/>
      <c r="V129" s="74">
        <v>35504</v>
      </c>
      <c r="W129" s="74">
        <v>34841</v>
      </c>
      <c r="X129" s="74">
        <v>35508</v>
      </c>
      <c r="Y129" s="74">
        <v>35167</v>
      </c>
      <c r="Z129" s="27">
        <f>Y129</f>
        <v>35167</v>
      </c>
      <c r="AA129" s="27"/>
      <c r="AB129" s="74">
        <v>36697</v>
      </c>
      <c r="AC129" s="74">
        <v>36934</v>
      </c>
      <c r="AD129" s="74">
        <v>38361</v>
      </c>
      <c r="AE129" s="74">
        <v>39282</v>
      </c>
      <c r="AF129" s="27">
        <f>AE129</f>
        <v>39282</v>
      </c>
      <c r="AG129" s="27"/>
      <c r="AH129" s="74">
        <v>40820</v>
      </c>
      <c r="AI129" s="74">
        <v>41263</v>
      </c>
      <c r="AJ129" s="74">
        <v>43304</v>
      </c>
      <c r="AK129" s="74">
        <v>43514</v>
      </c>
      <c r="AL129" s="27">
        <f>AK129</f>
        <v>43514</v>
      </c>
      <c r="AM129" s="78"/>
      <c r="AN129" s="74">
        <v>45457</v>
      </c>
      <c r="AO129" s="248">
        <v>47094</v>
      </c>
      <c r="AP129" s="74">
        <v>49888</v>
      </c>
      <c r="AQ129" s="248">
        <v>51250</v>
      </c>
      <c r="AR129" s="235">
        <f>AQ129</f>
        <v>51250</v>
      </c>
      <c r="AS129" s="27"/>
      <c r="AT129" s="74">
        <v>54108</v>
      </c>
      <c r="AU129" s="248">
        <v>55455</v>
      </c>
      <c r="AV129" s="248">
        <v>57920</v>
      </c>
      <c r="AW129" s="564">
        <f>AV129+AW60+AW61-(AW83*AW80)</f>
        <v>59633.684813795582</v>
      </c>
      <c r="AX129" s="27">
        <f t="shared" ref="AX129" si="1249">AW129</f>
        <v>59633.684813795582</v>
      </c>
      <c r="AY129" s="27"/>
      <c r="AZ129" s="565">
        <f>AX129+AZ60+AZ61-(AZ83*AZ80)</f>
        <v>61455.461727337941</v>
      </c>
      <c r="BA129" s="565">
        <f>AZ129+BA60+BA61-(BA83*BA80)</f>
        <v>63453.093901278044</v>
      </c>
      <c r="BB129" s="565">
        <f t="shared" ref="BB129:BC129" si="1250">BA129+BB60+BB61-(BB83*BB80)</f>
        <v>65158.415009660639</v>
      </c>
      <c r="BC129" s="565">
        <f t="shared" si="1250"/>
        <v>66914.725489512726</v>
      </c>
      <c r="BD129" s="27">
        <f t="shared" ref="BD129" si="1251">BC129</f>
        <v>66914.725489512726</v>
      </c>
      <c r="BE129" s="27"/>
      <c r="BF129" s="565">
        <f>BD129+BF60+BF61-(BF83*BF80)</f>
        <v>68914.220851227277</v>
      </c>
      <c r="BG129" s="565">
        <f>BF129+BG60+BG61-(BG83*BG80)</f>
        <v>71104.40619527486</v>
      </c>
      <c r="BH129" s="565">
        <f t="shared" ref="BH129:BI129" si="1252">BG129+BH60+BH61-(BH83*BH80)</f>
        <v>72997.119251614451</v>
      </c>
      <c r="BI129" s="565">
        <f t="shared" si="1252"/>
        <v>74950.395212843607</v>
      </c>
      <c r="BJ129" s="27">
        <f t="shared" ref="BJ129" si="1253">BI129</f>
        <v>74950.395212843607</v>
      </c>
      <c r="BK129" s="27"/>
      <c r="BL129" s="565">
        <f>BJ129+BL60+BL61-(BL83*BL80)</f>
        <v>77078.933857880038</v>
      </c>
      <c r="BM129" s="565">
        <f>BL129+BM60+BM61-(BM83*BM80)</f>
        <v>79410.884751420555</v>
      </c>
      <c r="BN129" s="565">
        <f t="shared" ref="BN129:BO129" si="1254">BM129+BN60+BN61-(BN83*BN80)</f>
        <v>81440.804839113087</v>
      </c>
      <c r="BO129" s="565">
        <f t="shared" si="1254"/>
        <v>83538.518641770643</v>
      </c>
      <c r="BP129" s="27">
        <f t="shared" ref="BP129" si="1255">BO129</f>
        <v>83538.518641770643</v>
      </c>
      <c r="BQ129" s="27"/>
      <c r="BR129" s="565">
        <f>BP129+BR60+BR61-(BR83*BR80)</f>
        <v>85806.878624628633</v>
      </c>
      <c r="BS129" s="565">
        <f>BR129+BS60+BS61-(BS83*BS80)</f>
        <v>88291.035023386677</v>
      </c>
      <c r="BT129" s="565">
        <f t="shared" ref="BT129:BU129" si="1256">BS129+BT60+BT61-(BT83*BT80)</f>
        <v>90469.956715950451</v>
      </c>
      <c r="BU129" s="565">
        <f t="shared" si="1256"/>
        <v>92725.572701385565</v>
      </c>
      <c r="BV129" s="27">
        <f t="shared" ref="BV129" si="1257">BU129</f>
        <v>92725.572701385565</v>
      </c>
      <c r="BW129" s="27"/>
      <c r="BX129" s="565">
        <f>BV129+BX60+BX61-(BX83*BX80)</f>
        <v>95145.470802308235</v>
      </c>
      <c r="BY129" s="565">
        <f>BX129+BY60+BY61-(BY83*BY80)</f>
        <v>97797.939583000159</v>
      </c>
      <c r="BZ129" s="565">
        <f t="shared" ref="BZ129:CA129" si="1258">BY129+BZ60+BZ61-(BZ83*BZ80)</f>
        <v>100141.14427944079</v>
      </c>
      <c r="CA129" s="565">
        <f t="shared" si="1258"/>
        <v>102569.13081377928</v>
      </c>
      <c r="CB129" s="27">
        <f t="shared" ref="CB129" si="1259">CA129</f>
        <v>102569.13081377928</v>
      </c>
      <c r="CC129" s="27"/>
      <c r="CD129" s="565">
        <f>CB129+CD60+CD61-(CD83*CD80)</f>
        <v>105153.43042164216</v>
      </c>
      <c r="CE129" s="565">
        <f>CD129+CE60+CE61-(CE83*CE80)</f>
        <v>107981.50386487137</v>
      </c>
      <c r="CF129" s="565">
        <f t="shared" ref="CF129:CG129" si="1260">CE129+CF60+CF61-(CF83*CF80)</f>
        <v>110499.46266357193</v>
      </c>
      <c r="CG129" s="565">
        <f t="shared" si="1260"/>
        <v>113113.84261431299</v>
      </c>
      <c r="CH129" s="27">
        <f t="shared" ref="CH129" si="1261">CG129</f>
        <v>113113.84261431299</v>
      </c>
      <c r="CI129" s="27"/>
      <c r="CJ129" s="565">
        <f>CH129+CJ60+CJ61-(CJ83*CJ80)</f>
        <v>115885.47840561872</v>
      </c>
      <c r="CK129" s="565">
        <f>CJ129+CK60+CK61-(CK83*CK80)</f>
        <v>118921.78925911871</v>
      </c>
      <c r="CL129" s="565">
        <f t="shared" ref="CL129:CM129" si="1262">CK129+CL60+CL61-(CL83*CL80)</f>
        <v>121645.50700128076</v>
      </c>
      <c r="CM129" s="565">
        <f t="shared" si="1262"/>
        <v>124474.89794361018</v>
      </c>
      <c r="CN129" s="27">
        <f t="shared" ref="CN129" si="1263">CM129</f>
        <v>124474.89794361018</v>
      </c>
    </row>
    <row r="130" spans="2:92" ht="12.95" customHeight="1" x14ac:dyDescent="0.25">
      <c r="B130" s="31" t="s">
        <v>441</v>
      </c>
      <c r="D130" s="74">
        <v>-1827</v>
      </c>
      <c r="E130" s="74">
        <v>-1471</v>
      </c>
      <c r="F130" s="74">
        <v>-1233</v>
      </c>
      <c r="G130" s="74">
        <v>-1192</v>
      </c>
      <c r="H130" s="27">
        <f>G130</f>
        <v>-1192</v>
      </c>
      <c r="I130" s="6"/>
      <c r="J130" s="74">
        <v>-1016</v>
      </c>
      <c r="K130" s="74">
        <v>-1496</v>
      </c>
      <c r="L130" s="74">
        <v>-1568</v>
      </c>
      <c r="M130" s="74">
        <v>-1684</v>
      </c>
      <c r="N130" s="27">
        <f>M130</f>
        <v>-1684</v>
      </c>
      <c r="O130" s="6"/>
      <c r="P130" s="74">
        <v>-1588</v>
      </c>
      <c r="Q130" s="74">
        <v>-1499</v>
      </c>
      <c r="R130" s="74">
        <v>-1783</v>
      </c>
      <c r="S130" s="74">
        <v>-1567</v>
      </c>
      <c r="T130" s="27">
        <f>S130</f>
        <v>-1567</v>
      </c>
      <c r="U130" s="6"/>
      <c r="V130" s="74">
        <v>-2012</v>
      </c>
      <c r="W130" s="74">
        <v>-1815</v>
      </c>
      <c r="X130" s="74">
        <v>-1448</v>
      </c>
      <c r="Y130" s="74">
        <v>-888</v>
      </c>
      <c r="Z130" s="27">
        <f>Y130</f>
        <v>-888</v>
      </c>
      <c r="AA130" s="27"/>
      <c r="AB130" s="74">
        <v>-1290</v>
      </c>
      <c r="AC130" s="74">
        <v>-1154</v>
      </c>
      <c r="AD130" s="74">
        <v>-1440</v>
      </c>
      <c r="AE130" s="74">
        <v>-1553</v>
      </c>
      <c r="AF130" s="27">
        <f>AE130</f>
        <v>-1553</v>
      </c>
      <c r="AG130" s="27"/>
      <c r="AH130" s="27">
        <v>-1710</v>
      </c>
      <c r="AI130" s="74">
        <v>-2499</v>
      </c>
      <c r="AJ130" s="74">
        <v>-3353</v>
      </c>
      <c r="AK130" s="74">
        <v>-2457</v>
      </c>
      <c r="AL130" s="27">
        <f>AK130</f>
        <v>-2457</v>
      </c>
      <c r="AM130" s="78"/>
      <c r="AN130" s="74">
        <v>-1746</v>
      </c>
      <c r="AO130" s="248">
        <v>-1946</v>
      </c>
      <c r="AP130" s="74">
        <v>-2232</v>
      </c>
      <c r="AQ130" s="248">
        <v>-1820</v>
      </c>
      <c r="AR130" s="235">
        <f>AQ130</f>
        <v>-1820</v>
      </c>
      <c r="AS130" s="27"/>
      <c r="AT130" s="74">
        <v>-2093</v>
      </c>
      <c r="AU130" s="248">
        <v>-2230</v>
      </c>
      <c r="AV130" s="248">
        <v>-1717</v>
      </c>
      <c r="AW130" s="158">
        <f>AV130</f>
        <v>-1717</v>
      </c>
      <c r="AX130" s="27">
        <f>AW130</f>
        <v>-1717</v>
      </c>
      <c r="AY130" s="27"/>
      <c r="AZ130" s="235">
        <f>AX130</f>
        <v>-1717</v>
      </c>
      <c r="BA130" s="235">
        <f>AZ130</f>
        <v>-1717</v>
      </c>
      <c r="BB130" s="235">
        <f t="shared" ref="BB130:BC130" si="1264">BA130</f>
        <v>-1717</v>
      </c>
      <c r="BC130" s="235">
        <f t="shared" si="1264"/>
        <v>-1717</v>
      </c>
      <c r="BD130" s="27">
        <f>BC130</f>
        <v>-1717</v>
      </c>
      <c r="BE130" s="27"/>
      <c r="BF130" s="235">
        <f>BD130</f>
        <v>-1717</v>
      </c>
      <c r="BG130" s="235">
        <f>BF130</f>
        <v>-1717</v>
      </c>
      <c r="BH130" s="235">
        <f t="shared" ref="BH130:BI130" si="1265">BG130</f>
        <v>-1717</v>
      </c>
      <c r="BI130" s="235">
        <f t="shared" si="1265"/>
        <v>-1717</v>
      </c>
      <c r="BJ130" s="27">
        <f>BI130</f>
        <v>-1717</v>
      </c>
      <c r="BK130" s="27"/>
      <c r="BL130" s="235">
        <f>BJ130</f>
        <v>-1717</v>
      </c>
      <c r="BM130" s="235">
        <f>BL130</f>
        <v>-1717</v>
      </c>
      <c r="BN130" s="235">
        <f t="shared" ref="BN130:BO130" si="1266">BM130</f>
        <v>-1717</v>
      </c>
      <c r="BO130" s="235">
        <f t="shared" si="1266"/>
        <v>-1717</v>
      </c>
      <c r="BP130" s="27">
        <f>BO130</f>
        <v>-1717</v>
      </c>
      <c r="BQ130" s="27"/>
      <c r="BR130" s="235">
        <f>BP130</f>
        <v>-1717</v>
      </c>
      <c r="BS130" s="235">
        <f>BR130</f>
        <v>-1717</v>
      </c>
      <c r="BT130" s="235">
        <f t="shared" ref="BT130:BU130" si="1267">BS130</f>
        <v>-1717</v>
      </c>
      <c r="BU130" s="235">
        <f t="shared" si="1267"/>
        <v>-1717</v>
      </c>
      <c r="BV130" s="27">
        <f>BU130</f>
        <v>-1717</v>
      </c>
      <c r="BW130" s="27"/>
      <c r="BX130" s="235">
        <f>BV130</f>
        <v>-1717</v>
      </c>
      <c r="BY130" s="235">
        <f>BX130</f>
        <v>-1717</v>
      </c>
      <c r="BZ130" s="235">
        <f t="shared" ref="BZ130:CA130" si="1268">BY130</f>
        <v>-1717</v>
      </c>
      <c r="CA130" s="235">
        <f t="shared" si="1268"/>
        <v>-1717</v>
      </c>
      <c r="CB130" s="27">
        <f>CA130</f>
        <v>-1717</v>
      </c>
      <c r="CC130" s="27"/>
      <c r="CD130" s="235">
        <f>CB130</f>
        <v>-1717</v>
      </c>
      <c r="CE130" s="235">
        <f>CD130</f>
        <v>-1717</v>
      </c>
      <c r="CF130" s="235">
        <f t="shared" ref="CF130:CG130" si="1269">CE130</f>
        <v>-1717</v>
      </c>
      <c r="CG130" s="235">
        <f t="shared" si="1269"/>
        <v>-1717</v>
      </c>
      <c r="CH130" s="27">
        <f>CG130</f>
        <v>-1717</v>
      </c>
      <c r="CI130" s="27"/>
      <c r="CJ130" s="235">
        <f>CH130</f>
        <v>-1717</v>
      </c>
      <c r="CK130" s="235">
        <f>CJ130</f>
        <v>-1717</v>
      </c>
      <c r="CL130" s="235">
        <f t="shared" ref="CL130:CM130" si="1270">CK130</f>
        <v>-1717</v>
      </c>
      <c r="CM130" s="235">
        <f t="shared" si="1270"/>
        <v>-1717</v>
      </c>
      <c r="CN130" s="27">
        <f>CM130</f>
        <v>-1717</v>
      </c>
    </row>
    <row r="131" spans="2:92" ht="12.95" customHeight="1" x14ac:dyDescent="0.25">
      <c r="B131" s="31" t="s">
        <v>442</v>
      </c>
      <c r="D131" s="74">
        <v>72</v>
      </c>
      <c r="E131" s="74">
        <v>70</v>
      </c>
      <c r="F131" s="74">
        <v>70</v>
      </c>
      <c r="G131" s="74">
        <v>69</v>
      </c>
      <c r="H131" s="27">
        <f>+G131</f>
        <v>69</v>
      </c>
      <c r="I131" s="6"/>
      <c r="J131" s="74">
        <v>66</v>
      </c>
      <c r="K131" s="74">
        <v>63</v>
      </c>
      <c r="L131" s="74">
        <v>40</v>
      </c>
      <c r="M131" s="74">
        <v>41</v>
      </c>
      <c r="N131" s="27">
        <f>+M131</f>
        <v>41</v>
      </c>
      <c r="O131" s="6"/>
      <c r="P131" s="74">
        <v>41</v>
      </c>
      <c r="Q131" s="74">
        <v>41</v>
      </c>
      <c r="R131" s="74">
        <v>41</v>
      </c>
      <c r="S131" s="74">
        <v>41</v>
      </c>
      <c r="T131" s="27">
        <f>+S131</f>
        <v>41</v>
      </c>
      <c r="U131" s="6"/>
      <c r="V131" s="74">
        <v>42</v>
      </c>
      <c r="W131" s="74">
        <v>43</v>
      </c>
      <c r="X131" s="74">
        <v>45</v>
      </c>
      <c r="Y131" s="74">
        <v>47</v>
      </c>
      <c r="Z131" s="27">
        <f>+Y131</f>
        <v>47</v>
      </c>
      <c r="AA131" s="27"/>
      <c r="AB131" s="74">
        <v>44</v>
      </c>
      <c r="AC131" s="74">
        <v>47</v>
      </c>
      <c r="AD131" s="74">
        <v>30</v>
      </c>
      <c r="AE131" s="74">
        <v>32</v>
      </c>
      <c r="AF131" s="27">
        <f>+AE131</f>
        <v>32</v>
      </c>
      <c r="AG131" s="27"/>
      <c r="AH131" s="27">
        <v>32</v>
      </c>
      <c r="AI131" s="74">
        <v>32</v>
      </c>
      <c r="AJ131" s="74">
        <v>31</v>
      </c>
      <c r="AK131" s="74">
        <v>22</v>
      </c>
      <c r="AL131" s="27">
        <f>+AK131</f>
        <v>22</v>
      </c>
      <c r="AM131" s="78"/>
      <c r="AN131" s="74">
        <v>21</v>
      </c>
      <c r="AO131" s="248">
        <v>21</v>
      </c>
      <c r="AP131" s="74">
        <v>18</v>
      </c>
      <c r="AQ131" s="248">
        <v>9</v>
      </c>
      <c r="AR131" s="235">
        <f>+AQ131</f>
        <v>9</v>
      </c>
      <c r="AS131" s="27"/>
      <c r="AT131" s="74">
        <v>6</v>
      </c>
      <c r="AU131" s="248">
        <v>6</v>
      </c>
      <c r="AV131" s="248">
        <v>6</v>
      </c>
      <c r="AW131" s="158">
        <f>AV131</f>
        <v>6</v>
      </c>
      <c r="AX131" s="27">
        <f>AW131</f>
        <v>6</v>
      </c>
      <c r="AY131" s="27"/>
      <c r="AZ131" s="235">
        <f>AX131</f>
        <v>6</v>
      </c>
      <c r="BA131" s="235">
        <f>AZ131</f>
        <v>6</v>
      </c>
      <c r="BB131" s="235">
        <f t="shared" ref="BB131:BC131" si="1271">BA131</f>
        <v>6</v>
      </c>
      <c r="BC131" s="235">
        <f t="shared" si="1271"/>
        <v>6</v>
      </c>
      <c r="BD131" s="27">
        <f>BC131</f>
        <v>6</v>
      </c>
      <c r="BE131" s="27"/>
      <c r="BF131" s="235">
        <f>BD131</f>
        <v>6</v>
      </c>
      <c r="BG131" s="235">
        <f>BF131</f>
        <v>6</v>
      </c>
      <c r="BH131" s="235">
        <f t="shared" ref="BH131:BI131" si="1272">BG131</f>
        <v>6</v>
      </c>
      <c r="BI131" s="235">
        <f t="shared" si="1272"/>
        <v>6</v>
      </c>
      <c r="BJ131" s="27">
        <f>BI131</f>
        <v>6</v>
      </c>
      <c r="BK131" s="27"/>
      <c r="BL131" s="235">
        <f>BJ131</f>
        <v>6</v>
      </c>
      <c r="BM131" s="235">
        <f>BL131</f>
        <v>6</v>
      </c>
      <c r="BN131" s="235">
        <f t="shared" ref="BN131:BO131" si="1273">BM131</f>
        <v>6</v>
      </c>
      <c r="BO131" s="235">
        <f t="shared" si="1273"/>
        <v>6</v>
      </c>
      <c r="BP131" s="27">
        <f>BO131</f>
        <v>6</v>
      </c>
      <c r="BQ131" s="27"/>
      <c r="BR131" s="235">
        <f>BP131</f>
        <v>6</v>
      </c>
      <c r="BS131" s="235">
        <f>BR131</f>
        <v>6</v>
      </c>
      <c r="BT131" s="235">
        <f t="shared" ref="BT131:BU131" si="1274">BS131</f>
        <v>6</v>
      </c>
      <c r="BU131" s="235">
        <f t="shared" si="1274"/>
        <v>6</v>
      </c>
      <c r="BV131" s="27">
        <f>BU131</f>
        <v>6</v>
      </c>
      <c r="BW131" s="27"/>
      <c r="BX131" s="235">
        <f>BV131</f>
        <v>6</v>
      </c>
      <c r="BY131" s="235">
        <f>BX131</f>
        <v>6</v>
      </c>
      <c r="BZ131" s="235">
        <f t="shared" ref="BZ131:CA131" si="1275">BY131</f>
        <v>6</v>
      </c>
      <c r="CA131" s="235">
        <f t="shared" si="1275"/>
        <v>6</v>
      </c>
      <c r="CB131" s="27">
        <f>CA131</f>
        <v>6</v>
      </c>
      <c r="CC131" s="27"/>
      <c r="CD131" s="235">
        <f>CB131</f>
        <v>6</v>
      </c>
      <c r="CE131" s="235">
        <f>CD131</f>
        <v>6</v>
      </c>
      <c r="CF131" s="235">
        <f t="shared" ref="CF131:CG131" si="1276">CE131</f>
        <v>6</v>
      </c>
      <c r="CG131" s="235">
        <f t="shared" si="1276"/>
        <v>6</v>
      </c>
      <c r="CH131" s="27">
        <f>CG131</f>
        <v>6</v>
      </c>
      <c r="CI131" s="27"/>
      <c r="CJ131" s="235">
        <f>CH131</f>
        <v>6</v>
      </c>
      <c r="CK131" s="235">
        <f>CJ131</f>
        <v>6</v>
      </c>
      <c r="CL131" s="235">
        <f t="shared" ref="CL131:CM131" si="1277">CK131</f>
        <v>6</v>
      </c>
      <c r="CM131" s="235">
        <f t="shared" si="1277"/>
        <v>6</v>
      </c>
      <c r="CN131" s="27">
        <f>CM131</f>
        <v>6</v>
      </c>
    </row>
    <row r="132" spans="2:92" ht="12.95" customHeight="1" x14ac:dyDescent="0.25">
      <c r="B132" s="33" t="s">
        <v>68</v>
      </c>
      <c r="C132" s="4"/>
      <c r="D132" s="72">
        <f t="shared" ref="D132:H132" si="1278">SUM(D127:D131)</f>
        <v>13660</v>
      </c>
      <c r="E132" s="72">
        <f t="shared" si="1278"/>
        <v>14079</v>
      </c>
      <c r="F132" s="72">
        <f t="shared" si="1278"/>
        <v>15697</v>
      </c>
      <c r="G132" s="72">
        <f t="shared" si="1278"/>
        <v>13766</v>
      </c>
      <c r="H132" s="72">
        <f t="shared" si="1278"/>
        <v>13766</v>
      </c>
      <c r="I132" s="12"/>
      <c r="J132" s="72">
        <f t="shared" ref="J132:N132" si="1279">SUM(J127:J131)</f>
        <v>15272</v>
      </c>
      <c r="K132" s="72">
        <f t="shared" si="1279"/>
        <v>14942</v>
      </c>
      <c r="L132" s="72">
        <f t="shared" si="1279"/>
        <v>15890</v>
      </c>
      <c r="M132" s="72">
        <f t="shared" si="1279"/>
        <v>14080</v>
      </c>
      <c r="N132" s="72">
        <f t="shared" si="1279"/>
        <v>14080</v>
      </c>
      <c r="O132" s="12"/>
      <c r="P132" s="72">
        <f>SUM(P127:P131)</f>
        <v>15478</v>
      </c>
      <c r="Q132" s="72">
        <f>SUM(Q127:Q131)</f>
        <v>14878</v>
      </c>
      <c r="R132" s="72">
        <f>SUM(R127:R131)</f>
        <v>14993</v>
      </c>
      <c r="S132" s="72">
        <f>SUM(S127:S131)</f>
        <v>14629</v>
      </c>
      <c r="T132" s="72">
        <f>SUM(T127:T131)</f>
        <v>14629</v>
      </c>
      <c r="U132" s="12"/>
      <c r="V132" s="72">
        <f>SUM(V127:V131)</f>
        <v>14239</v>
      </c>
      <c r="W132" s="72">
        <f>SUM(W127:W131)</f>
        <v>13777</v>
      </c>
      <c r="X132" s="72">
        <f>SUM(X127:X131)</f>
        <v>14994</v>
      </c>
      <c r="Y132" s="72">
        <f>SUM(Y127:Y131)</f>
        <v>15378</v>
      </c>
      <c r="Z132" s="72">
        <f>SUM(Z127:Z131)</f>
        <v>15378</v>
      </c>
      <c r="AA132" s="72"/>
      <c r="AB132" s="72">
        <f>SUM(AB127:AB131)</f>
        <v>16617</v>
      </c>
      <c r="AC132" s="72">
        <f t="shared" ref="AC132:AF132" si="1280">SUM(AC127:AC131)</f>
        <v>16880</v>
      </c>
      <c r="AD132" s="72">
        <f t="shared" si="1280"/>
        <v>16695</v>
      </c>
      <c r="AE132" s="72">
        <f t="shared" si="1280"/>
        <v>16516</v>
      </c>
      <c r="AF132" s="72">
        <f t="shared" si="1280"/>
        <v>16516</v>
      </c>
      <c r="AG132" s="72"/>
      <c r="AH132" s="72">
        <f>SUM(AH127:AH131)</f>
        <v>17097</v>
      </c>
      <c r="AI132" s="72">
        <f t="shared" ref="AI132" si="1281">SUM(AI127:AI131)</f>
        <v>15759</v>
      </c>
      <c r="AJ132" s="72">
        <f t="shared" ref="AJ132:AL132" si="1282">SUM(AJ127:AJ131)</f>
        <v>15622</v>
      </c>
      <c r="AK132" s="72">
        <f t="shared" si="1282"/>
        <v>15891</v>
      </c>
      <c r="AL132" s="72">
        <f t="shared" si="1282"/>
        <v>15891</v>
      </c>
      <c r="AM132" s="80"/>
      <c r="AN132" s="72">
        <f>SUM(AN127:AN131)</f>
        <v>18170</v>
      </c>
      <c r="AO132" s="72">
        <f t="shared" ref="AO132" si="1283">SUM(AO127:AO131)</f>
        <v>18256</v>
      </c>
      <c r="AP132" s="72">
        <f t="shared" ref="AP132" si="1284">SUM(AP127:AP131)</f>
        <v>20507</v>
      </c>
      <c r="AQ132" s="72">
        <f t="shared" ref="AQ132" si="1285">SUM(AQ127:AQ131)</f>
        <v>19503</v>
      </c>
      <c r="AR132" s="72">
        <f t="shared" ref="AR132" si="1286">SUM(AR127:AR131)</f>
        <v>19503</v>
      </c>
      <c r="AS132" s="72"/>
      <c r="AT132" s="72">
        <f>SUM(AT127:AT131)</f>
        <v>17645</v>
      </c>
      <c r="AU132" s="72">
        <f t="shared" ref="AU132:AW132" si="1287">SUM(AU127:AU131)</f>
        <v>17136</v>
      </c>
      <c r="AV132" s="72">
        <f t="shared" ref="AV132" si="1288">SUM(AV127:AV131)</f>
        <v>19403</v>
      </c>
      <c r="AW132" s="361">
        <f t="shared" si="1287"/>
        <v>20316.684813795582</v>
      </c>
      <c r="AX132" s="72">
        <f t="shared" ref="AX132" si="1289">SUM(AX127:AX131)</f>
        <v>20316.684813795582</v>
      </c>
      <c r="AY132" s="72"/>
      <c r="AZ132" s="72">
        <f t="shared" ref="AZ132:BA132" si="1290">SUM(AZ127:AZ131)</f>
        <v>20638.461727337941</v>
      </c>
      <c r="BA132" s="72">
        <f t="shared" si="1290"/>
        <v>21136.093901278044</v>
      </c>
      <c r="BB132" s="72">
        <f t="shared" ref="BB132:BD132" si="1291">SUM(BB127:BB131)</f>
        <v>21341.415009660639</v>
      </c>
      <c r="BC132" s="72">
        <f t="shared" si="1291"/>
        <v>21597.725489512726</v>
      </c>
      <c r="BD132" s="72">
        <f t="shared" si="1291"/>
        <v>21597.725489512726</v>
      </c>
      <c r="BE132" s="72"/>
      <c r="BF132" s="72">
        <f t="shared" ref="BF132:BJ132" si="1292">SUM(BF127:BF131)</f>
        <v>22097.220851227277</v>
      </c>
      <c r="BG132" s="72">
        <f t="shared" si="1292"/>
        <v>22787.40619527486</v>
      </c>
      <c r="BH132" s="72">
        <f t="shared" si="1292"/>
        <v>22930.119251614451</v>
      </c>
      <c r="BI132" s="72">
        <f t="shared" si="1292"/>
        <v>23133.395212843607</v>
      </c>
      <c r="BJ132" s="72">
        <f t="shared" si="1292"/>
        <v>23133.395212843607</v>
      </c>
      <c r="BK132" s="72"/>
      <c r="BL132" s="72">
        <f t="shared" ref="BL132:BP132" si="1293">SUM(BL127:BL131)</f>
        <v>23511.933857880038</v>
      </c>
      <c r="BM132" s="72">
        <f t="shared" si="1293"/>
        <v>24093.884751420555</v>
      </c>
      <c r="BN132" s="72">
        <f t="shared" si="1293"/>
        <v>24373.804839113087</v>
      </c>
      <c r="BO132" s="72">
        <f t="shared" si="1293"/>
        <v>24721.518641770643</v>
      </c>
      <c r="BP132" s="72">
        <f t="shared" si="1293"/>
        <v>24721.518641770643</v>
      </c>
      <c r="BQ132" s="72"/>
      <c r="BR132" s="72">
        <f t="shared" ref="BR132:BV132" si="1294">SUM(BR127:BR131)</f>
        <v>25239.878624628633</v>
      </c>
      <c r="BS132" s="72">
        <f t="shared" si="1294"/>
        <v>25974.035023386677</v>
      </c>
      <c r="BT132" s="72">
        <f t="shared" si="1294"/>
        <v>26152.956715950451</v>
      </c>
      <c r="BU132" s="72">
        <f t="shared" si="1294"/>
        <v>26408.572701385565</v>
      </c>
      <c r="BV132" s="72">
        <f t="shared" si="1294"/>
        <v>26408.572701385565</v>
      </c>
      <c r="BW132" s="72"/>
      <c r="BX132" s="72">
        <f t="shared" ref="BX132:CB132" si="1295">SUM(BX127:BX131)</f>
        <v>26828.470802308235</v>
      </c>
      <c r="BY132" s="72">
        <f t="shared" si="1295"/>
        <v>27480.939583000159</v>
      </c>
      <c r="BZ132" s="72">
        <f t="shared" si="1295"/>
        <v>27824.144279440792</v>
      </c>
      <c r="CA132" s="72">
        <f t="shared" si="1295"/>
        <v>28252.13081377928</v>
      </c>
      <c r="CB132" s="72">
        <f t="shared" si="1295"/>
        <v>28252.13081377928</v>
      </c>
      <c r="CC132" s="72"/>
      <c r="CD132" s="72">
        <f t="shared" ref="CD132:CH132" si="1296">SUM(CD127:CD131)</f>
        <v>28836.430421642159</v>
      </c>
      <c r="CE132" s="72">
        <f t="shared" si="1296"/>
        <v>29664.503864871367</v>
      </c>
      <c r="CF132" s="72">
        <f t="shared" si="1296"/>
        <v>29682.462663571932</v>
      </c>
      <c r="CG132" s="72">
        <f t="shared" si="1296"/>
        <v>29796.842614312991</v>
      </c>
      <c r="CH132" s="72">
        <f t="shared" si="1296"/>
        <v>29796.842614312991</v>
      </c>
      <c r="CI132" s="72"/>
      <c r="CJ132" s="72">
        <f t="shared" ref="CJ132:CN132" si="1297">SUM(CJ127:CJ131)</f>
        <v>30068.47840561872</v>
      </c>
      <c r="CK132" s="72">
        <f t="shared" si="1297"/>
        <v>30604.789259118712</v>
      </c>
      <c r="CL132" s="72">
        <f t="shared" si="1297"/>
        <v>30828.507001280756</v>
      </c>
      <c r="CM132" s="72">
        <f t="shared" si="1297"/>
        <v>31157.89794361018</v>
      </c>
      <c r="CN132" s="72">
        <f t="shared" si="1297"/>
        <v>31157.89794361018</v>
      </c>
    </row>
    <row r="133" spans="2:92" ht="12.95" customHeight="1" x14ac:dyDescent="0.25">
      <c r="B133" s="2" t="s">
        <v>69</v>
      </c>
      <c r="D133" s="27">
        <f t="shared" ref="D133:H133" si="1298">D132+D125</f>
        <v>77549</v>
      </c>
      <c r="E133" s="27">
        <f t="shared" si="1298"/>
        <v>78510</v>
      </c>
      <c r="F133" s="27">
        <f t="shared" si="1298"/>
        <v>78560</v>
      </c>
      <c r="G133" s="27">
        <f t="shared" si="1298"/>
        <v>76962</v>
      </c>
      <c r="H133" s="27">
        <f t="shared" si="1298"/>
        <v>76962</v>
      </c>
      <c r="I133" s="6"/>
      <c r="J133" s="27">
        <f t="shared" ref="J133:N133" si="1299">J132+J125</f>
        <v>78014</v>
      </c>
      <c r="K133" s="27">
        <f t="shared" si="1299"/>
        <v>78987</v>
      </c>
      <c r="L133" s="27">
        <f t="shared" si="1299"/>
        <v>78209</v>
      </c>
      <c r="M133" s="27">
        <f t="shared" si="1299"/>
        <v>78509</v>
      </c>
      <c r="N133" s="27">
        <f t="shared" si="1299"/>
        <v>78509</v>
      </c>
      <c r="O133" s="6"/>
      <c r="P133" s="27">
        <f>P132+P125</f>
        <v>78726</v>
      </c>
      <c r="Q133" s="27">
        <f>Q132+Q125</f>
        <v>79187</v>
      </c>
      <c r="R133" s="27">
        <f>R132+R125</f>
        <v>77993</v>
      </c>
      <c r="S133" s="27">
        <f>S132+S125</f>
        <v>78453</v>
      </c>
      <c r="T133" s="27">
        <f>T132+T125</f>
        <v>78453</v>
      </c>
      <c r="U133" s="6"/>
      <c r="V133" s="27">
        <f>V132+V125</f>
        <v>75894</v>
      </c>
      <c r="W133" s="27">
        <f>W132+W125</f>
        <v>76566</v>
      </c>
      <c r="X133" s="27">
        <f>X132+X125</f>
        <v>76741</v>
      </c>
      <c r="Y133" s="27">
        <f>Y132+Y125</f>
        <v>78324</v>
      </c>
      <c r="Z133" s="27">
        <f>Z132+Z125</f>
        <v>78324</v>
      </c>
      <c r="AA133" s="27"/>
      <c r="AB133" s="27">
        <f>AB132+AB125</f>
        <v>80729</v>
      </c>
      <c r="AC133" s="27">
        <f t="shared" ref="AC133:AF133" si="1300">AC132+AC125</f>
        <v>81697</v>
      </c>
      <c r="AD133" s="27">
        <f t="shared" si="1300"/>
        <v>80784</v>
      </c>
      <c r="AE133" s="27">
        <f t="shared" si="1300"/>
        <v>82793</v>
      </c>
      <c r="AF133" s="27">
        <f t="shared" si="1300"/>
        <v>82793</v>
      </c>
      <c r="AG133" s="27"/>
      <c r="AH133" s="27">
        <f>AH132+AH125</f>
        <v>82276</v>
      </c>
      <c r="AI133" s="27">
        <f t="shared" ref="AI133" si="1301">AI132+AI125</f>
        <v>81107</v>
      </c>
      <c r="AJ133" s="27">
        <f t="shared" ref="AJ133:AL133" si="1302">AJ132+AJ125</f>
        <v>80907</v>
      </c>
      <c r="AK133" s="27">
        <f t="shared" si="1302"/>
        <v>81943</v>
      </c>
      <c r="AL133" s="27">
        <f t="shared" si="1302"/>
        <v>81943</v>
      </c>
      <c r="AM133" s="78"/>
      <c r="AN133" s="27">
        <f>AN132+AN125</f>
        <v>83649</v>
      </c>
      <c r="AO133" s="235">
        <f t="shared" ref="AO133" si="1303">AO132+AO125</f>
        <v>85427</v>
      </c>
      <c r="AP133" s="27">
        <f t="shared" ref="AP133" si="1304">AP132+AP125</f>
        <v>86791</v>
      </c>
      <c r="AQ133" s="235">
        <f t="shared" ref="AQ133" si="1305">AQ132+AQ125</f>
        <v>87476</v>
      </c>
      <c r="AR133" s="235">
        <f t="shared" ref="AR133" si="1306">AR132+AR125</f>
        <v>87476</v>
      </c>
      <c r="AS133" s="27"/>
      <c r="AT133" s="27">
        <f>AT132+AT125</f>
        <v>83741</v>
      </c>
      <c r="AU133" s="235">
        <f t="shared" ref="AU133:AW133" si="1307">AU132+AU125</f>
        <v>83336</v>
      </c>
      <c r="AV133" s="235">
        <f t="shared" ref="AV133" si="1308">AV132+AV125</f>
        <v>86273</v>
      </c>
      <c r="AW133" s="158">
        <f t="shared" si="1307"/>
        <v>87209.819694549922</v>
      </c>
      <c r="AX133" s="235">
        <f t="shared" ref="AX133" si="1309">AX132+AX125</f>
        <v>87209.819694549922</v>
      </c>
      <c r="AY133" s="27"/>
      <c r="AZ133" s="235">
        <f t="shared" ref="AZ133:BA133" si="1310">AZ132+AZ125</f>
        <v>86360.47325316268</v>
      </c>
      <c r="BA133" s="235">
        <f t="shared" si="1310"/>
        <v>86860.846790640047</v>
      </c>
      <c r="BB133" s="235">
        <f t="shared" ref="BB133:BD133" si="1311">BB132+BB125</f>
        <v>88229.457779991091</v>
      </c>
      <c r="BC133" s="235">
        <f t="shared" si="1311"/>
        <v>88639.047063560705</v>
      </c>
      <c r="BD133" s="235">
        <f t="shared" si="1311"/>
        <v>88639.047063560705</v>
      </c>
      <c r="BE133" s="27"/>
      <c r="BF133" s="235">
        <f t="shared" ref="BF133:BJ133" si="1312">BF132+BF125</f>
        <v>88632.191262390319</v>
      </c>
      <c r="BG133" s="235">
        <f t="shared" si="1312"/>
        <v>89326.496430478917</v>
      </c>
      <c r="BH133" s="235">
        <f t="shared" si="1312"/>
        <v>90675.755541204402</v>
      </c>
      <c r="BI133" s="235">
        <f t="shared" si="1312"/>
        <v>91035.306243760773</v>
      </c>
      <c r="BJ133" s="235">
        <f t="shared" si="1312"/>
        <v>91035.306243760773</v>
      </c>
      <c r="BK133" s="27"/>
      <c r="BL133" s="235">
        <f t="shared" ref="BL133:BP133" si="1313">BL132+BL125</f>
        <v>90817.896586768067</v>
      </c>
      <c r="BM133" s="235">
        <f t="shared" si="1313"/>
        <v>91409.559451073059</v>
      </c>
      <c r="BN133" s="235">
        <f t="shared" si="1313"/>
        <v>92934.962198724723</v>
      </c>
      <c r="BO133" s="235">
        <f t="shared" si="1313"/>
        <v>93450.095956551479</v>
      </c>
      <c r="BP133" s="235">
        <f t="shared" si="1313"/>
        <v>93450.095956551479</v>
      </c>
      <c r="BQ133" s="27"/>
      <c r="BR133" s="235">
        <f t="shared" ref="BR133:BV133" si="1314">BR132+BR125</f>
        <v>93251.66085896139</v>
      </c>
      <c r="BS133" s="235">
        <f t="shared" si="1314"/>
        <v>94097.083083987032</v>
      </c>
      <c r="BT133" s="235">
        <f t="shared" si="1314"/>
        <v>95561.863669107755</v>
      </c>
      <c r="BU133" s="235">
        <f t="shared" si="1314"/>
        <v>95997.015369988221</v>
      </c>
      <c r="BV133" s="235">
        <f t="shared" si="1314"/>
        <v>95997.015369988221</v>
      </c>
      <c r="BW133" s="27"/>
      <c r="BX133" s="235">
        <f t="shared" ref="BX133:CB133" si="1315">BX132+BX125</f>
        <v>95771.513165250042</v>
      </c>
      <c r="BY133" s="235">
        <f t="shared" si="1315"/>
        <v>96253.242458539884</v>
      </c>
      <c r="BZ133" s="235">
        <f t="shared" si="1315"/>
        <v>97924.320100312543</v>
      </c>
      <c r="CA133" s="235">
        <f t="shared" si="1315"/>
        <v>98544.754327398536</v>
      </c>
      <c r="CB133" s="235">
        <f t="shared" si="1315"/>
        <v>98544.754327398536</v>
      </c>
      <c r="CC133" s="27"/>
      <c r="CD133" s="235">
        <f t="shared" ref="CD133:CH133" si="1316">CD132+CD125</f>
        <v>98458.22083254109</v>
      </c>
      <c r="CE133" s="235">
        <f t="shared" si="1316"/>
        <v>99315.499401815701</v>
      </c>
      <c r="CF133" s="235">
        <f t="shared" si="1316"/>
        <v>100705.05170075876</v>
      </c>
      <c r="CG133" s="235">
        <f t="shared" si="1316"/>
        <v>101025.63573758375</v>
      </c>
      <c r="CH133" s="235">
        <f t="shared" si="1316"/>
        <v>101025.63573758375</v>
      </c>
      <c r="CI133" s="27"/>
      <c r="CJ133" s="235">
        <f t="shared" ref="CJ133:CN133" si="1317">CJ132+CJ125</f>
        <v>100100.00913414489</v>
      </c>
      <c r="CK133" s="235">
        <f t="shared" si="1317"/>
        <v>100432.27913185392</v>
      </c>
      <c r="CL133" s="235">
        <f t="shared" si="1317"/>
        <v>102072.84867016526</v>
      </c>
      <c r="CM133" s="235">
        <f t="shared" si="1317"/>
        <v>102623.37416513544</v>
      </c>
      <c r="CN133" s="235">
        <f t="shared" si="1317"/>
        <v>102623.37416513544</v>
      </c>
    </row>
    <row r="134" spans="2:92" ht="12.95" customHeight="1" x14ac:dyDescent="0.25">
      <c r="B134" s="467" t="s">
        <v>443</v>
      </c>
      <c r="D134" s="468" t="str">
        <f>IF(ABS(D111-D133)&lt;1,"OK",D111-D133)</f>
        <v>OK</v>
      </c>
      <c r="E134" s="468" t="str">
        <f t="shared" ref="E134:H134" si="1318">IF(ABS(E111-E133)&lt;1,"OK",E111-E133)</f>
        <v>OK</v>
      </c>
      <c r="F134" s="468" t="str">
        <f t="shared" si="1318"/>
        <v>OK</v>
      </c>
      <c r="G134" s="468" t="str">
        <f t="shared" si="1318"/>
        <v>OK</v>
      </c>
      <c r="H134" s="468" t="str">
        <f t="shared" si="1318"/>
        <v>OK</v>
      </c>
      <c r="I134" s="6"/>
      <c r="J134" s="468" t="str">
        <f t="shared" ref="J134:N134" si="1319">IF(ABS(J111-J133)&lt;1,"OK",J111-J133)</f>
        <v>OK</v>
      </c>
      <c r="K134" s="468" t="str">
        <f t="shared" si="1319"/>
        <v>OK</v>
      </c>
      <c r="L134" s="468" t="str">
        <f t="shared" si="1319"/>
        <v>OK</v>
      </c>
      <c r="M134" s="468" t="str">
        <f t="shared" si="1319"/>
        <v>OK</v>
      </c>
      <c r="N134" s="468" t="str">
        <f t="shared" si="1319"/>
        <v>OK</v>
      </c>
      <c r="O134" s="6"/>
      <c r="P134" s="468" t="str">
        <f t="shared" ref="P134:T134" si="1320">IF(ABS(P111-P133)&lt;1,"OK",P111-P133)</f>
        <v>OK</v>
      </c>
      <c r="Q134" s="468" t="str">
        <f t="shared" si="1320"/>
        <v>OK</v>
      </c>
      <c r="R134" s="468" t="str">
        <f t="shared" si="1320"/>
        <v>OK</v>
      </c>
      <c r="S134" s="468" t="str">
        <f t="shared" si="1320"/>
        <v>OK</v>
      </c>
      <c r="T134" s="468" t="str">
        <f t="shared" si="1320"/>
        <v>OK</v>
      </c>
      <c r="U134" s="6"/>
      <c r="V134" s="468" t="str">
        <f t="shared" ref="V134:Z134" si="1321">IF(ABS(V111-V133)&lt;1,"OK",V111-V133)</f>
        <v>OK</v>
      </c>
      <c r="W134" s="468" t="str">
        <f t="shared" si="1321"/>
        <v>OK</v>
      </c>
      <c r="X134" s="468" t="str">
        <f t="shared" si="1321"/>
        <v>OK</v>
      </c>
      <c r="Y134" s="468" t="str">
        <f t="shared" si="1321"/>
        <v>OK</v>
      </c>
      <c r="Z134" s="468" t="str">
        <f t="shared" si="1321"/>
        <v>OK</v>
      </c>
      <c r="AA134" s="40"/>
      <c r="AB134" s="468" t="str">
        <f t="shared" ref="AB134:AF134" si="1322">IF(ABS(AB111-AB133)&lt;1,"OK",AB111-AB133)</f>
        <v>OK</v>
      </c>
      <c r="AC134" s="468" t="str">
        <f t="shared" si="1322"/>
        <v>OK</v>
      </c>
      <c r="AD134" s="468" t="str">
        <f t="shared" si="1322"/>
        <v>OK</v>
      </c>
      <c r="AE134" s="468" t="str">
        <f t="shared" si="1322"/>
        <v>OK</v>
      </c>
      <c r="AF134" s="468" t="str">
        <f t="shared" si="1322"/>
        <v>OK</v>
      </c>
      <c r="AG134" s="40"/>
      <c r="AH134" s="468" t="str">
        <f t="shared" ref="AH134:AL134" si="1323">IF(ABS(AH111-AH133)&lt;1,"OK",AH111-AH133)</f>
        <v>OK</v>
      </c>
      <c r="AI134" s="468" t="str">
        <f t="shared" si="1323"/>
        <v>OK</v>
      </c>
      <c r="AJ134" s="468" t="str">
        <f t="shared" si="1323"/>
        <v>OK</v>
      </c>
      <c r="AK134" s="468" t="str">
        <f t="shared" si="1323"/>
        <v>OK</v>
      </c>
      <c r="AL134" s="468" t="str">
        <f t="shared" si="1323"/>
        <v>OK</v>
      </c>
      <c r="AM134" s="40"/>
      <c r="AN134" s="468" t="str">
        <f t="shared" ref="AN134:AR134" si="1324">IF(ABS(AN111-AN133)&lt;1,"OK",AN111-AN133)</f>
        <v>OK</v>
      </c>
      <c r="AO134" s="468" t="str">
        <f t="shared" si="1324"/>
        <v>OK</v>
      </c>
      <c r="AP134" s="468" t="str">
        <f t="shared" si="1324"/>
        <v>OK</v>
      </c>
      <c r="AQ134" s="468" t="str">
        <f t="shared" si="1324"/>
        <v>OK</v>
      </c>
      <c r="AR134" s="468" t="str">
        <f t="shared" si="1324"/>
        <v>OK</v>
      </c>
      <c r="AS134" s="40"/>
      <c r="AT134" s="468" t="str">
        <f t="shared" ref="AT134:AX134" si="1325">IF(ABS(AT111-AT133)&lt;1,"OK",AT111-AT133)</f>
        <v>OK</v>
      </c>
      <c r="AU134" s="468" t="str">
        <f t="shared" si="1325"/>
        <v>OK</v>
      </c>
      <c r="AV134" s="592" t="str">
        <f t="shared" si="1325"/>
        <v>OK</v>
      </c>
      <c r="AW134" s="613" t="str">
        <f t="shared" si="1325"/>
        <v>OK</v>
      </c>
      <c r="AX134" s="468" t="str">
        <f t="shared" si="1325"/>
        <v>OK</v>
      </c>
      <c r="AY134" s="40"/>
      <c r="AZ134" s="468" t="str">
        <f t="shared" ref="AZ134:BD134" si="1326">IF(ABS(AZ111-AZ133)&lt;1,"OK",AZ111-AZ133)</f>
        <v>OK</v>
      </c>
      <c r="BA134" s="468" t="str">
        <f t="shared" si="1326"/>
        <v>OK</v>
      </c>
      <c r="BB134" s="468" t="str">
        <f t="shared" si="1326"/>
        <v>OK</v>
      </c>
      <c r="BC134" s="468" t="str">
        <f t="shared" si="1326"/>
        <v>OK</v>
      </c>
      <c r="BD134" s="468" t="str">
        <f t="shared" si="1326"/>
        <v>OK</v>
      </c>
      <c r="BE134" s="40"/>
      <c r="BF134" s="468" t="str">
        <f t="shared" ref="BF134:BJ134" si="1327">IF(ABS(BF111-BF133)&lt;1,"OK",BF111-BF133)</f>
        <v>OK</v>
      </c>
      <c r="BG134" s="468" t="str">
        <f t="shared" si="1327"/>
        <v>OK</v>
      </c>
      <c r="BH134" s="468" t="str">
        <f t="shared" si="1327"/>
        <v>OK</v>
      </c>
      <c r="BI134" s="468" t="str">
        <f t="shared" si="1327"/>
        <v>OK</v>
      </c>
      <c r="BJ134" s="468" t="str">
        <f t="shared" si="1327"/>
        <v>OK</v>
      </c>
      <c r="BK134" s="40"/>
      <c r="BL134" s="468" t="str">
        <f t="shared" ref="BL134:BP134" si="1328">IF(ABS(BL111-BL133)&lt;1,"OK",BL111-BL133)</f>
        <v>OK</v>
      </c>
      <c r="BM134" s="468" t="str">
        <f t="shared" si="1328"/>
        <v>OK</v>
      </c>
      <c r="BN134" s="468" t="str">
        <f t="shared" si="1328"/>
        <v>OK</v>
      </c>
      <c r="BO134" s="468" t="str">
        <f t="shared" si="1328"/>
        <v>OK</v>
      </c>
      <c r="BP134" s="468" t="str">
        <f t="shared" si="1328"/>
        <v>OK</v>
      </c>
      <c r="BQ134" s="40"/>
      <c r="BR134" s="468" t="str">
        <f t="shared" ref="BR134:BV134" si="1329">IF(ABS(BR111-BR133)&lt;1,"OK",BR111-BR133)</f>
        <v>OK</v>
      </c>
      <c r="BS134" s="468" t="str">
        <f t="shared" si="1329"/>
        <v>OK</v>
      </c>
      <c r="BT134" s="468" t="str">
        <f t="shared" si="1329"/>
        <v>OK</v>
      </c>
      <c r="BU134" s="468" t="str">
        <f t="shared" si="1329"/>
        <v>OK</v>
      </c>
      <c r="BV134" s="468" t="str">
        <f t="shared" si="1329"/>
        <v>OK</v>
      </c>
      <c r="BW134" s="40"/>
      <c r="BX134" s="468" t="str">
        <f t="shared" ref="BX134:CB134" si="1330">IF(ABS(BX111-BX133)&lt;1,"OK",BX111-BX133)</f>
        <v>OK</v>
      </c>
      <c r="BY134" s="468" t="str">
        <f t="shared" si="1330"/>
        <v>OK</v>
      </c>
      <c r="BZ134" s="468" t="str">
        <f t="shared" si="1330"/>
        <v>OK</v>
      </c>
      <c r="CA134" s="468" t="str">
        <f t="shared" si="1330"/>
        <v>OK</v>
      </c>
      <c r="CB134" s="468" t="str">
        <f t="shared" si="1330"/>
        <v>OK</v>
      </c>
      <c r="CC134" s="40"/>
      <c r="CD134" s="468" t="str">
        <f t="shared" ref="CD134:CH134" si="1331">IF(ABS(CD111-CD133)&lt;1,"OK",CD111-CD133)</f>
        <v>OK</v>
      </c>
      <c r="CE134" s="468" t="str">
        <f t="shared" si="1331"/>
        <v>OK</v>
      </c>
      <c r="CF134" s="468" t="str">
        <f t="shared" si="1331"/>
        <v>OK</v>
      </c>
      <c r="CG134" s="468" t="str">
        <f t="shared" si="1331"/>
        <v>OK</v>
      </c>
      <c r="CH134" s="468" t="str">
        <f t="shared" si="1331"/>
        <v>OK</v>
      </c>
      <c r="CI134" s="40"/>
      <c r="CJ134" s="468" t="str">
        <f t="shared" ref="CJ134:CN134" si="1332">IF(ABS(CJ111-CJ133)&lt;1,"OK",CJ111-CJ133)</f>
        <v>OK</v>
      </c>
      <c r="CK134" s="468" t="str">
        <f t="shared" si="1332"/>
        <v>OK</v>
      </c>
      <c r="CL134" s="468" t="str">
        <f t="shared" si="1332"/>
        <v>OK</v>
      </c>
      <c r="CM134" s="468" t="str">
        <f t="shared" si="1332"/>
        <v>OK</v>
      </c>
      <c r="CN134" s="468" t="str">
        <f t="shared" si="1332"/>
        <v>OK</v>
      </c>
    </row>
    <row r="135" spans="2:92" ht="12.95" customHeight="1" x14ac:dyDescent="0.25"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40"/>
      <c r="T135" s="40"/>
      <c r="U135" s="6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260"/>
      <c r="AP135" s="40"/>
      <c r="AQ135" s="260"/>
      <c r="AR135" s="260"/>
      <c r="AS135" s="40"/>
      <c r="AT135" s="40"/>
      <c r="AU135" s="260"/>
      <c r="AV135" s="260"/>
      <c r="AW135" s="362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  <c r="BW135" s="40"/>
      <c r="BX135" s="40"/>
      <c r="BY135" s="40"/>
      <c r="BZ135" s="40"/>
      <c r="CA135" s="40"/>
      <c r="CB135" s="40"/>
      <c r="CC135" s="40"/>
      <c r="CD135" s="40"/>
      <c r="CE135" s="40"/>
      <c r="CF135" s="40"/>
      <c r="CG135" s="40"/>
      <c r="CH135" s="40"/>
      <c r="CI135" s="40"/>
      <c r="CJ135" s="40"/>
      <c r="CK135" s="40"/>
      <c r="CL135" s="40"/>
      <c r="CM135" s="40"/>
      <c r="CN135" s="40"/>
    </row>
    <row r="136" spans="2:92" ht="12.95" customHeight="1" x14ac:dyDescent="0.25">
      <c r="B136" s="24" t="s">
        <v>444</v>
      </c>
      <c r="D136" s="260">
        <f>D100+D101+D102+D103-D115-D114-D116-D117</f>
        <v>14639</v>
      </c>
      <c r="E136" s="260">
        <f>E100+E101+E102+E103-E115-E114-E116-E117</f>
        <v>14251</v>
      </c>
      <c r="F136" s="260">
        <f>F100+F101+F102+F103-F115-F114-F116-F117</f>
        <v>14524</v>
      </c>
      <c r="G136" s="260">
        <f>G100+G101+G102+G103-G115-G114-G116-G117</f>
        <v>14291</v>
      </c>
      <c r="H136" s="260">
        <f>H100+H101+H102+H103-H115-H114-H116-H117</f>
        <v>14291</v>
      </c>
      <c r="I136" s="6"/>
      <c r="J136" s="260">
        <f>J100+J101+J102+J103-J115-J114-J116-J117</f>
        <v>16107</v>
      </c>
      <c r="K136" s="260">
        <f>K100+K101+K102+K103-K115-K114-K116-K117</f>
        <v>16539</v>
      </c>
      <c r="L136" s="260">
        <f>L100+L101+L102+L103-L115-L114-L116-L117</f>
        <v>16613</v>
      </c>
      <c r="M136" s="260">
        <f>M100+M101+M102+M103-M115-M114-M116-M117</f>
        <v>16495</v>
      </c>
      <c r="N136" s="260">
        <f>N100+N101+N102+N103-N115-N114-N116-N117</f>
        <v>16495</v>
      </c>
      <c r="O136" s="6"/>
      <c r="P136" s="260">
        <f>P100+P101+P102+P103-P115-P114-P116-P117</f>
        <v>18500</v>
      </c>
      <c r="Q136" s="260">
        <f>Q100+Q101+Q102+Q103-Q115-Q114-Q116-Q117</f>
        <v>18875</v>
      </c>
      <c r="R136" s="260">
        <f>R100+R101+R102+R103-R115-R114-R116-R117</f>
        <v>18559</v>
      </c>
      <c r="S136" s="260">
        <f>S100+S101+S102+S103-S115-S114-S116-S117</f>
        <v>18386</v>
      </c>
      <c r="T136" s="260">
        <f>T100+T101+T102+T103-T115-T114-T116-T117</f>
        <v>18386</v>
      </c>
      <c r="U136" s="6"/>
      <c r="V136" s="260">
        <f>V100+V101+V102+V103-V115-V114-V116-V117</f>
        <v>18745</v>
      </c>
      <c r="W136" s="260">
        <f>W100+W101+W102+W103-W115-W114-W116-W117</f>
        <v>18263</v>
      </c>
      <c r="X136" s="260">
        <f>X100+X101+X102+X103-X115-X114-X116-X117</f>
        <v>18238</v>
      </c>
      <c r="Y136" s="260">
        <f>Y100+Y101+Y102+Y103-Y115-Y114-Y116-Y117</f>
        <v>18138</v>
      </c>
      <c r="Z136" s="260">
        <f>Z100+Z101+Z102+Z103-Z115-Z114-Z116-Z117</f>
        <v>18138</v>
      </c>
      <c r="AA136" s="6"/>
      <c r="AB136" s="260">
        <f>AB100+AB101+AB102+AB103-AB115-AB114-AB116-AB117</f>
        <v>18520</v>
      </c>
      <c r="AC136" s="260">
        <f>AC100+AC101+AC102+AC103-AC115-AC114-AC116-AC117</f>
        <v>18722</v>
      </c>
      <c r="AD136" s="260">
        <f>AD100+AD101+AD102+AD103-AD115-AD114-AD116-AD117</f>
        <v>18420</v>
      </c>
      <c r="AE136" s="260">
        <f>AE100+AE101+AE102+AE103-AE115-AE114-AE116-AE117</f>
        <v>18961</v>
      </c>
      <c r="AF136" s="260">
        <f>AF100+AF101+AF102+AF103-AF115-AF114-AF116-AF117</f>
        <v>18961</v>
      </c>
      <c r="AG136" s="6"/>
      <c r="AH136" s="260">
        <f>AH100+AH101+AH102+AH103-AH115-AH114-AH116-AH117</f>
        <v>21174</v>
      </c>
      <c r="AI136" s="260">
        <f>AI100+AI101+AI102+AI103-AI115-AI114-AI116-AI117</f>
        <v>20714</v>
      </c>
      <c r="AJ136" s="260">
        <f>AJ100+AJ101+AJ102+AJ103-AJ115-AJ114-AJ116-AJ117</f>
        <v>19923</v>
      </c>
      <c r="AK136" s="260">
        <f>AK100+AK101+AK102+AK103-AK115-AK114-AK116-AK117</f>
        <v>19839</v>
      </c>
      <c r="AL136" s="260">
        <f>AL100+AL101+AL102+AL103-AL115-AL114-AL116-AL117</f>
        <v>19839</v>
      </c>
      <c r="AM136" s="6"/>
      <c r="AN136" s="260">
        <f>AN100+AN101+AN102+AN103-AN115-AN114-AN116-AN117</f>
        <v>22229</v>
      </c>
      <c r="AO136" s="260">
        <f>AO100+AO101+AO102+AO103-AO115-AO114-AO116-AO117</f>
        <v>22785</v>
      </c>
      <c r="AP136" s="260">
        <f>AP100+AP101+AP102+AP103-AP115-AP114-AP116-AP117</f>
        <v>24331</v>
      </c>
      <c r="AQ136" s="260">
        <f>AQ100+AQ101+AQ102+AQ103-AQ115-AQ114-AQ116-AQ117</f>
        <v>22421</v>
      </c>
      <c r="AR136" s="260">
        <f>AR100+AR101+AR102+AR103-AR115-AR114-AR116-AR117</f>
        <v>22421</v>
      </c>
      <c r="AS136" s="6"/>
      <c r="AT136" s="260">
        <f>AT100+AT101+AT102+AT103-AT115-AT114-AT116-AT117</f>
        <v>22621</v>
      </c>
      <c r="AU136" s="260">
        <f>AU100+AU101+AU102+AU103-AU115-AU114-AU116-AU117</f>
        <v>22232</v>
      </c>
      <c r="AV136" s="260">
        <f>AV100+AV101+AV102+AV103-AV115-AV114-AV116-AV117</f>
        <v>22141</v>
      </c>
      <c r="AW136" s="362">
        <f>AW100+AW101+AW102+AW103-AW115-AW114-AW116-AW117</f>
        <v>20954.879487268478</v>
      </c>
      <c r="AX136" s="260">
        <f>AX100+AX101+AX102+AX103-AX115-AX114-AX116-AX117</f>
        <v>20954.879487268478</v>
      </c>
      <c r="AY136" s="6"/>
      <c r="AZ136" s="40">
        <f t="shared" ref="AZ136:BD136" si="1333">AZ100+AZ101+AZ102+AZ103-AZ115-AZ114-AZ116-AZ117</f>
        <v>23016.658539526747</v>
      </c>
      <c r="BA136" s="40">
        <f t="shared" si="1333"/>
        <v>22715.55585359687</v>
      </c>
      <c r="BB136" s="40">
        <f t="shared" si="1333"/>
        <v>22269.691446274035</v>
      </c>
      <c r="BC136" s="40">
        <f t="shared" si="1333"/>
        <v>21052.609929122853</v>
      </c>
      <c r="BD136" s="40">
        <f t="shared" si="1333"/>
        <v>21052.609929122853</v>
      </c>
      <c r="BE136" s="6"/>
      <c r="BF136" s="40">
        <f t="shared" ref="BF136:BJ136" si="1334">BF100+BF101+BF102+BF103-BF115-BF114-BF116-BF117</f>
        <v>23390.707544219316</v>
      </c>
      <c r="BG136" s="40">
        <f t="shared" si="1334"/>
        <v>23068.206999713377</v>
      </c>
      <c r="BH136" s="40">
        <f t="shared" si="1334"/>
        <v>22589.133047087111</v>
      </c>
      <c r="BI136" s="40">
        <f t="shared" si="1334"/>
        <v>21328.015427454942</v>
      </c>
      <c r="BJ136" s="40">
        <f t="shared" si="1334"/>
        <v>21328.015427454942</v>
      </c>
      <c r="BK136" s="6"/>
      <c r="BL136" s="40">
        <f t="shared" ref="BL136:BP136" si="1335">BL100+BL101+BL102+BL103-BL115-BL114-BL116-BL117</f>
        <v>23769.468426096009</v>
      </c>
      <c r="BM136" s="40">
        <f t="shared" si="1335"/>
        <v>23432.993649009128</v>
      </c>
      <c r="BN136" s="40">
        <f t="shared" si="1335"/>
        <v>22923.144097545399</v>
      </c>
      <c r="BO136" s="40">
        <f t="shared" si="1335"/>
        <v>21619.65505649041</v>
      </c>
      <c r="BP136" s="40">
        <f t="shared" si="1335"/>
        <v>21619.65505649041</v>
      </c>
      <c r="BQ136" s="6"/>
      <c r="BR136" s="40">
        <f t="shared" ref="BR136:BV136" si="1336">BR100+BR101+BR102+BR103-BR115-BR114-BR116-BR117</f>
        <v>24142.730181329636</v>
      </c>
      <c r="BS136" s="40">
        <f t="shared" si="1336"/>
        <v>23810.292959935508</v>
      </c>
      <c r="BT136" s="40">
        <f t="shared" si="1336"/>
        <v>23268.157239586744</v>
      </c>
      <c r="BU136" s="40">
        <f t="shared" si="1336"/>
        <v>21921.219286592368</v>
      </c>
      <c r="BV136" s="40">
        <f t="shared" si="1336"/>
        <v>21921.219286592368</v>
      </c>
      <c r="BW136" s="6"/>
      <c r="BX136" s="40">
        <f t="shared" ref="BX136:CB136" si="1337">BX100+BX101+BX102+BX103-BX115-BX114-BX116-BX117</f>
        <v>24570.418598712859</v>
      </c>
      <c r="BY136" s="40">
        <f t="shared" si="1337"/>
        <v>24204.084341606344</v>
      </c>
      <c r="BZ136" s="40">
        <f t="shared" si="1337"/>
        <v>23628.233300077234</v>
      </c>
      <c r="CA136" s="40">
        <f t="shared" si="1337"/>
        <v>22236.039242906994</v>
      </c>
      <c r="CB136" s="40">
        <f t="shared" si="1337"/>
        <v>22236.039242906994</v>
      </c>
      <c r="CC136" s="6"/>
      <c r="CD136" s="40">
        <f t="shared" ref="CD136:CH136" si="1338">CD100+CD101+CD102+CD103-CD115-CD114-CD116-CD117</f>
        <v>24997.181119655066</v>
      </c>
      <c r="CE136" s="40">
        <f t="shared" si="1338"/>
        <v>24615.11161663619</v>
      </c>
      <c r="CF136" s="40">
        <f t="shared" si="1338"/>
        <v>24004.050951331261</v>
      </c>
      <c r="CG136" s="40">
        <f t="shared" si="1338"/>
        <v>22564.71642030876</v>
      </c>
      <c r="CH136" s="40">
        <f t="shared" si="1338"/>
        <v>22564.71642030876</v>
      </c>
      <c r="CI136" s="6"/>
      <c r="CJ136" s="40">
        <f t="shared" ref="CJ136:CN136" si="1339">CJ100+CJ101+CJ102+CJ103-CJ115-CJ114-CJ116-CJ117</f>
        <v>25437.215640912404</v>
      </c>
      <c r="CK136" s="40">
        <f t="shared" si="1339"/>
        <v>25038.801719736719</v>
      </c>
      <c r="CL136" s="40">
        <f t="shared" si="1339"/>
        <v>24390.704144850559</v>
      </c>
      <c r="CM136" s="40">
        <f t="shared" si="1339"/>
        <v>22903.252346621943</v>
      </c>
      <c r="CN136" s="40">
        <f t="shared" si="1339"/>
        <v>22903.252346621943</v>
      </c>
    </row>
    <row r="137" spans="2:92" ht="12.95" customHeight="1" x14ac:dyDescent="0.25">
      <c r="B137" s="14" t="s">
        <v>624</v>
      </c>
      <c r="D137" s="260"/>
      <c r="E137" s="469">
        <f>E136-D136</f>
        <v>-388</v>
      </c>
      <c r="F137" s="469">
        <f t="shared" ref="F137:G137" si="1340">F136-E136</f>
        <v>273</v>
      </c>
      <c r="G137" s="469">
        <f t="shared" si="1340"/>
        <v>-233</v>
      </c>
      <c r="H137" s="469"/>
      <c r="I137" s="6"/>
      <c r="J137" s="469">
        <f>J136-H136</f>
        <v>1816</v>
      </c>
      <c r="K137" s="469">
        <f>K136-J136</f>
        <v>432</v>
      </c>
      <c r="L137" s="469">
        <f t="shared" ref="L137" si="1341">L136-K136</f>
        <v>74</v>
      </c>
      <c r="M137" s="469">
        <f t="shared" ref="M137" si="1342">M136-L136</f>
        <v>-118</v>
      </c>
      <c r="N137" s="469">
        <f>N136-H136</f>
        <v>2204</v>
      </c>
      <c r="O137" s="6"/>
      <c r="P137" s="469">
        <f>P136-N136</f>
        <v>2005</v>
      </c>
      <c r="Q137" s="469">
        <f>Q136-P136</f>
        <v>375</v>
      </c>
      <c r="R137" s="469">
        <f t="shared" ref="R137" si="1343">R136-Q136</f>
        <v>-316</v>
      </c>
      <c r="S137" s="469">
        <f t="shared" ref="S137" si="1344">S136-R136</f>
        <v>-173</v>
      </c>
      <c r="T137" s="469">
        <f>T136-N136</f>
        <v>1891</v>
      </c>
      <c r="U137" s="6"/>
      <c r="V137" s="469">
        <f>V136-T136</f>
        <v>359</v>
      </c>
      <c r="W137" s="469">
        <f>W136-V136</f>
        <v>-482</v>
      </c>
      <c r="X137" s="469">
        <f t="shared" ref="X137" si="1345">X136-W136</f>
        <v>-25</v>
      </c>
      <c r="Y137" s="469">
        <f t="shared" ref="Y137" si="1346">Y136-X136</f>
        <v>-100</v>
      </c>
      <c r="Z137" s="469">
        <f>Z136-T136</f>
        <v>-248</v>
      </c>
      <c r="AA137" s="6"/>
      <c r="AB137" s="469">
        <f>AB136-Z136</f>
        <v>382</v>
      </c>
      <c r="AC137" s="469">
        <f>AC136-AB136</f>
        <v>202</v>
      </c>
      <c r="AD137" s="469">
        <f t="shared" ref="AD137" si="1347">AD136-AC136</f>
        <v>-302</v>
      </c>
      <c r="AE137" s="469">
        <f t="shared" ref="AE137" si="1348">AE136-AD136</f>
        <v>541</v>
      </c>
      <c r="AF137" s="469">
        <f>AF136-Z136</f>
        <v>823</v>
      </c>
      <c r="AG137" s="6"/>
      <c r="AH137" s="469">
        <f>AH136-AF136</f>
        <v>2213</v>
      </c>
      <c r="AI137" s="469">
        <f>AI136-AH136</f>
        <v>-460</v>
      </c>
      <c r="AJ137" s="469">
        <f t="shared" ref="AJ137" si="1349">AJ136-AI136</f>
        <v>-791</v>
      </c>
      <c r="AK137" s="469">
        <f t="shared" ref="AK137" si="1350">AK136-AJ136</f>
        <v>-84</v>
      </c>
      <c r="AL137" s="469">
        <f>AL136-AF136</f>
        <v>878</v>
      </c>
      <c r="AM137" s="6"/>
      <c r="AN137" s="469">
        <f>AN136-AL136</f>
        <v>2390</v>
      </c>
      <c r="AO137" s="469">
        <f>AO136-AN136</f>
        <v>556</v>
      </c>
      <c r="AP137" s="469">
        <f t="shared" ref="AP137" si="1351">AP136-AO136</f>
        <v>1546</v>
      </c>
      <c r="AQ137" s="469">
        <f t="shared" ref="AQ137" si="1352">AQ136-AP136</f>
        <v>-1910</v>
      </c>
      <c r="AR137" s="469">
        <f>AR136-AL136</f>
        <v>2582</v>
      </c>
      <c r="AS137" s="6"/>
      <c r="AT137" s="469">
        <f>AT136-AR136</f>
        <v>200</v>
      </c>
      <c r="AU137" s="469">
        <f>AU136-AT136</f>
        <v>-389</v>
      </c>
      <c r="AV137" s="469">
        <f t="shared" ref="AV137" si="1353">AV136-AU136</f>
        <v>-91</v>
      </c>
      <c r="AW137" s="614">
        <f t="shared" ref="AW137" si="1354">AW136-AV136</f>
        <v>-1186.1205127315225</v>
      </c>
      <c r="AX137" s="469">
        <f>AX136-AR136</f>
        <v>-1466.1205127315225</v>
      </c>
      <c r="AY137" s="6"/>
      <c r="AZ137" s="469">
        <f>AZ136-AX136</f>
        <v>2061.7790522582691</v>
      </c>
      <c r="BA137" s="469">
        <f>BA136-AZ136</f>
        <v>-301.10268592987632</v>
      </c>
      <c r="BB137" s="469">
        <f t="shared" ref="BB137" si="1355">BB136-BA136</f>
        <v>-445.86440732283518</v>
      </c>
      <c r="BC137" s="469">
        <f t="shared" ref="BC137" si="1356">BC136-BB136</f>
        <v>-1217.0815171511822</v>
      </c>
      <c r="BD137" s="469">
        <f>BD136-AX136</f>
        <v>97.730441854375385</v>
      </c>
      <c r="BE137" s="6"/>
      <c r="BF137" s="469">
        <f>BF136-BD136</f>
        <v>2338.0976150964634</v>
      </c>
      <c r="BG137" s="469">
        <f>BG136-BF136</f>
        <v>-322.50054450593962</v>
      </c>
      <c r="BH137" s="469">
        <f t="shared" ref="BH137" si="1357">BH136-BG136</f>
        <v>-479.07395262626596</v>
      </c>
      <c r="BI137" s="469">
        <f t="shared" ref="BI137" si="1358">BI136-BH136</f>
        <v>-1261.1176196321685</v>
      </c>
      <c r="BJ137" s="469">
        <f>BJ136-BD136</f>
        <v>275.40549833208934</v>
      </c>
      <c r="BK137" s="6"/>
      <c r="BL137" s="469">
        <f>BL136-BJ136</f>
        <v>2441.4529986410671</v>
      </c>
      <c r="BM137" s="469">
        <f>BM136-BL136</f>
        <v>-336.47477708688166</v>
      </c>
      <c r="BN137" s="469">
        <f t="shared" ref="BN137" si="1359">BN136-BM136</f>
        <v>-509.84955146372886</v>
      </c>
      <c r="BO137" s="469">
        <f t="shared" ref="BO137" si="1360">BO136-BN136</f>
        <v>-1303.4890410549888</v>
      </c>
      <c r="BP137" s="469">
        <f>BP136-BJ136</f>
        <v>291.63962903546781</v>
      </c>
      <c r="BQ137" s="6"/>
      <c r="BR137" s="469">
        <f>BR136-BP136</f>
        <v>2523.0751248392262</v>
      </c>
      <c r="BS137" s="469">
        <f>BS136-BR136</f>
        <v>-332.43722139412785</v>
      </c>
      <c r="BT137" s="469">
        <f t="shared" ref="BT137" si="1361">BT136-BS136</f>
        <v>-542.13572034876415</v>
      </c>
      <c r="BU137" s="469">
        <f t="shared" ref="BU137" si="1362">BU136-BT136</f>
        <v>-1346.9379529943762</v>
      </c>
      <c r="BV137" s="469">
        <f>BV136-BP136</f>
        <v>301.56423010195795</v>
      </c>
      <c r="BW137" s="6"/>
      <c r="BX137" s="469">
        <f>BX136-BV136</f>
        <v>2649.1993121204905</v>
      </c>
      <c r="BY137" s="469">
        <f>BY136-BX136</f>
        <v>-366.334257106515</v>
      </c>
      <c r="BZ137" s="469">
        <f t="shared" ref="BZ137" si="1363">BZ136-BY136</f>
        <v>-575.85104152910935</v>
      </c>
      <c r="CA137" s="469">
        <f t="shared" ref="CA137" si="1364">CA136-BZ136</f>
        <v>-1392.1940571702398</v>
      </c>
      <c r="CB137" s="469">
        <f>CB136-BV136</f>
        <v>314.81995631462632</v>
      </c>
      <c r="CC137" s="6"/>
      <c r="CD137" s="469">
        <f>CD136-CB136</f>
        <v>2761.1418767480718</v>
      </c>
      <c r="CE137" s="469">
        <f>CE136-CD136</f>
        <v>-382.06950301887628</v>
      </c>
      <c r="CF137" s="469">
        <f t="shared" ref="CF137" si="1365">CF136-CE136</f>
        <v>-611.06066530492899</v>
      </c>
      <c r="CG137" s="469">
        <f t="shared" ref="CG137" si="1366">CG136-CF136</f>
        <v>-1439.3345310225013</v>
      </c>
      <c r="CH137" s="469">
        <f>CH136-CB136</f>
        <v>328.67717740176522</v>
      </c>
      <c r="CI137" s="6"/>
      <c r="CJ137" s="469">
        <f>CJ136-CH136</f>
        <v>2872.4992206036441</v>
      </c>
      <c r="CK137" s="469">
        <f>CK136-CJ136</f>
        <v>-398.41392117568466</v>
      </c>
      <c r="CL137" s="469">
        <f t="shared" ref="CL137" si="1367">CL136-CK136</f>
        <v>-648.09757488616015</v>
      </c>
      <c r="CM137" s="469">
        <f t="shared" ref="CM137" si="1368">CM136-CL136</f>
        <v>-1487.4517982286161</v>
      </c>
      <c r="CN137" s="469">
        <f>CN136-CH136</f>
        <v>338.53592631318315</v>
      </c>
    </row>
    <row r="138" spans="2:92" ht="12.95" customHeight="1" x14ac:dyDescent="0.25">
      <c r="B138" s="14"/>
      <c r="D138" s="260"/>
      <c r="E138" s="469"/>
      <c r="F138" s="469"/>
      <c r="G138" s="469"/>
      <c r="H138" s="469"/>
      <c r="I138" s="6"/>
      <c r="J138" s="469"/>
      <c r="K138" s="469"/>
      <c r="L138" s="469"/>
      <c r="M138" s="469"/>
      <c r="N138" s="260"/>
      <c r="O138" s="6"/>
      <c r="P138" s="469"/>
      <c r="Q138" s="469"/>
      <c r="R138" s="469"/>
      <c r="S138" s="469"/>
      <c r="T138" s="260"/>
      <c r="U138" s="6"/>
      <c r="V138" s="469"/>
      <c r="W138" s="469"/>
      <c r="X138" s="469"/>
      <c r="Y138" s="469"/>
      <c r="Z138" s="260"/>
      <c r="AA138" s="6"/>
      <c r="AB138" s="469"/>
      <c r="AC138" s="469"/>
      <c r="AD138" s="469"/>
      <c r="AE138" s="469"/>
      <c r="AF138" s="260"/>
      <c r="AG138" s="6"/>
      <c r="AH138" s="469"/>
      <c r="AI138" s="469"/>
      <c r="AJ138" s="469"/>
      <c r="AK138" s="469"/>
      <c r="AL138" s="260"/>
      <c r="AM138" s="6"/>
      <c r="AN138" s="469"/>
      <c r="AO138" s="469"/>
      <c r="AP138" s="469"/>
      <c r="AQ138" s="469"/>
      <c r="AR138" s="260"/>
      <c r="AS138" s="6"/>
      <c r="AT138" s="469"/>
      <c r="AU138" s="469"/>
      <c r="AV138" s="469"/>
      <c r="AW138" s="614"/>
      <c r="AX138" s="40"/>
      <c r="AY138" s="6"/>
      <c r="AZ138" s="40"/>
      <c r="BA138" s="40"/>
      <c r="BB138" s="40"/>
      <c r="BC138" s="40"/>
      <c r="BD138" s="40"/>
      <c r="BE138" s="6"/>
      <c r="BF138" s="40"/>
      <c r="BG138" s="40"/>
      <c r="BH138" s="40"/>
      <c r="BI138" s="40"/>
      <c r="BJ138" s="40"/>
      <c r="BK138" s="6"/>
      <c r="BL138" s="40"/>
      <c r="BM138" s="40"/>
      <c r="BN138" s="40"/>
      <c r="BO138" s="40"/>
      <c r="BP138" s="40"/>
      <c r="BQ138" s="6"/>
      <c r="BR138" s="40"/>
      <c r="BS138" s="40"/>
      <c r="BT138" s="40"/>
      <c r="BU138" s="40"/>
      <c r="BV138" s="40"/>
      <c r="BW138" s="6"/>
      <c r="BX138" s="40"/>
      <c r="BY138" s="40"/>
      <c r="BZ138" s="40"/>
      <c r="CA138" s="40"/>
      <c r="CB138" s="40"/>
      <c r="CC138" s="6"/>
      <c r="CD138" s="40"/>
      <c r="CE138" s="40"/>
      <c r="CF138" s="40"/>
      <c r="CG138" s="40"/>
      <c r="CH138" s="40"/>
      <c r="CI138" s="6"/>
      <c r="CJ138" s="40"/>
      <c r="CK138" s="40"/>
      <c r="CL138" s="40"/>
      <c r="CM138" s="40"/>
      <c r="CN138" s="40"/>
    </row>
    <row r="139" spans="2:92" ht="12.95" customHeight="1" x14ac:dyDescent="0.25">
      <c r="B139" s="24" t="s">
        <v>73</v>
      </c>
      <c r="D139" s="260"/>
      <c r="E139" s="260"/>
      <c r="F139" s="260"/>
      <c r="G139" s="260"/>
      <c r="H139" s="260"/>
      <c r="I139" s="6"/>
      <c r="J139" s="260"/>
      <c r="K139" s="260"/>
      <c r="L139" s="260"/>
      <c r="M139" s="260"/>
      <c r="N139" s="260"/>
      <c r="O139" s="6"/>
      <c r="P139" s="260"/>
      <c r="Q139" s="260"/>
      <c r="R139" s="260"/>
      <c r="S139" s="260"/>
      <c r="T139" s="260"/>
      <c r="U139" s="6"/>
      <c r="V139" s="260"/>
      <c r="W139" s="260"/>
      <c r="X139" s="260"/>
      <c r="Y139" s="260"/>
      <c r="Z139" s="260"/>
      <c r="AA139" s="6"/>
      <c r="AB139" s="260"/>
      <c r="AC139" s="260"/>
      <c r="AD139" s="260"/>
      <c r="AE139" s="260"/>
      <c r="AF139" s="260"/>
      <c r="AG139" s="6"/>
      <c r="AH139" s="260"/>
      <c r="AI139" s="260"/>
      <c r="AJ139" s="260"/>
      <c r="AK139" s="260"/>
      <c r="AL139" s="260"/>
      <c r="AM139" s="6"/>
      <c r="AN139" s="260"/>
      <c r="AO139" s="260"/>
      <c r="AP139" s="260"/>
      <c r="AQ139" s="260"/>
      <c r="AR139" s="260"/>
      <c r="AS139" s="6"/>
      <c r="AT139" s="260"/>
      <c r="AU139" s="260"/>
      <c r="AV139" s="260"/>
      <c r="AW139" s="362"/>
      <c r="AX139" s="40"/>
      <c r="AY139" s="6"/>
      <c r="AZ139" s="40"/>
      <c r="BA139" s="40"/>
      <c r="BB139" s="40"/>
      <c r="BC139" s="40"/>
      <c r="BD139" s="40"/>
      <c r="BE139" s="6"/>
      <c r="BF139" s="40"/>
      <c r="BG139" s="40"/>
      <c r="BH139" s="40"/>
      <c r="BI139" s="40"/>
      <c r="BJ139" s="40"/>
      <c r="BK139" s="6"/>
      <c r="BL139" s="40"/>
      <c r="BM139" s="40"/>
      <c r="BN139" s="40"/>
      <c r="BO139" s="40"/>
      <c r="BP139" s="40"/>
      <c r="BQ139" s="6"/>
      <c r="BR139" s="40"/>
      <c r="BS139" s="40"/>
      <c r="BT139" s="40"/>
      <c r="BU139" s="40"/>
      <c r="BV139" s="40"/>
      <c r="BW139" s="6"/>
      <c r="BX139" s="40"/>
      <c r="BY139" s="40"/>
      <c r="BZ139" s="40"/>
      <c r="CA139" s="40"/>
      <c r="CB139" s="40"/>
      <c r="CC139" s="6"/>
      <c r="CD139" s="40"/>
      <c r="CE139" s="40"/>
      <c r="CF139" s="40"/>
      <c r="CG139" s="40"/>
      <c r="CH139" s="40"/>
      <c r="CI139" s="6"/>
      <c r="CJ139" s="40"/>
      <c r="CK139" s="40"/>
      <c r="CL139" s="40"/>
      <c r="CM139" s="40"/>
      <c r="CN139" s="40"/>
    </row>
    <row r="140" spans="2:92" ht="12.95" customHeight="1" x14ac:dyDescent="0.25">
      <c r="B140" s="2" t="s">
        <v>281</v>
      </c>
      <c r="D140" s="27">
        <f>D45</f>
        <v>1090</v>
      </c>
      <c r="E140" s="27">
        <f>E45</f>
        <v>1904</v>
      </c>
      <c r="F140" s="27">
        <f>F45</f>
        <v>2232</v>
      </c>
      <c r="G140" s="27">
        <f>G45</f>
        <v>2111</v>
      </c>
      <c r="H140" s="27">
        <f>H45</f>
        <v>7337</v>
      </c>
      <c r="I140" s="6"/>
      <c r="J140" s="27">
        <f>J45</f>
        <v>2789</v>
      </c>
      <c r="K140" s="27">
        <f>K45</f>
        <v>2853</v>
      </c>
      <c r="L140" s="27">
        <f>L45</f>
        <v>2833</v>
      </c>
      <c r="M140" s="27">
        <f>M45</f>
        <v>2584</v>
      </c>
      <c r="N140" s="27">
        <f>N45</f>
        <v>11059</v>
      </c>
      <c r="O140" s="6"/>
      <c r="P140" s="27">
        <f>P45</f>
        <v>2848</v>
      </c>
      <c r="Q140" s="27">
        <f>Q45</f>
        <v>2860</v>
      </c>
      <c r="R140" s="27">
        <f>R45</f>
        <v>2665</v>
      </c>
      <c r="S140" s="27">
        <f>S45</f>
        <v>2494</v>
      </c>
      <c r="T140" s="27">
        <f>T45</f>
        <v>10867</v>
      </c>
      <c r="U140" s="6"/>
      <c r="V140" s="27">
        <f>V45</f>
        <v>2018</v>
      </c>
      <c r="W140" s="27">
        <f>W45</f>
        <v>1392</v>
      </c>
      <c r="X140" s="27">
        <f>X45</f>
        <v>1578</v>
      </c>
      <c r="Y140" s="27">
        <f>Y45</f>
        <v>1801</v>
      </c>
      <c r="Z140" s="27">
        <f>Z45</f>
        <v>6985</v>
      </c>
      <c r="AA140" s="6"/>
      <c r="AB140" s="27">
        <f>AB45</f>
        <v>2400</v>
      </c>
      <c r="AC140" s="27">
        <f>AC45</f>
        <v>2376</v>
      </c>
      <c r="AD140" s="27">
        <f>AD45</f>
        <v>2257</v>
      </c>
      <c r="AE140" s="27">
        <f>AE45</f>
        <v>2197</v>
      </c>
      <c r="AF140" s="27">
        <f>AF45</f>
        <v>9230</v>
      </c>
      <c r="AG140" s="27"/>
      <c r="AH140" s="27">
        <f>AH45</f>
        <v>2412</v>
      </c>
      <c r="AI140" s="27">
        <f>AI45</f>
        <v>2497</v>
      </c>
      <c r="AJ140" s="27">
        <f>AJ45</f>
        <v>2976</v>
      </c>
      <c r="AK140" s="27">
        <f>AK45</f>
        <v>2238</v>
      </c>
      <c r="AL140" s="27">
        <f>AL45</f>
        <v>10123</v>
      </c>
      <c r="AM140" s="27"/>
      <c r="AN140" s="27">
        <f>AN45</f>
        <v>3263</v>
      </c>
      <c r="AO140" s="27">
        <f>AO45</f>
        <v>4194</v>
      </c>
      <c r="AP140" s="27">
        <f>AP45</f>
        <v>3974</v>
      </c>
      <c r="AQ140" s="27">
        <f>AQ45</f>
        <v>3679</v>
      </c>
      <c r="AR140" s="27">
        <f>AR45</f>
        <v>15110</v>
      </c>
      <c r="AS140" s="27"/>
      <c r="AT140" s="27">
        <f>AT45</f>
        <v>4043</v>
      </c>
      <c r="AU140" s="27">
        <f>AU45</f>
        <v>4013</v>
      </c>
      <c r="AV140" s="235">
        <f>AV45</f>
        <v>3690</v>
      </c>
      <c r="AW140" s="158">
        <f>AW45</f>
        <v>3691.3915876932269</v>
      </c>
      <c r="AX140" s="27">
        <f>AX45</f>
        <v>15437.39158769323</v>
      </c>
      <c r="AY140" s="27"/>
      <c r="AZ140" s="27">
        <f>AZ45</f>
        <v>3773.7287669378538</v>
      </c>
      <c r="BA140" s="27">
        <f>BA45</f>
        <v>4000.4081351930063</v>
      </c>
      <c r="BB140" s="27">
        <f t="shared" ref="BB140:BC140" si="1369">BB45</f>
        <v>3696.4936549037366</v>
      </c>
      <c r="BC140" s="27">
        <f t="shared" si="1369"/>
        <v>3804.2112955095531</v>
      </c>
      <c r="BD140" s="27">
        <f>BD45</f>
        <v>15274.841852544148</v>
      </c>
      <c r="BE140" s="27"/>
      <c r="BF140" s="27">
        <f>BF45</f>
        <v>4058.7463430740236</v>
      </c>
      <c r="BG140" s="27">
        <f>BG45</f>
        <v>4304.3283364069503</v>
      </c>
      <c r="BH140" s="27">
        <f t="shared" ref="BH140:BI140" si="1370">BH45</f>
        <v>3995.0544532998638</v>
      </c>
      <c r="BI140" s="27">
        <f t="shared" si="1370"/>
        <v>4114.9940350928664</v>
      </c>
      <c r="BJ140" s="27">
        <f>BJ45</f>
        <v>16473.123167873706</v>
      </c>
      <c r="BK140" s="27"/>
      <c r="BL140" s="27">
        <f>BL45</f>
        <v>4273.1101206183666</v>
      </c>
      <c r="BM140" s="27">
        <f>BM45</f>
        <v>4533.1667211075137</v>
      </c>
      <c r="BN140" s="27">
        <f t="shared" ref="BN140:BO140" si="1371">BN45</f>
        <v>4220.0905758378631</v>
      </c>
      <c r="BO140" s="27">
        <f t="shared" si="1371"/>
        <v>4349.9939135927143</v>
      </c>
      <c r="BP140" s="27">
        <f>BP45</f>
        <v>17376.361331156451</v>
      </c>
      <c r="BQ140" s="27"/>
      <c r="BR140" s="27">
        <f>BR45</f>
        <v>4495.5894944958591</v>
      </c>
      <c r="BS140" s="27">
        <f>BS45</f>
        <v>4770.9585049636698</v>
      </c>
      <c r="BT140" s="27">
        <f t="shared" ref="BT140:BU140" si="1372">BT45</f>
        <v>4453.7853774215482</v>
      </c>
      <c r="BU140" s="27">
        <f t="shared" si="1372"/>
        <v>4593.6345259405716</v>
      </c>
      <c r="BV140" s="27">
        <f>BV45</f>
        <v>18313.967902821649</v>
      </c>
      <c r="BW140" s="27"/>
      <c r="BX140" s="27">
        <f>BX45</f>
        <v>4727.1391922464491</v>
      </c>
      <c r="BY140" s="27">
        <f>BY45</f>
        <v>5018.5069346832006</v>
      </c>
      <c r="BZ140" s="27">
        <f t="shared" ref="BZ140:CA140" si="1373">BZ45</f>
        <v>4697.0420958845398</v>
      </c>
      <c r="CA140" s="27">
        <f t="shared" si="1373"/>
        <v>4847.3194910615475</v>
      </c>
      <c r="CB140" s="27">
        <f>CB45</f>
        <v>19290.007713875733</v>
      </c>
      <c r="CC140" s="27"/>
      <c r="CD140" s="27">
        <f>CD45</f>
        <v>4968.1470067140344</v>
      </c>
      <c r="CE140" s="27">
        <f>CE45</f>
        <v>5276.2313876727503</v>
      </c>
      <c r="CF140" s="27">
        <f t="shared" ref="CF140:CG140" si="1374">CF45</f>
        <v>4950.2707352810721</v>
      </c>
      <c r="CG140" s="27">
        <f t="shared" si="1374"/>
        <v>5111.48330972439</v>
      </c>
      <c r="CH140" s="27">
        <f>CH45</f>
        <v>20306.132439392248</v>
      </c>
      <c r="CI140" s="27"/>
      <c r="CJ140" s="27">
        <f>CJ45</f>
        <v>5224.657793420567</v>
      </c>
      <c r="CK140" s="27">
        <f>CK45</f>
        <v>5550.2830791495498</v>
      </c>
      <c r="CL140" s="27">
        <f t="shared" ref="CL140:CM140" si="1375">CL45</f>
        <v>5219.7838661746318</v>
      </c>
      <c r="CM140" s="27">
        <f t="shared" si="1375"/>
        <v>5392.4675778117726</v>
      </c>
      <c r="CN140" s="27">
        <f>CN45</f>
        <v>21387.19231655652</v>
      </c>
    </row>
    <row r="141" spans="2:92" ht="12.95" customHeight="1" x14ac:dyDescent="0.25">
      <c r="B141" s="2" t="s">
        <v>553</v>
      </c>
      <c r="D141" s="27">
        <f>-D58</f>
        <v>-90</v>
      </c>
      <c r="E141" s="27">
        <f>-E58</f>
        <v>-361</v>
      </c>
      <c r="F141" s="27">
        <f>-F58</f>
        <v>-470</v>
      </c>
      <c r="G141" s="27">
        <f>-G58</f>
        <v>-2418</v>
      </c>
      <c r="H141" s="27">
        <f>-H58</f>
        <v>-3339</v>
      </c>
      <c r="I141" s="6"/>
      <c r="J141" s="27">
        <f>-J58</f>
        <v>-472</v>
      </c>
      <c r="K141" s="27">
        <f>-K58</f>
        <v>-490</v>
      </c>
      <c r="L141" s="27">
        <f>-L58</f>
        <v>-415</v>
      </c>
      <c r="M141" s="27">
        <f>-M58</f>
        <v>-321</v>
      </c>
      <c r="N141" s="27">
        <f>-N58</f>
        <v>-1698</v>
      </c>
      <c r="O141" s="6"/>
      <c r="P141" s="27">
        <f>-P58</f>
        <v>-387</v>
      </c>
      <c r="Q141" s="27">
        <f>-Q58</f>
        <v>-565</v>
      </c>
      <c r="R141" s="27">
        <f>-R58</f>
        <v>-518</v>
      </c>
      <c r="S141" s="27">
        <f>-S58</f>
        <v>-276</v>
      </c>
      <c r="T141" s="27">
        <f>-T58</f>
        <v>-1746</v>
      </c>
      <c r="U141" s="6"/>
      <c r="V141" s="27">
        <f>-V58</f>
        <v>-425</v>
      </c>
      <c r="W141" s="27">
        <f>-W58</f>
        <v>-227</v>
      </c>
      <c r="X141" s="27">
        <f>-X58</f>
        <v>-187</v>
      </c>
      <c r="Y141" s="27">
        <f>-Y58</f>
        <v>-167</v>
      </c>
      <c r="Z141" s="27">
        <f>-Z58</f>
        <v>-1006</v>
      </c>
      <c r="AA141" s="6"/>
      <c r="AB141" s="27">
        <f>-AB58</f>
        <v>-475</v>
      </c>
      <c r="AC141" s="27">
        <f>-AC58</f>
        <v>-470</v>
      </c>
      <c r="AD141" s="27">
        <f>-AD58</f>
        <v>-368</v>
      </c>
      <c r="AE141" s="27">
        <f>-AE58</f>
        <v>-429</v>
      </c>
      <c r="AF141" s="27">
        <f>-AF58</f>
        <v>-1742</v>
      </c>
      <c r="AG141" s="27"/>
      <c r="AH141" s="27">
        <f>-AH58</f>
        <v>-469</v>
      </c>
      <c r="AI141" s="27">
        <f>-AI58</f>
        <v>-427</v>
      </c>
      <c r="AJ141" s="27">
        <f>-AJ58</f>
        <v>-527</v>
      </c>
      <c r="AK141" s="27">
        <f>-AK58</f>
        <v>-644</v>
      </c>
      <c r="AL141" s="27">
        <f>-AL58</f>
        <v>-2067</v>
      </c>
      <c r="AM141" s="27"/>
      <c r="AN141" s="27">
        <f>-AN58</f>
        <v>-708</v>
      </c>
      <c r="AO141" s="27">
        <f>-AO58</f>
        <v>-752</v>
      </c>
      <c r="AP141" s="27">
        <f>-AP58</f>
        <v>-734</v>
      </c>
      <c r="AQ141" s="27">
        <f>-AQ58</f>
        <v>-587</v>
      </c>
      <c r="AR141" s="27">
        <f>-AR58</f>
        <v>-2781</v>
      </c>
      <c r="AS141" s="27"/>
      <c r="AT141" s="27">
        <f>-AT58</f>
        <v>-688</v>
      </c>
      <c r="AU141" s="27">
        <f>-AU58</f>
        <v>-836</v>
      </c>
      <c r="AV141" s="235">
        <f>-AV58</f>
        <v>-642</v>
      </c>
      <c r="AW141" s="158">
        <f>-AW58</f>
        <v>-691.91810723097615</v>
      </c>
      <c r="AX141" s="27">
        <f>-AX58</f>
        <v>-2857.9181072309761</v>
      </c>
      <c r="AY141" s="27"/>
      <c r="AZ141" s="27">
        <f>-AZ58</f>
        <v>-721.59403941552534</v>
      </c>
      <c r="BA141" s="27">
        <f>-BA58</f>
        <v>-770.94314727293454</v>
      </c>
      <c r="BB141" s="27">
        <f t="shared" ref="BB141:BC141" si="1376">-BB58</f>
        <v>-699.74763920784892</v>
      </c>
      <c r="BC141" s="27">
        <f t="shared" si="1376"/>
        <v>-712.70890834415763</v>
      </c>
      <c r="BD141" s="27">
        <f>-BD58</f>
        <v>-2904.9937342404664</v>
      </c>
      <c r="BE141" s="27"/>
      <c r="BF141" s="27">
        <f>-BF58</f>
        <v>-781.46887404616348</v>
      </c>
      <c r="BG141" s="27">
        <f>-BG58</f>
        <v>-834.98838504607204</v>
      </c>
      <c r="BH141" s="27">
        <f t="shared" ref="BH141:BI141" si="1377">-BH58</f>
        <v>-762.46692884697745</v>
      </c>
      <c r="BI141" s="27">
        <f t="shared" si="1377"/>
        <v>-777.72866575040302</v>
      </c>
      <c r="BJ141" s="27">
        <f>-BJ58</f>
        <v>-3156.6528536896158</v>
      </c>
      <c r="BK141" s="27"/>
      <c r="BL141" s="27">
        <f>-BL58</f>
        <v>-826.2903384686407</v>
      </c>
      <c r="BM141" s="27">
        <f>-BM58</f>
        <v>-883.02446545369878</v>
      </c>
      <c r="BN141" s="27">
        <f t="shared" ref="BN141:BO141" si="1378">-BN58</f>
        <v>-809.54415236802743</v>
      </c>
      <c r="BO141" s="27">
        <f t="shared" si="1378"/>
        <v>-826.71947335786888</v>
      </c>
      <c r="BP141" s="27">
        <f>-BP58</f>
        <v>-3345.5784296482361</v>
      </c>
      <c r="BQ141" s="27"/>
      <c r="BR141" s="27">
        <f>-BR58</f>
        <v>-873.75518748057652</v>
      </c>
      <c r="BS141" s="27">
        <f>-BS58</f>
        <v>-933.89903454833393</v>
      </c>
      <c r="BT141" s="27">
        <f t="shared" ref="BT141:BU141" si="1379">-BT58</f>
        <v>-859.43613684335651</v>
      </c>
      <c r="BU141" s="27">
        <f t="shared" si="1379"/>
        <v>-878.60820665503684</v>
      </c>
      <c r="BV141" s="27">
        <f>-BV58</f>
        <v>-3545.6985655273038</v>
      </c>
      <c r="BW141" s="27"/>
      <c r="BX141" s="27">
        <f>-BX58</f>
        <v>-923.20899916174938</v>
      </c>
      <c r="BY141" s="27">
        <f>-BY58</f>
        <v>-987.6355038792683</v>
      </c>
      <c r="BZ141" s="27">
        <f t="shared" ref="BZ141:CA141" si="1380">-BZ58</f>
        <v>-912.1449922614097</v>
      </c>
      <c r="CA141" s="27">
        <f t="shared" si="1380"/>
        <v>-933.41753779903433</v>
      </c>
      <c r="CB141" s="27">
        <f>-CB58</f>
        <v>-3756.4070331014618</v>
      </c>
      <c r="CC141" s="27"/>
      <c r="CD141" s="27">
        <f>-CD58</f>
        <v>-975.45721626049169</v>
      </c>
      <c r="CE141" s="27">
        <f>-CE58</f>
        <v>-1042.8887288050878</v>
      </c>
      <c r="CF141" s="27">
        <f t="shared" ref="CF141:CG141" si="1381">-CF58</f>
        <v>-966.32344067103702</v>
      </c>
      <c r="CG141" s="27">
        <f t="shared" si="1381"/>
        <v>-989.80560417603738</v>
      </c>
      <c r="CH141" s="27">
        <f>-CH58</f>
        <v>-3974.4749899126541</v>
      </c>
      <c r="CI141" s="27"/>
      <c r="CJ141" s="27">
        <f>-CJ58</f>
        <v>-1030.9494514461182</v>
      </c>
      <c r="CK141" s="27">
        <f>-CK58</f>
        <v>-1103.2795243506018</v>
      </c>
      <c r="CL141" s="27">
        <f t="shared" ref="CL141:CM141" si="1382">-CL58</f>
        <v>-1025.6285772584035</v>
      </c>
      <c r="CM141" s="27">
        <f t="shared" si="1382"/>
        <v>-1051.4359333171194</v>
      </c>
      <c r="CN141" s="27">
        <f>-CN58</f>
        <v>-4211.293486372243</v>
      </c>
    </row>
    <row r="142" spans="2:92" ht="12.95" customHeight="1" x14ac:dyDescent="0.25">
      <c r="B142" s="26" t="s">
        <v>542</v>
      </c>
      <c r="C142" s="26"/>
      <c r="D142" s="473">
        <v>0</v>
      </c>
      <c r="E142" s="473">
        <v>0</v>
      </c>
      <c r="F142" s="473">
        <v>0</v>
      </c>
      <c r="G142" s="473">
        <v>1213</v>
      </c>
      <c r="H142" s="474">
        <f>SUM(D142:G142)</f>
        <v>1213</v>
      </c>
      <c r="I142" s="475"/>
      <c r="J142" s="473">
        <v>0</v>
      </c>
      <c r="K142" s="473">
        <v>0</v>
      </c>
      <c r="L142" s="473">
        <v>0</v>
      </c>
      <c r="M142" s="473">
        <v>220</v>
      </c>
      <c r="N142" s="474">
        <f>SUM(J142:M142)</f>
        <v>220</v>
      </c>
      <c r="O142" s="475"/>
      <c r="P142" s="473">
        <v>-11</v>
      </c>
      <c r="Q142" s="473">
        <v>-23</v>
      </c>
      <c r="R142" s="473">
        <v>21</v>
      </c>
      <c r="S142" s="473">
        <v>41</v>
      </c>
      <c r="T142" s="474">
        <f>SUM(P142:S142)</f>
        <v>28</v>
      </c>
      <c r="U142" s="475"/>
      <c r="V142" s="473">
        <v>20</v>
      </c>
      <c r="W142" s="473">
        <v>-52</v>
      </c>
      <c r="X142" s="473">
        <v>-6</v>
      </c>
      <c r="Y142" s="473">
        <v>-36</v>
      </c>
      <c r="Z142" s="474">
        <f>SUM(V142:Y142)</f>
        <v>-74</v>
      </c>
      <c r="AA142" s="473"/>
      <c r="AB142" s="473">
        <v>109</v>
      </c>
      <c r="AC142" s="473">
        <v>-41</v>
      </c>
      <c r="AD142" s="473">
        <v>-389</v>
      </c>
      <c r="AE142" s="473">
        <v>-62</v>
      </c>
      <c r="AF142" s="474">
        <f>SUM(AB142:AE142)</f>
        <v>-383</v>
      </c>
      <c r="AG142" s="28"/>
      <c r="AH142" s="473">
        <v>-99</v>
      </c>
      <c r="AI142" s="473">
        <v>-184</v>
      </c>
      <c r="AJ142" s="473">
        <v>-66</v>
      </c>
      <c r="AK142" s="473">
        <v>-28</v>
      </c>
      <c r="AL142" s="474">
        <f>SUM(AH142:AK142)</f>
        <v>-377</v>
      </c>
      <c r="AM142" s="28"/>
      <c r="AN142" s="473">
        <v>-191</v>
      </c>
      <c r="AO142" s="473">
        <v>-164</v>
      </c>
      <c r="AP142" s="473">
        <v>-93</v>
      </c>
      <c r="AQ142" s="473">
        <v>-144</v>
      </c>
      <c r="AR142" s="474">
        <f>SUM(AN142:AQ142)</f>
        <v>-592</v>
      </c>
      <c r="AS142" s="28"/>
      <c r="AT142" s="473">
        <v>-54</v>
      </c>
      <c r="AU142" s="473">
        <v>-79</v>
      </c>
      <c r="AV142" s="473">
        <v>-196</v>
      </c>
      <c r="AW142" s="615">
        <v>0</v>
      </c>
      <c r="AX142" s="474">
        <f>SUM(AT142:AW142)</f>
        <v>-329</v>
      </c>
      <c r="AY142" s="28"/>
      <c r="AZ142" s="473">
        <v>0</v>
      </c>
      <c r="BA142" s="473">
        <v>0</v>
      </c>
      <c r="BB142" s="473">
        <v>0</v>
      </c>
      <c r="BC142" s="473">
        <v>0</v>
      </c>
      <c r="BD142" s="474">
        <f>SUM(AZ142:BC142)</f>
        <v>0</v>
      </c>
      <c r="BE142" s="28"/>
      <c r="BF142" s="473">
        <v>0</v>
      </c>
      <c r="BG142" s="473">
        <v>0</v>
      </c>
      <c r="BH142" s="473">
        <v>0</v>
      </c>
      <c r="BI142" s="473">
        <v>0</v>
      </c>
      <c r="BJ142" s="474">
        <f>SUM(BF142:BI142)</f>
        <v>0</v>
      </c>
      <c r="BK142" s="28"/>
      <c r="BL142" s="473">
        <v>0</v>
      </c>
      <c r="BM142" s="473">
        <v>0</v>
      </c>
      <c r="BN142" s="473">
        <v>0</v>
      </c>
      <c r="BO142" s="473">
        <v>0</v>
      </c>
      <c r="BP142" s="474">
        <f>SUM(BL142:BO142)</f>
        <v>0</v>
      </c>
      <c r="BQ142" s="28"/>
      <c r="BR142" s="473">
        <v>0</v>
      </c>
      <c r="BS142" s="473">
        <v>0</v>
      </c>
      <c r="BT142" s="473">
        <v>0</v>
      </c>
      <c r="BU142" s="473">
        <v>0</v>
      </c>
      <c r="BV142" s="474">
        <f>SUM(BR142:BU142)</f>
        <v>0</v>
      </c>
      <c r="BW142" s="28"/>
      <c r="BX142" s="473">
        <v>0</v>
      </c>
      <c r="BY142" s="473">
        <v>0</v>
      </c>
      <c r="BZ142" s="473">
        <v>0</v>
      </c>
      <c r="CA142" s="473">
        <v>0</v>
      </c>
      <c r="CB142" s="474">
        <f>SUM(BX142:CA142)</f>
        <v>0</v>
      </c>
      <c r="CC142" s="28"/>
      <c r="CD142" s="473">
        <v>0</v>
      </c>
      <c r="CE142" s="473">
        <v>0</v>
      </c>
      <c r="CF142" s="473">
        <v>0</v>
      </c>
      <c r="CG142" s="473">
        <v>0</v>
      </c>
      <c r="CH142" s="474">
        <f>SUM(CD142:CG142)</f>
        <v>0</v>
      </c>
      <c r="CI142" s="28"/>
      <c r="CJ142" s="473">
        <v>0</v>
      </c>
      <c r="CK142" s="473">
        <v>0</v>
      </c>
      <c r="CL142" s="473">
        <v>0</v>
      </c>
      <c r="CM142" s="473">
        <v>0</v>
      </c>
      <c r="CN142" s="474">
        <f>SUM(CJ142:CM142)</f>
        <v>0</v>
      </c>
    </row>
    <row r="143" spans="2:92" ht="12.95" customHeight="1" x14ac:dyDescent="0.25">
      <c r="B143" s="2" t="s">
        <v>544</v>
      </c>
      <c r="D143" s="104">
        <f t="shared" ref="D143:H143" si="1383">SUM(D141:D142)</f>
        <v>-90</v>
      </c>
      <c r="E143" s="104">
        <f t="shared" si="1383"/>
        <v>-361</v>
      </c>
      <c r="F143" s="104">
        <f t="shared" si="1383"/>
        <v>-470</v>
      </c>
      <c r="G143" s="104">
        <f t="shared" si="1383"/>
        <v>-1205</v>
      </c>
      <c r="H143" s="104">
        <f t="shared" si="1383"/>
        <v>-2126</v>
      </c>
      <c r="I143" s="6"/>
      <c r="J143" s="104">
        <f t="shared" ref="J143" si="1384">SUM(J141:J142)</f>
        <v>-472</v>
      </c>
      <c r="K143" s="104">
        <f t="shared" ref="K143" si="1385">SUM(K141:K142)</f>
        <v>-490</v>
      </c>
      <c r="L143" s="104">
        <f t="shared" ref="L143" si="1386">SUM(L141:L142)</f>
        <v>-415</v>
      </c>
      <c r="M143" s="104">
        <f t="shared" ref="M143:N143" si="1387">SUM(M141:M142)</f>
        <v>-101</v>
      </c>
      <c r="N143" s="104">
        <f t="shared" si="1387"/>
        <v>-1478</v>
      </c>
      <c r="O143" s="6"/>
      <c r="P143" s="104">
        <f t="shared" ref="P143" si="1388">SUM(P141:P142)</f>
        <v>-398</v>
      </c>
      <c r="Q143" s="104">
        <f t="shared" ref="Q143" si="1389">SUM(Q141:Q142)</f>
        <v>-588</v>
      </c>
      <c r="R143" s="104">
        <f t="shared" ref="R143" si="1390">SUM(R141:R142)</f>
        <v>-497</v>
      </c>
      <c r="S143" s="104">
        <f t="shared" ref="S143:T143" si="1391">SUM(S141:S142)</f>
        <v>-235</v>
      </c>
      <c r="T143" s="104">
        <f t="shared" si="1391"/>
        <v>-1718</v>
      </c>
      <c r="U143" s="6"/>
      <c r="V143" s="104">
        <f t="shared" ref="V143" si="1392">SUM(V141:V142)</f>
        <v>-405</v>
      </c>
      <c r="W143" s="104">
        <f t="shared" ref="W143" si="1393">SUM(W141:W142)</f>
        <v>-279</v>
      </c>
      <c r="X143" s="104">
        <f t="shared" ref="X143" si="1394">SUM(X141:X142)</f>
        <v>-193</v>
      </c>
      <c r="Y143" s="104">
        <f t="shared" ref="Y143:Z143" si="1395">SUM(Y141:Y142)</f>
        <v>-203</v>
      </c>
      <c r="Z143" s="104">
        <f t="shared" si="1395"/>
        <v>-1080</v>
      </c>
      <c r="AA143" s="74"/>
      <c r="AB143" s="104">
        <f t="shared" ref="AB143" si="1396">SUM(AB141:AB142)</f>
        <v>-366</v>
      </c>
      <c r="AC143" s="104">
        <f t="shared" ref="AC143" si="1397">SUM(AC141:AC142)</f>
        <v>-511</v>
      </c>
      <c r="AD143" s="104">
        <f t="shared" ref="AD143" si="1398">SUM(AD141:AD142)</f>
        <v>-757</v>
      </c>
      <c r="AE143" s="104">
        <f t="shared" ref="AE143:AF143" si="1399">SUM(AE141:AE142)</f>
        <v>-491</v>
      </c>
      <c r="AF143" s="104">
        <f t="shared" si="1399"/>
        <v>-2125</v>
      </c>
      <c r="AG143" s="27"/>
      <c r="AH143" s="104">
        <f t="shared" ref="AH143" si="1400">SUM(AH141:AH142)</f>
        <v>-568</v>
      </c>
      <c r="AI143" s="104">
        <f t="shared" ref="AI143" si="1401">SUM(AI141:AI142)</f>
        <v>-611</v>
      </c>
      <c r="AJ143" s="104">
        <f t="shared" ref="AJ143" si="1402">SUM(AJ141:AJ142)</f>
        <v>-593</v>
      </c>
      <c r="AK143" s="104">
        <f t="shared" ref="AK143:AL143" si="1403">SUM(AK141:AK142)</f>
        <v>-672</v>
      </c>
      <c r="AL143" s="104">
        <f t="shared" si="1403"/>
        <v>-2444</v>
      </c>
      <c r="AM143" s="27"/>
      <c r="AN143" s="104">
        <f>SUM(AN141:AN142)</f>
        <v>-899</v>
      </c>
      <c r="AO143" s="104">
        <f t="shared" ref="AO143:AR143" si="1404">SUM(AO141:AO142)</f>
        <v>-916</v>
      </c>
      <c r="AP143" s="104">
        <f t="shared" si="1404"/>
        <v>-827</v>
      </c>
      <c r="AQ143" s="104">
        <f t="shared" si="1404"/>
        <v>-731</v>
      </c>
      <c r="AR143" s="104">
        <f t="shared" si="1404"/>
        <v>-3373</v>
      </c>
      <c r="AS143" s="27"/>
      <c r="AT143" s="104">
        <f>SUM(AT141:AT142)</f>
        <v>-742</v>
      </c>
      <c r="AU143" s="104">
        <f t="shared" ref="AU143:AV143" si="1405">SUM(AU141:AU142)</f>
        <v>-915</v>
      </c>
      <c r="AV143" s="246">
        <f t="shared" si="1405"/>
        <v>-838</v>
      </c>
      <c r="AW143" s="196">
        <f>SUM(AW141:AW142)</f>
        <v>-691.91810723097615</v>
      </c>
      <c r="AX143" s="104">
        <f t="shared" ref="AX143" si="1406">SUM(AX141:AX142)</f>
        <v>-3186.9181072309761</v>
      </c>
      <c r="AY143" s="27"/>
      <c r="AZ143" s="104">
        <f>SUM(AZ141:AZ142)</f>
        <v>-721.59403941552534</v>
      </c>
      <c r="BA143" s="104">
        <f t="shared" ref="BA143:BD143" si="1407">SUM(BA141:BA142)</f>
        <v>-770.94314727293454</v>
      </c>
      <c r="BB143" s="104">
        <f t="shared" si="1407"/>
        <v>-699.74763920784892</v>
      </c>
      <c r="BC143" s="104">
        <f t="shared" si="1407"/>
        <v>-712.70890834415763</v>
      </c>
      <c r="BD143" s="104">
        <f t="shared" si="1407"/>
        <v>-2904.9937342404664</v>
      </c>
      <c r="BE143" s="27"/>
      <c r="BF143" s="104">
        <f>SUM(BF141:BF142)</f>
        <v>-781.46887404616348</v>
      </c>
      <c r="BG143" s="104">
        <f t="shared" ref="BG143:BJ143" si="1408">SUM(BG141:BG142)</f>
        <v>-834.98838504607204</v>
      </c>
      <c r="BH143" s="104">
        <f t="shared" si="1408"/>
        <v>-762.46692884697745</v>
      </c>
      <c r="BI143" s="104">
        <f t="shared" si="1408"/>
        <v>-777.72866575040302</v>
      </c>
      <c r="BJ143" s="104">
        <f t="shared" si="1408"/>
        <v>-3156.6528536896158</v>
      </c>
      <c r="BK143" s="27"/>
      <c r="BL143" s="104">
        <f>SUM(BL141:BL142)</f>
        <v>-826.2903384686407</v>
      </c>
      <c r="BM143" s="104">
        <f t="shared" ref="BM143:BP143" si="1409">SUM(BM141:BM142)</f>
        <v>-883.02446545369878</v>
      </c>
      <c r="BN143" s="104">
        <f t="shared" si="1409"/>
        <v>-809.54415236802743</v>
      </c>
      <c r="BO143" s="104">
        <f t="shared" si="1409"/>
        <v>-826.71947335786888</v>
      </c>
      <c r="BP143" s="104">
        <f t="shared" si="1409"/>
        <v>-3345.5784296482361</v>
      </c>
      <c r="BQ143" s="27"/>
      <c r="BR143" s="104">
        <f>SUM(BR141:BR142)</f>
        <v>-873.75518748057652</v>
      </c>
      <c r="BS143" s="104">
        <f t="shared" ref="BS143:BV143" si="1410">SUM(BS141:BS142)</f>
        <v>-933.89903454833393</v>
      </c>
      <c r="BT143" s="104">
        <f t="shared" si="1410"/>
        <v>-859.43613684335651</v>
      </c>
      <c r="BU143" s="104">
        <f t="shared" si="1410"/>
        <v>-878.60820665503684</v>
      </c>
      <c r="BV143" s="104">
        <f t="shared" si="1410"/>
        <v>-3545.6985655273038</v>
      </c>
      <c r="BW143" s="27"/>
      <c r="BX143" s="104">
        <f>SUM(BX141:BX142)</f>
        <v>-923.20899916174938</v>
      </c>
      <c r="BY143" s="104">
        <f t="shared" ref="BY143:CB143" si="1411">SUM(BY141:BY142)</f>
        <v>-987.6355038792683</v>
      </c>
      <c r="BZ143" s="104">
        <f t="shared" si="1411"/>
        <v>-912.1449922614097</v>
      </c>
      <c r="CA143" s="104">
        <f t="shared" si="1411"/>
        <v>-933.41753779903433</v>
      </c>
      <c r="CB143" s="104">
        <f t="shared" si="1411"/>
        <v>-3756.4070331014618</v>
      </c>
      <c r="CC143" s="27"/>
      <c r="CD143" s="104">
        <f>SUM(CD141:CD142)</f>
        <v>-975.45721626049169</v>
      </c>
      <c r="CE143" s="104">
        <f t="shared" ref="CE143:CH143" si="1412">SUM(CE141:CE142)</f>
        <v>-1042.8887288050878</v>
      </c>
      <c r="CF143" s="104">
        <f t="shared" si="1412"/>
        <v>-966.32344067103702</v>
      </c>
      <c r="CG143" s="104">
        <f t="shared" si="1412"/>
        <v>-989.80560417603738</v>
      </c>
      <c r="CH143" s="104">
        <f t="shared" si="1412"/>
        <v>-3974.4749899126541</v>
      </c>
      <c r="CI143" s="27"/>
      <c r="CJ143" s="104">
        <f>SUM(CJ141:CJ142)</f>
        <v>-1030.9494514461182</v>
      </c>
      <c r="CK143" s="104">
        <f t="shared" ref="CK143:CN143" si="1413">SUM(CK141:CK142)</f>
        <v>-1103.2795243506018</v>
      </c>
      <c r="CL143" s="104">
        <f t="shared" si="1413"/>
        <v>-1025.6285772584035</v>
      </c>
      <c r="CM143" s="104">
        <f t="shared" si="1413"/>
        <v>-1051.4359333171194</v>
      </c>
      <c r="CN143" s="104">
        <f t="shared" si="1413"/>
        <v>-4211.293486372243</v>
      </c>
    </row>
    <row r="144" spans="2:92" ht="12.95" customHeight="1" x14ac:dyDescent="0.25">
      <c r="B144" s="2" t="s">
        <v>453</v>
      </c>
      <c r="D144" s="74">
        <v>0</v>
      </c>
      <c r="E144" s="248">
        <v>0</v>
      </c>
      <c r="F144" s="74">
        <v>0</v>
      </c>
      <c r="G144" s="248">
        <v>301</v>
      </c>
      <c r="H144" s="235">
        <f>SUM(D144:G144)</f>
        <v>301</v>
      </c>
      <c r="I144" s="6"/>
      <c r="J144" s="74">
        <v>0</v>
      </c>
      <c r="K144" s="248">
        <v>0</v>
      </c>
      <c r="L144" s="74">
        <v>0</v>
      </c>
      <c r="M144" s="248">
        <v>495</v>
      </c>
      <c r="N144" s="235">
        <f>SUM(J144:M144)</f>
        <v>495</v>
      </c>
      <c r="O144" s="6"/>
      <c r="P144" s="74">
        <v>0</v>
      </c>
      <c r="Q144" s="248">
        <v>0</v>
      </c>
      <c r="R144" s="74">
        <v>0</v>
      </c>
      <c r="S144" s="248">
        <v>468</v>
      </c>
      <c r="T144" s="235">
        <f>SUM(P144:S144)</f>
        <v>468</v>
      </c>
      <c r="U144" s="6"/>
      <c r="V144" s="74">
        <v>-254</v>
      </c>
      <c r="W144" s="248">
        <v>122</v>
      </c>
      <c r="X144" s="74">
        <v>77</v>
      </c>
      <c r="Y144" s="248">
        <v>438</v>
      </c>
      <c r="Z144" s="235">
        <f>SUM(V144:Y144)</f>
        <v>383</v>
      </c>
      <c r="AA144" s="74"/>
      <c r="AB144" s="74">
        <v>0</v>
      </c>
      <c r="AC144" s="248">
        <v>0</v>
      </c>
      <c r="AD144" s="74">
        <v>0</v>
      </c>
      <c r="AE144" s="248">
        <v>-833</v>
      </c>
      <c r="AF144" s="235">
        <f>SUM(AB144:AE144)</f>
        <v>-833</v>
      </c>
      <c r="AG144" s="27"/>
      <c r="AH144" s="74">
        <v>0</v>
      </c>
      <c r="AI144" s="248">
        <v>0</v>
      </c>
      <c r="AJ144" s="74">
        <v>0</v>
      </c>
      <c r="AK144" s="248">
        <v>-606</v>
      </c>
      <c r="AL144" s="235">
        <f>SUM(AH144:AK144)</f>
        <v>-606</v>
      </c>
      <c r="AM144" s="27"/>
      <c r="AN144" s="74">
        <v>0</v>
      </c>
      <c r="AO144" s="248">
        <v>0</v>
      </c>
      <c r="AP144" s="74">
        <v>0</v>
      </c>
      <c r="AQ144" s="248">
        <v>-97</v>
      </c>
      <c r="AR144" s="235">
        <f>SUM(AN144:AQ144)</f>
        <v>-97</v>
      </c>
      <c r="AS144" s="27"/>
      <c r="AT144" s="74">
        <v>0</v>
      </c>
      <c r="AU144" s="248">
        <v>0</v>
      </c>
      <c r="AV144" s="248">
        <v>0</v>
      </c>
      <c r="AW144" s="606">
        <v>0</v>
      </c>
      <c r="AX144" s="235">
        <f>SUM(AT144:AW144)</f>
        <v>0</v>
      </c>
      <c r="AY144" s="27"/>
      <c r="AZ144" s="248">
        <v>0</v>
      </c>
      <c r="BA144" s="248">
        <v>0</v>
      </c>
      <c r="BB144" s="248">
        <v>0</v>
      </c>
      <c r="BC144" s="248">
        <v>0</v>
      </c>
      <c r="BD144" s="235">
        <f>SUM(AZ144:BC144)</f>
        <v>0</v>
      </c>
      <c r="BE144" s="27"/>
      <c r="BF144" s="248">
        <v>0</v>
      </c>
      <c r="BG144" s="248">
        <v>0</v>
      </c>
      <c r="BH144" s="248">
        <v>0</v>
      </c>
      <c r="BI144" s="248">
        <v>0</v>
      </c>
      <c r="BJ144" s="235">
        <f>SUM(BF144:BI144)</f>
        <v>0</v>
      </c>
      <c r="BK144" s="27"/>
      <c r="BL144" s="248">
        <v>0</v>
      </c>
      <c r="BM144" s="248">
        <v>0</v>
      </c>
      <c r="BN144" s="248">
        <v>0</v>
      </c>
      <c r="BO144" s="248">
        <v>0</v>
      </c>
      <c r="BP144" s="235">
        <f>SUM(BL144:BO144)</f>
        <v>0</v>
      </c>
      <c r="BQ144" s="27"/>
      <c r="BR144" s="248">
        <v>0</v>
      </c>
      <c r="BS144" s="248">
        <v>0</v>
      </c>
      <c r="BT144" s="248">
        <v>0</v>
      </c>
      <c r="BU144" s="248">
        <v>0</v>
      </c>
      <c r="BV144" s="235">
        <f>SUM(BR144:BU144)</f>
        <v>0</v>
      </c>
      <c r="BW144" s="27"/>
      <c r="BX144" s="248">
        <v>0</v>
      </c>
      <c r="BY144" s="248">
        <v>0</v>
      </c>
      <c r="BZ144" s="248">
        <v>0</v>
      </c>
      <c r="CA144" s="248">
        <v>0</v>
      </c>
      <c r="CB144" s="235">
        <f>SUM(BX144:CA144)</f>
        <v>0</v>
      </c>
      <c r="CC144" s="27"/>
      <c r="CD144" s="248">
        <v>0</v>
      </c>
      <c r="CE144" s="248">
        <v>0</v>
      </c>
      <c r="CF144" s="248">
        <v>0</v>
      </c>
      <c r="CG144" s="248">
        <v>0</v>
      </c>
      <c r="CH144" s="235">
        <f>SUM(CD144:CG144)</f>
        <v>0</v>
      </c>
      <c r="CI144" s="27"/>
      <c r="CJ144" s="248">
        <v>0</v>
      </c>
      <c r="CK144" s="248">
        <v>0</v>
      </c>
      <c r="CL144" s="248">
        <v>0</v>
      </c>
      <c r="CM144" s="248">
        <v>0</v>
      </c>
      <c r="CN144" s="235">
        <f>SUM(CJ144:CM144)</f>
        <v>0</v>
      </c>
    </row>
    <row r="145" spans="2:92" ht="12.95" customHeight="1" x14ac:dyDescent="0.25">
      <c r="B145" s="2" t="s">
        <v>445</v>
      </c>
      <c r="D145" s="74">
        <v>0</v>
      </c>
      <c r="E145" s="248">
        <v>0</v>
      </c>
      <c r="F145" s="74">
        <v>0</v>
      </c>
      <c r="G145" s="248">
        <v>0</v>
      </c>
      <c r="H145" s="235">
        <f t="shared" ref="H145:H146" si="1414">SUM(D145:G145)</f>
        <v>0</v>
      </c>
      <c r="I145" s="6"/>
      <c r="J145" s="74">
        <v>0</v>
      </c>
      <c r="K145" s="248">
        <v>0</v>
      </c>
      <c r="L145" s="74">
        <v>0</v>
      </c>
      <c r="M145" s="248">
        <v>0</v>
      </c>
      <c r="N145" s="235">
        <f t="shared" ref="N145:N146" si="1415">SUM(J145:M145)</f>
        <v>0</v>
      </c>
      <c r="O145" s="6"/>
      <c r="P145" s="74">
        <v>0</v>
      </c>
      <c r="Q145" s="248">
        <v>0</v>
      </c>
      <c r="R145" s="74">
        <v>0</v>
      </c>
      <c r="S145" s="248">
        <v>0</v>
      </c>
      <c r="T145" s="235">
        <f t="shared" ref="T145:T146" si="1416">SUM(P145:S145)</f>
        <v>0</v>
      </c>
      <c r="U145" s="6"/>
      <c r="V145" s="74">
        <v>0</v>
      </c>
      <c r="W145" s="248">
        <v>0</v>
      </c>
      <c r="X145" s="74">
        <v>0</v>
      </c>
      <c r="Y145" s="248">
        <v>0</v>
      </c>
      <c r="Z145" s="235">
        <f t="shared" ref="Z145:Z146" si="1417">SUM(V145:Y145)</f>
        <v>0</v>
      </c>
      <c r="AA145" s="74"/>
      <c r="AB145" s="74">
        <v>0</v>
      </c>
      <c r="AC145" s="248">
        <v>0</v>
      </c>
      <c r="AD145" s="74">
        <v>0</v>
      </c>
      <c r="AE145" s="248">
        <v>0</v>
      </c>
      <c r="AF145" s="235">
        <f t="shared" ref="AF145:AF146" si="1418">SUM(AB145:AE145)</f>
        <v>0</v>
      </c>
      <c r="AG145" s="27"/>
      <c r="AH145" s="74">
        <v>0</v>
      </c>
      <c r="AI145" s="248">
        <v>0</v>
      </c>
      <c r="AJ145" s="74">
        <v>0</v>
      </c>
      <c r="AK145" s="248">
        <v>0</v>
      </c>
      <c r="AL145" s="235">
        <f t="shared" ref="AL145:AL146" si="1419">SUM(AH145:AK145)</f>
        <v>0</v>
      </c>
      <c r="AM145" s="27"/>
      <c r="AN145" s="74">
        <v>572</v>
      </c>
      <c r="AO145" s="248">
        <v>0</v>
      </c>
      <c r="AP145" s="74">
        <v>0</v>
      </c>
      <c r="AQ145" s="248">
        <v>0</v>
      </c>
      <c r="AR145" s="235">
        <f t="shared" ref="AR145:AR146" si="1420">SUM(AN145:AQ145)</f>
        <v>572</v>
      </c>
      <c r="AS145" s="27"/>
      <c r="AT145" s="74">
        <v>-64</v>
      </c>
      <c r="AU145" s="248">
        <v>228</v>
      </c>
      <c r="AV145" s="248">
        <v>0</v>
      </c>
      <c r="AW145" s="606">
        <v>0</v>
      </c>
      <c r="AX145" s="235">
        <f t="shared" ref="AX145:AX146" si="1421">SUM(AT145:AW145)</f>
        <v>164</v>
      </c>
      <c r="AY145" s="27"/>
      <c r="AZ145" s="248">
        <v>0</v>
      </c>
      <c r="BA145" s="248">
        <v>0</v>
      </c>
      <c r="BB145" s="248">
        <v>0</v>
      </c>
      <c r="BC145" s="248">
        <v>0</v>
      </c>
      <c r="BD145" s="235">
        <f t="shared" ref="BD145:BD146" si="1422">SUM(AZ145:BC145)</f>
        <v>0</v>
      </c>
      <c r="BE145" s="27"/>
      <c r="BF145" s="248">
        <v>0</v>
      </c>
      <c r="BG145" s="248">
        <v>0</v>
      </c>
      <c r="BH145" s="248">
        <v>0</v>
      </c>
      <c r="BI145" s="248">
        <v>0</v>
      </c>
      <c r="BJ145" s="235">
        <f t="shared" ref="BJ145:BJ146" si="1423">SUM(BF145:BI145)</f>
        <v>0</v>
      </c>
      <c r="BK145" s="27"/>
      <c r="BL145" s="248">
        <v>0</v>
      </c>
      <c r="BM145" s="248">
        <v>0</v>
      </c>
      <c r="BN145" s="248">
        <v>0</v>
      </c>
      <c r="BO145" s="248">
        <v>0</v>
      </c>
      <c r="BP145" s="235">
        <f t="shared" ref="BP145:BP146" si="1424">SUM(BL145:BO145)</f>
        <v>0</v>
      </c>
      <c r="BQ145" s="27"/>
      <c r="BR145" s="248">
        <v>0</v>
      </c>
      <c r="BS145" s="248">
        <v>0</v>
      </c>
      <c r="BT145" s="248">
        <v>0</v>
      </c>
      <c r="BU145" s="248">
        <v>0</v>
      </c>
      <c r="BV145" s="235">
        <f t="shared" ref="BV145:BV146" si="1425">SUM(BR145:BU145)</f>
        <v>0</v>
      </c>
      <c r="BW145" s="27"/>
      <c r="BX145" s="248">
        <v>0</v>
      </c>
      <c r="BY145" s="248">
        <v>0</v>
      </c>
      <c r="BZ145" s="248">
        <v>0</v>
      </c>
      <c r="CA145" s="248">
        <v>0</v>
      </c>
      <c r="CB145" s="235">
        <f t="shared" ref="CB145:CB146" si="1426">SUM(BX145:CA145)</f>
        <v>0</v>
      </c>
      <c r="CC145" s="27"/>
      <c r="CD145" s="248">
        <v>0</v>
      </c>
      <c r="CE145" s="248">
        <v>0</v>
      </c>
      <c r="CF145" s="248">
        <v>0</v>
      </c>
      <c r="CG145" s="248">
        <v>0</v>
      </c>
      <c r="CH145" s="235">
        <f t="shared" ref="CH145:CH146" si="1427">SUM(CD145:CG145)</f>
        <v>0</v>
      </c>
      <c r="CI145" s="27"/>
      <c r="CJ145" s="248">
        <v>0</v>
      </c>
      <c r="CK145" s="248">
        <v>0</v>
      </c>
      <c r="CL145" s="248">
        <v>0</v>
      </c>
      <c r="CM145" s="248">
        <v>0</v>
      </c>
      <c r="CN145" s="235">
        <f t="shared" ref="CN145:CN146" si="1428">SUM(CJ145:CM145)</f>
        <v>0</v>
      </c>
    </row>
    <row r="146" spans="2:92" ht="12.95" customHeight="1" x14ac:dyDescent="0.25">
      <c r="B146" s="2" t="s">
        <v>454</v>
      </c>
      <c r="D146" s="74">
        <v>0</v>
      </c>
      <c r="E146" s="248">
        <v>0</v>
      </c>
      <c r="F146" s="74">
        <v>0</v>
      </c>
      <c r="G146" s="248">
        <v>0</v>
      </c>
      <c r="H146" s="235">
        <f t="shared" si="1414"/>
        <v>0</v>
      </c>
      <c r="I146" s="6"/>
      <c r="J146" s="74">
        <v>0</v>
      </c>
      <c r="K146" s="248">
        <v>0</v>
      </c>
      <c r="L146" s="74">
        <v>0</v>
      </c>
      <c r="M146" s="248">
        <v>0</v>
      </c>
      <c r="N146" s="235">
        <f t="shared" si="1415"/>
        <v>0</v>
      </c>
      <c r="O146" s="6"/>
      <c r="P146" s="74">
        <v>0</v>
      </c>
      <c r="Q146" s="248">
        <v>0</v>
      </c>
      <c r="R146" s="74">
        <v>0</v>
      </c>
      <c r="S146" s="248">
        <v>0</v>
      </c>
      <c r="T146" s="235">
        <f t="shared" si="1416"/>
        <v>0</v>
      </c>
      <c r="U146" s="6"/>
      <c r="V146" s="74">
        <v>0</v>
      </c>
      <c r="W146" s="248">
        <v>0</v>
      </c>
      <c r="X146" s="74">
        <v>0</v>
      </c>
      <c r="Y146" s="248">
        <v>0</v>
      </c>
      <c r="Z146" s="235">
        <f t="shared" si="1417"/>
        <v>0</v>
      </c>
      <c r="AA146" s="74"/>
      <c r="AB146" s="74">
        <v>0</v>
      </c>
      <c r="AC146" s="248">
        <v>0</v>
      </c>
      <c r="AD146" s="74">
        <v>0</v>
      </c>
      <c r="AE146" s="248">
        <v>0</v>
      </c>
      <c r="AF146" s="235">
        <f t="shared" si="1418"/>
        <v>0</v>
      </c>
      <c r="AG146" s="27"/>
      <c r="AH146" s="74">
        <v>0</v>
      </c>
      <c r="AI146" s="248">
        <v>0</v>
      </c>
      <c r="AJ146" s="74">
        <v>0</v>
      </c>
      <c r="AK146" s="248">
        <v>925</v>
      </c>
      <c r="AL146" s="235">
        <f t="shared" si="1419"/>
        <v>925</v>
      </c>
      <c r="AM146" s="27"/>
      <c r="AN146" s="74">
        <v>0</v>
      </c>
      <c r="AO146" s="248">
        <v>0</v>
      </c>
      <c r="AP146" s="74">
        <v>0</v>
      </c>
      <c r="AQ146" s="248">
        <v>0</v>
      </c>
      <c r="AR146" s="235">
        <f t="shared" si="1420"/>
        <v>0</v>
      </c>
      <c r="AS146" s="27"/>
      <c r="AT146" s="74">
        <v>0</v>
      </c>
      <c r="AU146" s="248">
        <v>0</v>
      </c>
      <c r="AV146" s="248">
        <v>0</v>
      </c>
      <c r="AW146" s="606">
        <v>0</v>
      </c>
      <c r="AX146" s="235">
        <f t="shared" si="1421"/>
        <v>0</v>
      </c>
      <c r="AY146" s="27"/>
      <c r="AZ146" s="248">
        <v>0</v>
      </c>
      <c r="BA146" s="248">
        <v>0</v>
      </c>
      <c r="BB146" s="248">
        <v>0</v>
      </c>
      <c r="BC146" s="248">
        <v>0</v>
      </c>
      <c r="BD146" s="235">
        <f t="shared" si="1422"/>
        <v>0</v>
      </c>
      <c r="BE146" s="27"/>
      <c r="BF146" s="248">
        <v>0</v>
      </c>
      <c r="BG146" s="248">
        <v>0</v>
      </c>
      <c r="BH146" s="248">
        <v>0</v>
      </c>
      <c r="BI146" s="248">
        <v>0</v>
      </c>
      <c r="BJ146" s="235">
        <f t="shared" si="1423"/>
        <v>0</v>
      </c>
      <c r="BK146" s="27"/>
      <c r="BL146" s="248">
        <v>0</v>
      </c>
      <c r="BM146" s="248">
        <v>0</v>
      </c>
      <c r="BN146" s="248">
        <v>0</v>
      </c>
      <c r="BO146" s="248">
        <v>0</v>
      </c>
      <c r="BP146" s="235">
        <f t="shared" si="1424"/>
        <v>0</v>
      </c>
      <c r="BQ146" s="27"/>
      <c r="BR146" s="248">
        <v>0</v>
      </c>
      <c r="BS146" s="248">
        <v>0</v>
      </c>
      <c r="BT146" s="248">
        <v>0</v>
      </c>
      <c r="BU146" s="248">
        <v>0</v>
      </c>
      <c r="BV146" s="235">
        <f t="shared" si="1425"/>
        <v>0</v>
      </c>
      <c r="BW146" s="27"/>
      <c r="BX146" s="248">
        <v>0</v>
      </c>
      <c r="BY146" s="248">
        <v>0</v>
      </c>
      <c r="BZ146" s="248">
        <v>0</v>
      </c>
      <c r="CA146" s="248">
        <v>0</v>
      </c>
      <c r="CB146" s="235">
        <f t="shared" si="1426"/>
        <v>0</v>
      </c>
      <c r="CC146" s="27"/>
      <c r="CD146" s="248">
        <v>0</v>
      </c>
      <c r="CE146" s="248">
        <v>0</v>
      </c>
      <c r="CF146" s="248">
        <v>0</v>
      </c>
      <c r="CG146" s="248">
        <v>0</v>
      </c>
      <c r="CH146" s="235">
        <f t="shared" si="1427"/>
        <v>0</v>
      </c>
      <c r="CI146" s="27"/>
      <c r="CJ146" s="248">
        <v>0</v>
      </c>
      <c r="CK146" s="248">
        <v>0</v>
      </c>
      <c r="CL146" s="248">
        <v>0</v>
      </c>
      <c r="CM146" s="248">
        <v>0</v>
      </c>
      <c r="CN146" s="235">
        <f t="shared" si="1428"/>
        <v>0</v>
      </c>
    </row>
    <row r="147" spans="2:92" ht="12.95" customHeight="1" x14ac:dyDescent="0.25">
      <c r="B147" s="2" t="s">
        <v>450</v>
      </c>
      <c r="D147" s="104">
        <f t="shared" ref="D147:H148" si="1429">D53</f>
        <v>-123</v>
      </c>
      <c r="E147" s="104">
        <f t="shared" si="1429"/>
        <v>-121</v>
      </c>
      <c r="F147" s="104">
        <f t="shared" si="1429"/>
        <v>-118</v>
      </c>
      <c r="G147" s="104">
        <f t="shared" si="1429"/>
        <v>-169</v>
      </c>
      <c r="H147" s="104">
        <f t="shared" si="1429"/>
        <v>-531</v>
      </c>
      <c r="I147" s="6"/>
      <c r="J147" s="104">
        <f t="shared" ref="J147:N148" si="1430">J53</f>
        <v>-101</v>
      </c>
      <c r="K147" s="104">
        <f t="shared" si="1430"/>
        <v>-102</v>
      </c>
      <c r="L147" s="104">
        <f t="shared" si="1430"/>
        <v>-102</v>
      </c>
      <c r="M147" s="104">
        <f t="shared" si="1430"/>
        <v>-99</v>
      </c>
      <c r="N147" s="104">
        <f t="shared" si="1430"/>
        <v>-404</v>
      </c>
      <c r="O147" s="6"/>
      <c r="P147" s="104">
        <f t="shared" ref="P147:T148" si="1431">P53</f>
        <v>-103</v>
      </c>
      <c r="Q147" s="104">
        <f t="shared" si="1431"/>
        <v>-103</v>
      </c>
      <c r="R147" s="104">
        <f t="shared" si="1431"/>
        <v>-103</v>
      </c>
      <c r="S147" s="104">
        <f t="shared" si="1431"/>
        <v>-112</v>
      </c>
      <c r="T147" s="104">
        <f t="shared" si="1431"/>
        <v>-421</v>
      </c>
      <c r="U147" s="6"/>
      <c r="V147" s="104">
        <f t="shared" ref="V147:Z148" si="1432">V53</f>
        <v>-113</v>
      </c>
      <c r="W147" s="104">
        <f t="shared" si="1432"/>
        <v>-135</v>
      </c>
      <c r="X147" s="104">
        <f t="shared" si="1432"/>
        <v>-136</v>
      </c>
      <c r="Y147" s="104">
        <f t="shared" si="1432"/>
        <v>-130</v>
      </c>
      <c r="Z147" s="104">
        <f t="shared" si="1432"/>
        <v>-514</v>
      </c>
      <c r="AA147" s="74"/>
      <c r="AB147" s="104">
        <f t="shared" ref="AB147:AF148" si="1433">AB53</f>
        <v>-142</v>
      </c>
      <c r="AC147" s="104">
        <f t="shared" si="1433"/>
        <v>-120</v>
      </c>
      <c r="AD147" s="104">
        <f t="shared" si="1433"/>
        <v>-114</v>
      </c>
      <c r="AE147" s="104">
        <f t="shared" si="1433"/>
        <v>-112</v>
      </c>
      <c r="AF147" s="104">
        <f t="shared" si="1433"/>
        <v>-488</v>
      </c>
      <c r="AG147" s="27"/>
      <c r="AH147" s="104">
        <f t="shared" ref="AH147:AL148" si="1434">AH53</f>
        <v>-109</v>
      </c>
      <c r="AI147" s="104">
        <f t="shared" si="1434"/>
        <v>-108</v>
      </c>
      <c r="AJ147" s="104">
        <f t="shared" si="1434"/>
        <v>-109</v>
      </c>
      <c r="AK147" s="104">
        <f t="shared" si="1434"/>
        <v>-117</v>
      </c>
      <c r="AL147" s="104">
        <f t="shared" si="1434"/>
        <v>-443</v>
      </c>
      <c r="AM147" s="27"/>
      <c r="AN147" s="104">
        <f t="shared" ref="AN147:AR148" si="1435">AN53</f>
        <v>-129</v>
      </c>
      <c r="AO147" s="104">
        <f t="shared" si="1435"/>
        <v>-127</v>
      </c>
      <c r="AP147" s="104">
        <f t="shared" si="1435"/>
        <v>-129</v>
      </c>
      <c r="AQ147" s="104">
        <f t="shared" si="1435"/>
        <v>-126</v>
      </c>
      <c r="AR147" s="104">
        <f t="shared" si="1435"/>
        <v>-511</v>
      </c>
      <c r="AS147" s="27"/>
      <c r="AT147" s="104">
        <f t="shared" ref="AT147:AX148" si="1436">AT53</f>
        <v>-143</v>
      </c>
      <c r="AU147" s="104">
        <f t="shared" si="1436"/>
        <v>-137</v>
      </c>
      <c r="AV147" s="246">
        <f t="shared" si="1436"/>
        <v>-125</v>
      </c>
      <c r="AW147" s="196">
        <f t="shared" si="1436"/>
        <v>-125</v>
      </c>
      <c r="AX147" s="104">
        <f t="shared" si="1436"/>
        <v>-530</v>
      </c>
      <c r="AY147" s="27"/>
      <c r="AZ147" s="104">
        <f>AZ53</f>
        <v>-124.4841473132969</v>
      </c>
      <c r="BA147" s="104">
        <f>BA53</f>
        <v>-124.4841473132969</v>
      </c>
      <c r="BB147" s="104">
        <f t="shared" ref="BB147:BC147" si="1437">BB53</f>
        <v>-124.4841473132969</v>
      </c>
      <c r="BC147" s="104">
        <f t="shared" si="1437"/>
        <v>-124.4841473132969</v>
      </c>
      <c r="BD147" s="104">
        <f>BD53</f>
        <v>-497.93658925318761</v>
      </c>
      <c r="BE147" s="27"/>
      <c r="BF147" s="104">
        <f>BF53</f>
        <v>-124.4841473132969</v>
      </c>
      <c r="BG147" s="104">
        <f>BG53</f>
        <v>-124.4841473132969</v>
      </c>
      <c r="BH147" s="104">
        <f t="shared" ref="BH147:BI147" si="1438">BH53</f>
        <v>-124.4841473132969</v>
      </c>
      <c r="BI147" s="104">
        <f t="shared" si="1438"/>
        <v>-124.4841473132969</v>
      </c>
      <c r="BJ147" s="104">
        <f>BJ53</f>
        <v>-497.93658925318761</v>
      </c>
      <c r="BK147" s="27"/>
      <c r="BL147" s="104">
        <f>BL53</f>
        <v>-124.4841473132969</v>
      </c>
      <c r="BM147" s="104">
        <f>BM53</f>
        <v>-124.4841473132969</v>
      </c>
      <c r="BN147" s="104">
        <f t="shared" ref="BN147:BO147" si="1439">BN53</f>
        <v>-124.4841473132969</v>
      </c>
      <c r="BO147" s="104">
        <f t="shared" si="1439"/>
        <v>-124.4841473132969</v>
      </c>
      <c r="BP147" s="104">
        <f>BP53</f>
        <v>-497.93658925318761</v>
      </c>
      <c r="BQ147" s="27"/>
      <c r="BR147" s="104">
        <f>BR53</f>
        <v>-124.4841473132969</v>
      </c>
      <c r="BS147" s="104">
        <f>BS53</f>
        <v>-124.4841473132969</v>
      </c>
      <c r="BT147" s="104">
        <f t="shared" ref="BT147:BU147" si="1440">BT53</f>
        <v>-124.4841473132969</v>
      </c>
      <c r="BU147" s="104">
        <f t="shared" si="1440"/>
        <v>-124.4841473132969</v>
      </c>
      <c r="BV147" s="104">
        <f>BV53</f>
        <v>-497.93658925318761</v>
      </c>
      <c r="BW147" s="27"/>
      <c r="BX147" s="104">
        <f>BX53</f>
        <v>-124.4841473132969</v>
      </c>
      <c r="BY147" s="104">
        <f>BY53</f>
        <v>-121.2875848132969</v>
      </c>
      <c r="BZ147" s="104">
        <f t="shared" ref="BZ147:CA147" si="1441">BZ53</f>
        <v>-121.2875848132969</v>
      </c>
      <c r="CA147" s="104">
        <f t="shared" si="1441"/>
        <v>-121.2875848132969</v>
      </c>
      <c r="CB147" s="104">
        <f>CB53</f>
        <v>-488.34690175318764</v>
      </c>
      <c r="CC147" s="27"/>
      <c r="CD147" s="104">
        <f>CD53</f>
        <v>-121.2875848132969</v>
      </c>
      <c r="CE147" s="104">
        <f>CE53</f>
        <v>-121.2875848132969</v>
      </c>
      <c r="CF147" s="104">
        <f t="shared" ref="CF147:CG147" si="1442">CF53</f>
        <v>-121.2875848132969</v>
      </c>
      <c r="CG147" s="104">
        <f t="shared" si="1442"/>
        <v>-121.2875848132969</v>
      </c>
      <c r="CH147" s="104">
        <f>CH53</f>
        <v>-485.15033925318761</v>
      </c>
      <c r="CI147" s="27"/>
      <c r="CJ147" s="104">
        <f>CJ53</f>
        <v>-118.93633481329691</v>
      </c>
      <c r="CK147" s="104">
        <f>CK53</f>
        <v>-114.5380848132969</v>
      </c>
      <c r="CL147" s="104">
        <f t="shared" ref="CL147:CM147" si="1443">CL53</f>
        <v>-114.5380848132969</v>
      </c>
      <c r="CM147" s="104">
        <f t="shared" si="1443"/>
        <v>-114.5380848132969</v>
      </c>
      <c r="CN147" s="104">
        <f>CN53</f>
        <v>-462.55058925318764</v>
      </c>
    </row>
    <row r="148" spans="2:92" ht="12.95" customHeight="1" x14ac:dyDescent="0.25">
      <c r="B148" s="2" t="s">
        <v>451</v>
      </c>
      <c r="D148" s="104">
        <f t="shared" si="1429"/>
        <v>32</v>
      </c>
      <c r="E148" s="104">
        <f t="shared" si="1429"/>
        <v>96</v>
      </c>
      <c r="F148" s="104">
        <f t="shared" si="1429"/>
        <v>132</v>
      </c>
      <c r="G148" s="104">
        <f t="shared" si="1429"/>
        <v>-107</v>
      </c>
      <c r="H148" s="104">
        <f t="shared" si="1429"/>
        <v>153</v>
      </c>
      <c r="I148" s="6"/>
      <c r="J148" s="104">
        <f t="shared" si="1430"/>
        <v>127</v>
      </c>
      <c r="K148" s="104">
        <f t="shared" si="1430"/>
        <v>121</v>
      </c>
      <c r="L148" s="104">
        <f t="shared" si="1430"/>
        <v>102</v>
      </c>
      <c r="M148" s="104">
        <f t="shared" si="1430"/>
        <v>-417</v>
      </c>
      <c r="N148" s="104">
        <f t="shared" si="1430"/>
        <v>-67</v>
      </c>
      <c r="O148" s="6"/>
      <c r="P148" s="104">
        <f t="shared" si="1431"/>
        <v>160</v>
      </c>
      <c r="Q148" s="104">
        <f t="shared" si="1431"/>
        <v>68</v>
      </c>
      <c r="R148" s="104">
        <f t="shared" si="1431"/>
        <v>88</v>
      </c>
      <c r="S148" s="104">
        <f t="shared" si="1431"/>
        <v>-373</v>
      </c>
      <c r="T148" s="104">
        <f t="shared" si="1431"/>
        <v>-57</v>
      </c>
      <c r="U148" s="6"/>
      <c r="V148" s="104">
        <f t="shared" si="1432"/>
        <v>222</v>
      </c>
      <c r="W148" s="104">
        <f t="shared" si="1432"/>
        <v>29</v>
      </c>
      <c r="X148" s="104">
        <f t="shared" si="1432"/>
        <v>14</v>
      </c>
      <c r="Y148" s="104">
        <f t="shared" si="1432"/>
        <v>-309</v>
      </c>
      <c r="Z148" s="104">
        <f t="shared" si="1432"/>
        <v>-44</v>
      </c>
      <c r="AA148" s="74"/>
      <c r="AB148" s="104">
        <f t="shared" si="1433"/>
        <v>325</v>
      </c>
      <c r="AC148" s="104">
        <f t="shared" si="1433"/>
        <v>201</v>
      </c>
      <c r="AD148" s="104">
        <f t="shared" si="1433"/>
        <v>225</v>
      </c>
      <c r="AE148" s="104">
        <f t="shared" si="1433"/>
        <v>1063</v>
      </c>
      <c r="AF148" s="104">
        <f t="shared" si="1433"/>
        <v>1814</v>
      </c>
      <c r="AG148" s="27"/>
      <c r="AH148" s="104">
        <f t="shared" si="1434"/>
        <v>253</v>
      </c>
      <c r="AI148" s="104">
        <f t="shared" si="1434"/>
        <v>260</v>
      </c>
      <c r="AJ148" s="104">
        <f t="shared" si="1434"/>
        <v>242</v>
      </c>
      <c r="AK148" s="104">
        <f t="shared" si="1434"/>
        <v>536</v>
      </c>
      <c r="AL148" s="104">
        <f t="shared" si="1434"/>
        <v>1291</v>
      </c>
      <c r="AM148" s="27"/>
      <c r="AN148" s="104">
        <f t="shared" si="1435"/>
        <v>32</v>
      </c>
      <c r="AO148" s="104">
        <f t="shared" si="1435"/>
        <v>127</v>
      </c>
      <c r="AP148" s="104">
        <f t="shared" si="1435"/>
        <v>195</v>
      </c>
      <c r="AQ148" s="104">
        <f t="shared" si="1435"/>
        <v>241</v>
      </c>
      <c r="AR148" s="104">
        <f t="shared" si="1435"/>
        <v>595</v>
      </c>
      <c r="AS148" s="27"/>
      <c r="AT148" s="104">
        <f t="shared" si="1436"/>
        <v>156</v>
      </c>
      <c r="AU148" s="104">
        <f t="shared" si="1436"/>
        <v>155</v>
      </c>
      <c r="AV148" s="246">
        <f t="shared" si="1436"/>
        <v>76</v>
      </c>
      <c r="AW148" s="196">
        <f t="shared" si="1436"/>
        <v>100</v>
      </c>
      <c r="AX148" s="104">
        <f t="shared" si="1436"/>
        <v>487</v>
      </c>
      <c r="AY148" s="27"/>
      <c r="AZ148" s="104">
        <f>AZ54</f>
        <v>100</v>
      </c>
      <c r="BA148" s="104">
        <f>BA54</f>
        <v>100</v>
      </c>
      <c r="BB148" s="104">
        <f t="shared" ref="BB148:BC148" si="1444">BB54</f>
        <v>100</v>
      </c>
      <c r="BC148" s="104">
        <f t="shared" si="1444"/>
        <v>100</v>
      </c>
      <c r="BD148" s="104">
        <f>BD54</f>
        <v>400</v>
      </c>
      <c r="BE148" s="27"/>
      <c r="BF148" s="104">
        <f>BF54</f>
        <v>100</v>
      </c>
      <c r="BG148" s="104">
        <f>BG54</f>
        <v>100</v>
      </c>
      <c r="BH148" s="104">
        <f t="shared" ref="BH148:BI148" si="1445">BH54</f>
        <v>100</v>
      </c>
      <c r="BI148" s="104">
        <f t="shared" si="1445"/>
        <v>100</v>
      </c>
      <c r="BJ148" s="104">
        <f>BJ54</f>
        <v>400</v>
      </c>
      <c r="BK148" s="27"/>
      <c r="BL148" s="104">
        <f>BL54</f>
        <v>100</v>
      </c>
      <c r="BM148" s="104">
        <f>BM54</f>
        <v>100</v>
      </c>
      <c r="BN148" s="104">
        <f t="shared" ref="BN148:BO148" si="1446">BN54</f>
        <v>100</v>
      </c>
      <c r="BO148" s="104">
        <f t="shared" si="1446"/>
        <v>100</v>
      </c>
      <c r="BP148" s="104">
        <f>BP54</f>
        <v>400</v>
      </c>
      <c r="BQ148" s="27"/>
      <c r="BR148" s="104">
        <f>BR54</f>
        <v>100</v>
      </c>
      <c r="BS148" s="104">
        <f>BS54</f>
        <v>100</v>
      </c>
      <c r="BT148" s="104">
        <f t="shared" ref="BT148:BU148" si="1447">BT54</f>
        <v>100</v>
      </c>
      <c r="BU148" s="104">
        <f t="shared" si="1447"/>
        <v>100</v>
      </c>
      <c r="BV148" s="104">
        <f>BV54</f>
        <v>400</v>
      </c>
      <c r="BW148" s="27"/>
      <c r="BX148" s="104">
        <f>BX54</f>
        <v>100</v>
      </c>
      <c r="BY148" s="104">
        <f>BY54</f>
        <v>100</v>
      </c>
      <c r="BZ148" s="104">
        <f t="shared" ref="BZ148:CA148" si="1448">BZ54</f>
        <v>100</v>
      </c>
      <c r="CA148" s="104">
        <f t="shared" si="1448"/>
        <v>100</v>
      </c>
      <c r="CB148" s="104">
        <f>CB54</f>
        <v>400</v>
      </c>
      <c r="CC148" s="27"/>
      <c r="CD148" s="104">
        <f>CD54</f>
        <v>100</v>
      </c>
      <c r="CE148" s="104">
        <f>CE54</f>
        <v>100</v>
      </c>
      <c r="CF148" s="104">
        <f t="shared" ref="CF148:CG148" si="1449">CF54</f>
        <v>100</v>
      </c>
      <c r="CG148" s="104">
        <f t="shared" si="1449"/>
        <v>100</v>
      </c>
      <c r="CH148" s="104">
        <f>CH54</f>
        <v>400</v>
      </c>
      <c r="CI148" s="27"/>
      <c r="CJ148" s="104">
        <f>CJ54</f>
        <v>100</v>
      </c>
      <c r="CK148" s="104">
        <f>CK54</f>
        <v>100</v>
      </c>
      <c r="CL148" s="104">
        <f t="shared" ref="CL148:CM148" si="1450">CL54</f>
        <v>100</v>
      </c>
      <c r="CM148" s="104">
        <f t="shared" si="1450"/>
        <v>100</v>
      </c>
      <c r="CN148" s="104">
        <f>CN54</f>
        <v>400</v>
      </c>
    </row>
    <row r="149" spans="2:92" ht="12.95" customHeight="1" x14ac:dyDescent="0.25">
      <c r="B149" s="2" t="s">
        <v>452</v>
      </c>
      <c r="D149" s="104">
        <f>D61</f>
        <v>-5</v>
      </c>
      <c r="E149" s="104">
        <f>E61</f>
        <v>5</v>
      </c>
      <c r="F149" s="104">
        <f>F61</f>
        <v>8</v>
      </c>
      <c r="G149" s="104">
        <f>G61</f>
        <v>8</v>
      </c>
      <c r="H149" s="104">
        <f>H61</f>
        <v>16</v>
      </c>
      <c r="I149" s="6"/>
      <c r="J149" s="104">
        <f>J61</f>
        <v>5</v>
      </c>
      <c r="K149" s="104">
        <f>K61</f>
        <v>9</v>
      </c>
      <c r="L149" s="104">
        <f>L61</f>
        <v>7</v>
      </c>
      <c r="M149" s="104">
        <f>M61</f>
        <v>3</v>
      </c>
      <c r="N149" s="104">
        <f>N61</f>
        <v>24</v>
      </c>
      <c r="O149" s="6"/>
      <c r="P149" s="104">
        <f>P61</f>
        <v>7</v>
      </c>
      <c r="Q149" s="104">
        <f>Q61</f>
        <v>6</v>
      </c>
      <c r="R149" s="104">
        <f>R61</f>
        <v>7</v>
      </c>
      <c r="S149" s="104">
        <f>S61</f>
        <v>8</v>
      </c>
      <c r="T149" s="104">
        <f>T61</f>
        <v>28</v>
      </c>
      <c r="U149" s="6"/>
      <c r="V149" s="104">
        <f>V61</f>
        <v>5</v>
      </c>
      <c r="W149" s="104">
        <f>W61</f>
        <v>8</v>
      </c>
      <c r="X149" s="104">
        <f>X61</f>
        <v>-5</v>
      </c>
      <c r="Y149" s="104">
        <f>Y61</f>
        <v>6</v>
      </c>
      <c r="Z149" s="104">
        <f>Z61</f>
        <v>14</v>
      </c>
      <c r="AA149" s="74"/>
      <c r="AB149" s="104">
        <f>AB61</f>
        <v>9</v>
      </c>
      <c r="AC149" s="104">
        <f>AC61</f>
        <v>14</v>
      </c>
      <c r="AD149" s="104">
        <f>AD61</f>
        <v>21</v>
      </c>
      <c r="AE149" s="104">
        <f>AE61</f>
        <v>-13</v>
      </c>
      <c r="AF149" s="104">
        <f>AF61</f>
        <v>31</v>
      </c>
      <c r="AG149" s="27"/>
      <c r="AH149" s="104">
        <f>AH61</f>
        <v>7</v>
      </c>
      <c r="AI149" s="104">
        <f>AI61</f>
        <v>4</v>
      </c>
      <c r="AJ149" s="104">
        <f>AJ61</f>
        <v>9</v>
      </c>
      <c r="AK149" s="104">
        <f>AK61</f>
        <v>-1</v>
      </c>
      <c r="AL149" s="104">
        <f>AL61</f>
        <v>19</v>
      </c>
      <c r="AM149" s="27"/>
      <c r="AN149" s="104">
        <f>AN61</f>
        <v>16</v>
      </c>
      <c r="AO149" s="104">
        <f>AO61</f>
        <v>24</v>
      </c>
      <c r="AP149" s="104">
        <f>AP61</f>
        <v>12</v>
      </c>
      <c r="AQ149" s="104">
        <f>AQ61</f>
        <v>11</v>
      </c>
      <c r="AR149" s="104">
        <f>AR61</f>
        <v>63</v>
      </c>
      <c r="AS149" s="27"/>
      <c r="AT149" s="104">
        <f>AT61</f>
        <v>10</v>
      </c>
      <c r="AU149" s="104">
        <f>AU61</f>
        <v>17</v>
      </c>
      <c r="AV149" s="246">
        <f>AV61</f>
        <v>7</v>
      </c>
      <c r="AW149" s="196">
        <f>AW61</f>
        <v>10</v>
      </c>
      <c r="AX149" s="104">
        <f>AX61</f>
        <v>44</v>
      </c>
      <c r="AY149" s="27"/>
      <c r="AZ149" s="104">
        <f>AZ61</f>
        <v>10</v>
      </c>
      <c r="BA149" s="104">
        <f>BA61</f>
        <v>10</v>
      </c>
      <c r="BB149" s="104">
        <f t="shared" ref="BB149:BC149" si="1451">BB61</f>
        <v>10</v>
      </c>
      <c r="BC149" s="104">
        <f t="shared" si="1451"/>
        <v>10</v>
      </c>
      <c r="BD149" s="104">
        <f>BD61</f>
        <v>40</v>
      </c>
      <c r="BE149" s="27"/>
      <c r="BF149" s="104">
        <f>BF61</f>
        <v>10</v>
      </c>
      <c r="BG149" s="104">
        <f>BG61</f>
        <v>10</v>
      </c>
      <c r="BH149" s="104">
        <f t="shared" ref="BH149:BI149" si="1452">BH61</f>
        <v>10</v>
      </c>
      <c r="BI149" s="104">
        <f t="shared" si="1452"/>
        <v>10</v>
      </c>
      <c r="BJ149" s="104">
        <f>BJ61</f>
        <v>40</v>
      </c>
      <c r="BK149" s="27"/>
      <c r="BL149" s="104">
        <f>BL61</f>
        <v>10</v>
      </c>
      <c r="BM149" s="104">
        <f>BM61</f>
        <v>10</v>
      </c>
      <c r="BN149" s="104">
        <f t="shared" ref="BN149:BO149" si="1453">BN61</f>
        <v>10</v>
      </c>
      <c r="BO149" s="104">
        <f t="shared" si="1453"/>
        <v>10</v>
      </c>
      <c r="BP149" s="104">
        <f>BP61</f>
        <v>40</v>
      </c>
      <c r="BQ149" s="27"/>
      <c r="BR149" s="104">
        <f>BR61</f>
        <v>10</v>
      </c>
      <c r="BS149" s="104">
        <f>BS61</f>
        <v>10</v>
      </c>
      <c r="BT149" s="104">
        <f t="shared" ref="BT149:BU149" si="1454">BT61</f>
        <v>10</v>
      </c>
      <c r="BU149" s="104">
        <f t="shared" si="1454"/>
        <v>10</v>
      </c>
      <c r="BV149" s="104">
        <f>BV61</f>
        <v>40</v>
      </c>
      <c r="BW149" s="27"/>
      <c r="BX149" s="104">
        <f>BX61</f>
        <v>10</v>
      </c>
      <c r="BY149" s="104">
        <f>BY61</f>
        <v>10</v>
      </c>
      <c r="BZ149" s="104">
        <f t="shared" ref="BZ149:CA149" si="1455">BZ61</f>
        <v>10</v>
      </c>
      <c r="CA149" s="104">
        <f t="shared" si="1455"/>
        <v>10</v>
      </c>
      <c r="CB149" s="104">
        <f>CB61</f>
        <v>40</v>
      </c>
      <c r="CC149" s="27"/>
      <c r="CD149" s="104">
        <f>CD61</f>
        <v>10</v>
      </c>
      <c r="CE149" s="104">
        <f>CE61</f>
        <v>10</v>
      </c>
      <c r="CF149" s="104">
        <f t="shared" ref="CF149:CG149" si="1456">CF61</f>
        <v>10</v>
      </c>
      <c r="CG149" s="104">
        <f t="shared" si="1456"/>
        <v>10</v>
      </c>
      <c r="CH149" s="104">
        <f>CH61</f>
        <v>40</v>
      </c>
      <c r="CI149" s="27"/>
      <c r="CJ149" s="104">
        <f>CJ61</f>
        <v>10</v>
      </c>
      <c r="CK149" s="104">
        <f>CK61</f>
        <v>10</v>
      </c>
      <c r="CL149" s="104">
        <f t="shared" ref="CL149:CM149" si="1457">CL61</f>
        <v>10</v>
      </c>
      <c r="CM149" s="104">
        <f t="shared" si="1457"/>
        <v>10</v>
      </c>
      <c r="CN149" s="104">
        <f>CN61</f>
        <v>40</v>
      </c>
    </row>
    <row r="150" spans="2:92" ht="12.95" customHeight="1" x14ac:dyDescent="0.25">
      <c r="B150" s="2" t="s">
        <v>65</v>
      </c>
      <c r="D150" s="75">
        <v>302</v>
      </c>
      <c r="E150" s="255">
        <v>188</v>
      </c>
      <c r="F150" s="75">
        <v>106</v>
      </c>
      <c r="G150" s="255">
        <v>154</v>
      </c>
      <c r="H150" s="235">
        <f t="shared" ref="H150" si="1458">SUM(D150:G150)</f>
        <v>750</v>
      </c>
      <c r="I150" s="6"/>
      <c r="J150" s="75">
        <v>148</v>
      </c>
      <c r="K150" s="255">
        <v>298</v>
      </c>
      <c r="L150" s="75">
        <v>184</v>
      </c>
      <c r="M150" s="255">
        <v>376</v>
      </c>
      <c r="N150" s="235">
        <f t="shared" ref="N150" si="1459">SUM(J150:M150)</f>
        <v>1006</v>
      </c>
      <c r="O150" s="6"/>
      <c r="P150" s="75">
        <v>88</v>
      </c>
      <c r="Q150" s="255">
        <v>352</v>
      </c>
      <c r="R150" s="75">
        <v>187</v>
      </c>
      <c r="S150" s="255">
        <v>48</v>
      </c>
      <c r="T150" s="235">
        <f t="shared" ref="T150" si="1460">SUM(P150:S150)</f>
        <v>675</v>
      </c>
      <c r="U150" s="6"/>
      <c r="V150" s="75">
        <v>534</v>
      </c>
      <c r="W150" s="255">
        <v>140</v>
      </c>
      <c r="X150" s="75">
        <v>245</v>
      </c>
      <c r="Y150" s="255">
        <v>81</v>
      </c>
      <c r="Z150" s="235">
        <f t="shared" ref="Z150" si="1461">SUM(V150:Y150)</f>
        <v>1000</v>
      </c>
      <c r="AA150" s="6"/>
      <c r="AB150" s="75">
        <v>-104</v>
      </c>
      <c r="AC150" s="255">
        <v>84</v>
      </c>
      <c r="AD150" s="75">
        <v>122</v>
      </c>
      <c r="AE150" s="255">
        <v>114</v>
      </c>
      <c r="AF150" s="235">
        <f t="shared" ref="AF150" si="1462">SUM(AB150:AE150)</f>
        <v>216</v>
      </c>
      <c r="AG150" s="27"/>
      <c r="AH150" s="75">
        <v>-52</v>
      </c>
      <c r="AI150" s="255">
        <v>101</v>
      </c>
      <c r="AJ150" s="75">
        <v>83</v>
      </c>
      <c r="AK150" s="255">
        <v>569</v>
      </c>
      <c r="AL150" s="235">
        <f t="shared" ref="AL150" si="1463">SUM(AH150:AK150)</f>
        <v>701</v>
      </c>
      <c r="AM150" s="27"/>
      <c r="AN150" s="75">
        <v>117</v>
      </c>
      <c r="AO150" s="255">
        <v>-11</v>
      </c>
      <c r="AP150" s="75">
        <v>99</v>
      </c>
      <c r="AQ150" s="255">
        <v>170</v>
      </c>
      <c r="AR150" s="235">
        <f t="shared" ref="AR150" si="1464">SUM(AN150:AQ150)</f>
        <v>375</v>
      </c>
      <c r="AS150" s="27"/>
      <c r="AT150" s="75">
        <v>-5</v>
      </c>
      <c r="AU150" s="255">
        <v>110</v>
      </c>
      <c r="AV150" s="255">
        <v>116</v>
      </c>
      <c r="AW150" s="568">
        <v>0</v>
      </c>
      <c r="AX150" s="235">
        <f t="shared" ref="AX150" si="1465">SUM(AT150:AW150)</f>
        <v>221</v>
      </c>
      <c r="AY150" s="27"/>
      <c r="AZ150" s="559">
        <v>0</v>
      </c>
      <c r="BA150" s="559">
        <v>0</v>
      </c>
      <c r="BB150" s="559">
        <v>0</v>
      </c>
      <c r="BC150" s="559">
        <v>0</v>
      </c>
      <c r="BD150" s="235">
        <f t="shared" ref="BD150" si="1466">SUM(AZ150:BC150)</f>
        <v>0</v>
      </c>
      <c r="BE150" s="27"/>
      <c r="BF150" s="559">
        <v>0</v>
      </c>
      <c r="BG150" s="559">
        <v>0</v>
      </c>
      <c r="BH150" s="559">
        <v>0</v>
      </c>
      <c r="BI150" s="559">
        <v>0</v>
      </c>
      <c r="BJ150" s="235">
        <f t="shared" ref="BJ150" si="1467">SUM(BF150:BI150)</f>
        <v>0</v>
      </c>
      <c r="BK150" s="27"/>
      <c r="BL150" s="559">
        <v>0</v>
      </c>
      <c r="BM150" s="559">
        <v>0</v>
      </c>
      <c r="BN150" s="559">
        <v>0</v>
      </c>
      <c r="BO150" s="559">
        <v>0</v>
      </c>
      <c r="BP150" s="235">
        <f t="shared" ref="BP150" si="1468">SUM(BL150:BO150)</f>
        <v>0</v>
      </c>
      <c r="BQ150" s="27"/>
      <c r="BR150" s="559">
        <v>0</v>
      </c>
      <c r="BS150" s="559">
        <v>0</v>
      </c>
      <c r="BT150" s="559">
        <v>0</v>
      </c>
      <c r="BU150" s="559">
        <v>0</v>
      </c>
      <c r="BV150" s="235">
        <f t="shared" ref="BV150" si="1469">SUM(BR150:BU150)</f>
        <v>0</v>
      </c>
      <c r="BW150" s="27"/>
      <c r="BX150" s="559">
        <v>0</v>
      </c>
      <c r="BY150" s="559">
        <v>0</v>
      </c>
      <c r="BZ150" s="559">
        <v>0</v>
      </c>
      <c r="CA150" s="559">
        <v>0</v>
      </c>
      <c r="CB150" s="235">
        <f t="shared" ref="CB150" si="1470">SUM(BX150:CA150)</f>
        <v>0</v>
      </c>
      <c r="CC150" s="27"/>
      <c r="CD150" s="559">
        <v>0</v>
      </c>
      <c r="CE150" s="559">
        <v>0</v>
      </c>
      <c r="CF150" s="559">
        <v>0</v>
      </c>
      <c r="CG150" s="559">
        <v>0</v>
      </c>
      <c r="CH150" s="235">
        <f t="shared" ref="CH150" si="1471">SUM(CD150:CG150)</f>
        <v>0</v>
      </c>
      <c r="CI150" s="27"/>
      <c r="CJ150" s="559">
        <v>0</v>
      </c>
      <c r="CK150" s="559">
        <v>0</v>
      </c>
      <c r="CL150" s="559">
        <v>0</v>
      </c>
      <c r="CM150" s="559">
        <v>0</v>
      </c>
      <c r="CN150" s="235">
        <f t="shared" ref="CN150" si="1472">SUM(CJ150:CM150)</f>
        <v>0</v>
      </c>
    </row>
    <row r="151" spans="2:92" ht="12.95" customHeight="1" x14ac:dyDescent="0.25"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27"/>
      <c r="U151" s="6"/>
      <c r="V151" s="6"/>
      <c r="W151" s="6"/>
      <c r="X151" s="6"/>
      <c r="Y151" s="6"/>
      <c r="Z151" s="27"/>
      <c r="AA151" s="6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35"/>
      <c r="AP151" s="27"/>
      <c r="AQ151" s="235"/>
      <c r="AR151" s="235"/>
      <c r="AS151" s="27"/>
      <c r="AT151" s="27"/>
      <c r="AU151" s="235"/>
      <c r="AV151" s="235"/>
      <c r="AW151" s="158"/>
      <c r="AX151" s="235"/>
      <c r="AY151" s="27"/>
      <c r="AZ151" s="235"/>
      <c r="BA151" s="27"/>
      <c r="BB151" s="27"/>
      <c r="BC151" s="27"/>
      <c r="BD151" s="235"/>
      <c r="BE151" s="27"/>
      <c r="BF151" s="235"/>
      <c r="BG151" s="27"/>
      <c r="BH151" s="27"/>
      <c r="BI151" s="27"/>
      <c r="BJ151" s="235"/>
      <c r="BK151" s="27"/>
      <c r="BL151" s="235"/>
      <c r="BM151" s="27"/>
      <c r="BN151" s="27"/>
      <c r="BO151" s="27"/>
      <c r="BP151" s="235"/>
      <c r="BQ151" s="27"/>
      <c r="BR151" s="235"/>
      <c r="BS151" s="27"/>
      <c r="BT151" s="27"/>
      <c r="BU151" s="27"/>
      <c r="BV151" s="235"/>
      <c r="BW151" s="27"/>
      <c r="BX151" s="235"/>
      <c r="BY151" s="27"/>
      <c r="BZ151" s="27"/>
      <c r="CA151" s="27"/>
      <c r="CB151" s="235"/>
      <c r="CC151" s="27"/>
      <c r="CD151" s="235"/>
      <c r="CE151" s="27"/>
      <c r="CF151" s="27"/>
      <c r="CG151" s="27"/>
      <c r="CH151" s="235"/>
      <c r="CI151" s="27"/>
      <c r="CJ151" s="235"/>
      <c r="CK151" s="27"/>
      <c r="CL151" s="27"/>
      <c r="CM151" s="27"/>
      <c r="CN151" s="235"/>
    </row>
    <row r="152" spans="2:92" ht="12.95" customHeight="1" x14ac:dyDescent="0.25">
      <c r="B152" s="31" t="s">
        <v>60</v>
      </c>
      <c r="D152" s="235"/>
      <c r="E152" s="235"/>
      <c r="F152" s="235"/>
      <c r="G152" s="235"/>
      <c r="H152" s="235"/>
      <c r="I152" s="6"/>
      <c r="J152" s="235">
        <f>H100-J100+H106-J106</f>
        <v>-472</v>
      </c>
      <c r="K152" s="235">
        <f>J100-K100+J106-K106</f>
        <v>-177</v>
      </c>
      <c r="L152" s="235">
        <f>K100-L100+K106-L106</f>
        <v>-28</v>
      </c>
      <c r="M152" s="235">
        <f>L100-M100+L106-M106</f>
        <v>-860</v>
      </c>
      <c r="N152" s="235">
        <f>H100-N100+H106-N106</f>
        <v>-1537</v>
      </c>
      <c r="O152" s="6"/>
      <c r="P152" s="235">
        <f>N100-P100+N106-P106</f>
        <v>-147</v>
      </c>
      <c r="Q152" s="235">
        <f>P100-Q100+P106-Q106</f>
        <v>-40</v>
      </c>
      <c r="R152" s="235">
        <f>Q100-R100+Q106-R106</f>
        <v>682</v>
      </c>
      <c r="S152" s="235">
        <f>R100-S100+R106-S106</f>
        <v>-293</v>
      </c>
      <c r="T152" s="235">
        <f>N100-T100+N106-T106</f>
        <v>202</v>
      </c>
      <c r="U152" s="6"/>
      <c r="V152" s="235">
        <f>T100-V100+T106-V106</f>
        <v>731</v>
      </c>
      <c r="W152" s="235">
        <f>V100-W100+V106-W106</f>
        <v>729</v>
      </c>
      <c r="X152" s="235">
        <f>W100-X100+W106-X106</f>
        <v>183</v>
      </c>
      <c r="Y152" s="235">
        <f>X100-Y100+X106-Y106</f>
        <v>-384</v>
      </c>
      <c r="Z152" s="235">
        <f>T100-Z100+T106-Z106</f>
        <v>1259</v>
      </c>
      <c r="AA152" s="6"/>
      <c r="AB152" s="235">
        <f>Z100-AB100+Z106-AB106</f>
        <v>-568</v>
      </c>
      <c r="AC152" s="235">
        <f>AB100-AC100+AB106-AC106</f>
        <v>24</v>
      </c>
      <c r="AD152" s="235">
        <f>AC100-AD100+AC106-AD106</f>
        <v>126</v>
      </c>
      <c r="AE152" s="235">
        <f>AD100-AE100+AD106-AE106</f>
        <v>-761</v>
      </c>
      <c r="AF152" s="235">
        <f>Z100-AF100+Z106-AF106</f>
        <v>-1179</v>
      </c>
      <c r="AG152" s="27"/>
      <c r="AH152" s="235">
        <f>AF100-AH100+AF106-AH106</f>
        <v>-658</v>
      </c>
      <c r="AI152" s="235">
        <f>AH100-AI100+AH106-AI106</f>
        <v>749</v>
      </c>
      <c r="AJ152" s="235">
        <f>AI100-AJ100+AI106-AJ106</f>
        <v>154</v>
      </c>
      <c r="AK152" s="235">
        <f>AJ100-AK100+AJ106-AK106</f>
        <v>-685</v>
      </c>
      <c r="AL152" s="235">
        <f>AF100-AL100+AF106-AL106</f>
        <v>-440</v>
      </c>
      <c r="AM152" s="27"/>
      <c r="AN152" s="235">
        <f>AL100-AN100+AL106-AN106</f>
        <v>-318</v>
      </c>
      <c r="AO152" s="235">
        <f>AN100-AO100+AN106-AO106</f>
        <v>-138</v>
      </c>
      <c r="AP152" s="235">
        <f>AO100-AP100+AO106-AP106</f>
        <v>333</v>
      </c>
      <c r="AQ152" s="235">
        <f>AP100-AQ100+AP106-AQ106</f>
        <v>-304</v>
      </c>
      <c r="AR152" s="235">
        <f>AL100-AR100+AL106-AR106</f>
        <v>-427</v>
      </c>
      <c r="AS152" s="27"/>
      <c r="AT152" s="235">
        <f>AR100-AT100+AR106-AT106</f>
        <v>52</v>
      </c>
      <c r="AU152" s="235">
        <f>AT100-AU100+AT106-AU106</f>
        <v>-106</v>
      </c>
      <c r="AV152" s="235">
        <f>AU100-AV100+AU106-AV106</f>
        <v>170</v>
      </c>
      <c r="AW152" s="158">
        <f>AV100-AW100+AV106-AW106</f>
        <v>-15.247656707673741</v>
      </c>
      <c r="AX152" s="235">
        <f>AR100-AX100+AR106-AX106</f>
        <v>100.75234329232626</v>
      </c>
      <c r="AY152" s="27"/>
      <c r="AZ152" s="235">
        <f>AX100-AZ100+AX106-AZ106</f>
        <v>-57.12458963703466</v>
      </c>
      <c r="BA152" s="235">
        <f>AZ100-BA100+AZ106-BA106</f>
        <v>-126.69529514968963</v>
      </c>
      <c r="BB152" s="235">
        <f>BA100-BB100+BA106-BB106</f>
        <v>156.255139904928</v>
      </c>
      <c r="BC152" s="235">
        <f>BB100-BC100+BB106-BC106</f>
        <v>-117.69443467297788</v>
      </c>
      <c r="BD152" s="235">
        <f>AX100-BD100+AX106-BD106</f>
        <v>-145.25917955477416</v>
      </c>
      <c r="BE152" s="27"/>
      <c r="BF152" s="235">
        <f>BD100-BF100+BD106-BF106</f>
        <v>-344.71273305764043</v>
      </c>
      <c r="BG152" s="235">
        <f>BF100-BG100+BF106-BG106</f>
        <v>-132.56715238744619</v>
      </c>
      <c r="BH152" s="235">
        <f>BG100-BH100+BG106-BH106</f>
        <v>164.63362227644757</v>
      </c>
      <c r="BI152" s="235">
        <f>BH100-BI100+BH106-BI106</f>
        <v>-121.18588419469597</v>
      </c>
      <c r="BJ152" s="235">
        <f>BD100-BJ100+BD106-BJ106</f>
        <v>-433.83214736333503</v>
      </c>
      <c r="BK152" s="27"/>
      <c r="BL152" s="235">
        <f>BJ100-BL100+BJ106-BL106</f>
        <v>-302.99565196759795</v>
      </c>
      <c r="BM152" s="235">
        <f>BL100-BM100+BL106-BM106</f>
        <v>-140.1631468163996</v>
      </c>
      <c r="BN152" s="235">
        <f>BM100-BN100+BM106-BN106</f>
        <v>172.47122105159178</v>
      </c>
      <c r="BO152" s="235">
        <f>BN100-BO100+BN106-BO106</f>
        <v>-128.42740938421957</v>
      </c>
      <c r="BP152" s="235">
        <f>BJ100-BP100+BJ106-BP106</f>
        <v>-399.11498711662534</v>
      </c>
      <c r="BQ152" s="27"/>
      <c r="BR152" s="235">
        <f>BP100-BR100+BP106-BR106</f>
        <v>-198.51087868996729</v>
      </c>
      <c r="BS152" s="235">
        <f>BR100-BS100+BR106-BS106</f>
        <v>-262.36912184419452</v>
      </c>
      <c r="BT152" s="235">
        <f>BS100-BT100+BS106-BT106</f>
        <v>180.68628087376055</v>
      </c>
      <c r="BU152" s="235">
        <f>BT100-BU100+BT106-BU106</f>
        <v>-136.11229847011236</v>
      </c>
      <c r="BV152" s="235">
        <f>BP100-BV100+BP106-BV106</f>
        <v>-416.30601813051362</v>
      </c>
      <c r="BW152" s="27"/>
      <c r="BX152" s="235">
        <f>BV100-BX100+BV106-BX106</f>
        <v>-322.68585657995573</v>
      </c>
      <c r="BY152" s="235">
        <f>BX100-BY100+BX106-BY106</f>
        <v>-156.60772008156346</v>
      </c>
      <c r="BZ152" s="235">
        <f>BY100-BZ100+BY106-BZ106</f>
        <v>189.29725849461465</v>
      </c>
      <c r="CA152" s="235">
        <f>BZ100-CA100+BZ106-CA106</f>
        <v>-144.26634143856427</v>
      </c>
      <c r="CB152" s="235">
        <f>BV100-CB100+BV106-CB106</f>
        <v>-434.2626596054688</v>
      </c>
      <c r="CC152" s="27"/>
      <c r="CD152" s="235">
        <f>CB100-CD100+CB106-CD106</f>
        <v>-332.92630752766127</v>
      </c>
      <c r="CE152" s="235">
        <f>CD100-CE100+CD106-CE106</f>
        <v>-165.50034376491021</v>
      </c>
      <c r="CF152" s="235">
        <f>CE100-CF100+CE106-CF106</f>
        <v>198.32352406747304</v>
      </c>
      <c r="CG152" s="235">
        <f>CF100-CG100+CF106-CG106</f>
        <v>-152.91676076197837</v>
      </c>
      <c r="CH152" s="235">
        <f>CB100-CH100+CB106-CH106</f>
        <v>-453.0198879870768</v>
      </c>
      <c r="CI152" s="27"/>
      <c r="CJ152" s="235">
        <f>CH100-CJ100+CH106-CJ106</f>
        <v>-343.43631091508723</v>
      </c>
      <c r="CK152" s="235">
        <f>CJ100-CK100+CJ106-CK106</f>
        <v>-174.87111643288154</v>
      </c>
      <c r="CL152" s="235">
        <f>CK100-CL100+CK106-CL106</f>
        <v>207.78540670450639</v>
      </c>
      <c r="CM152" s="235">
        <f>CL100-CM100+CL106-CM106</f>
        <v>-162.0922884263764</v>
      </c>
      <c r="CN152" s="235">
        <f>CH100-CN100+CH106-CN106</f>
        <v>-472.61430906983878</v>
      </c>
    </row>
    <row r="153" spans="2:92" ht="12.95" customHeight="1" x14ac:dyDescent="0.25">
      <c r="B153" s="2" t="s">
        <v>168</v>
      </c>
      <c r="D153" s="235"/>
      <c r="E153" s="235"/>
      <c r="F153" s="235"/>
      <c r="G153" s="235"/>
      <c r="H153" s="235"/>
      <c r="I153" s="6"/>
      <c r="J153" s="235">
        <f>H103-J103</f>
        <v>-929</v>
      </c>
      <c r="K153" s="235">
        <f>J103-K103</f>
        <v>-308</v>
      </c>
      <c r="L153" s="235">
        <f>K103-L103</f>
        <v>-559</v>
      </c>
      <c r="M153" s="235">
        <f>L103-M103</f>
        <v>285</v>
      </c>
      <c r="N153" s="235">
        <f>H103-N103</f>
        <v>-1511</v>
      </c>
      <c r="O153" s="6"/>
      <c r="P153" s="235">
        <f>N103-P103</f>
        <v>-811</v>
      </c>
      <c r="Q153" s="235">
        <f>P103-Q103</f>
        <v>333</v>
      </c>
      <c r="R153" s="235">
        <f>Q103-R103</f>
        <v>-173</v>
      </c>
      <c r="S153" s="235">
        <f>R103-S103</f>
        <v>914</v>
      </c>
      <c r="T153" s="235">
        <f>N103-T103</f>
        <v>263</v>
      </c>
      <c r="U153" s="6"/>
      <c r="V153" s="235">
        <f>T103-V103</f>
        <v>-482</v>
      </c>
      <c r="W153" s="235">
        <f>V103-W103</f>
        <v>377</v>
      </c>
      <c r="X153" s="235">
        <f t="shared" ref="X153:Y153" si="1473">W103-X103</f>
        <v>-82</v>
      </c>
      <c r="Y153" s="235">
        <f t="shared" si="1473"/>
        <v>51</v>
      </c>
      <c r="Z153" s="235">
        <f>T103-Z103</f>
        <v>-136</v>
      </c>
      <c r="AA153" s="6"/>
      <c r="AB153" s="235">
        <f>Z103-AB103</f>
        <v>-747</v>
      </c>
      <c r="AC153" s="235">
        <f>AB103-AC103</f>
        <v>-523</v>
      </c>
      <c r="AD153" s="235">
        <f t="shared" ref="AD153:AE153" si="1474">AC103-AD103</f>
        <v>-994</v>
      </c>
      <c r="AE153" s="235">
        <f t="shared" si="1474"/>
        <v>-372</v>
      </c>
      <c r="AF153" s="235">
        <f>Z103-AF103</f>
        <v>-2636</v>
      </c>
      <c r="AG153" s="27"/>
      <c r="AH153" s="235">
        <f>AF103-AH103</f>
        <v>-1000</v>
      </c>
      <c r="AI153" s="235">
        <f>AH103-AI103</f>
        <v>-843</v>
      </c>
      <c r="AJ153" s="235">
        <f t="shared" ref="AJ153:AK153" si="1475">AI103-AJ103</f>
        <v>-979</v>
      </c>
      <c r="AK153" s="235">
        <f t="shared" si="1475"/>
        <v>590</v>
      </c>
      <c r="AL153" s="235">
        <f>AF103-AL103</f>
        <v>-2232</v>
      </c>
      <c r="AM153" s="27"/>
      <c r="AN153" s="235">
        <f>AL103-AN103</f>
        <v>-1363</v>
      </c>
      <c r="AO153" s="235">
        <f>AN103-AO103</f>
        <v>-113</v>
      </c>
      <c r="AP153" s="235">
        <f t="shared" ref="AP153:AQ153" si="1476">AO103-AP103</f>
        <v>166</v>
      </c>
      <c r="AQ153" s="235">
        <f t="shared" si="1476"/>
        <v>1015</v>
      </c>
      <c r="AR153" s="235">
        <f>AL103-AR103</f>
        <v>-295</v>
      </c>
      <c r="AS153" s="27"/>
      <c r="AT153" s="235">
        <f>AR103-AT103</f>
        <v>-388</v>
      </c>
      <c r="AU153" s="235">
        <f>AT103-AU103</f>
        <v>-129</v>
      </c>
      <c r="AV153" s="235">
        <f t="shared" ref="AV153:AW153" si="1477">AU103-AV103</f>
        <v>-230</v>
      </c>
      <c r="AW153" s="158">
        <f t="shared" si="1477"/>
        <v>1297.2082008113939</v>
      </c>
      <c r="AX153" s="235">
        <f>AR103-AX103</f>
        <v>550.20820081139391</v>
      </c>
      <c r="AY153" s="27"/>
      <c r="AZ153" s="235">
        <f>AX103-AZ103</f>
        <v>-850.19243984475906</v>
      </c>
      <c r="BA153" s="235">
        <f>AZ103-BA103</f>
        <v>84.159623343952262</v>
      </c>
      <c r="BB153" s="235">
        <f t="shared" ref="BB153" si="1478">BA103-BB103</f>
        <v>-766.27245947708434</v>
      </c>
      <c r="BC153" s="235">
        <f t="shared" ref="BC153" si="1479">BB103-BC103</f>
        <v>1335.3738958679514</v>
      </c>
      <c r="BD153" s="235">
        <f>AX103-BD103</f>
        <v>-196.93138010993971</v>
      </c>
      <c r="BE153" s="27"/>
      <c r="BF153" s="235">
        <f>BD103-BF103</f>
        <v>-1257.0648789319439</v>
      </c>
      <c r="BG153" s="235">
        <f>BF103-BG103</f>
        <v>93.903734592942783</v>
      </c>
      <c r="BH153" s="235">
        <f t="shared" ref="BH153" si="1480">BG103-BH103</f>
        <v>-779.94397681217015</v>
      </c>
      <c r="BI153" s="235">
        <f t="shared" ref="BI153" si="1481">BH103-BI103</f>
        <v>1386.4694665050374</v>
      </c>
      <c r="BJ153" s="235">
        <f>BD103-BJ103</f>
        <v>-556.63565464613384</v>
      </c>
      <c r="BK153" s="27"/>
      <c r="BL153" s="235">
        <f>BJ103-BL103</f>
        <v>-1321.8596395073764</v>
      </c>
      <c r="BM153" s="235">
        <f>BL103-BM103</f>
        <v>95.950636093639332</v>
      </c>
      <c r="BN153" s="235">
        <f t="shared" ref="BN153" si="1482">BM103-BN103</f>
        <v>-791.67754809211328</v>
      </c>
      <c r="BO153" s="235">
        <f t="shared" ref="BO153" si="1483">BN103-BO103</f>
        <v>1432.277054806611</v>
      </c>
      <c r="BP153" s="235">
        <f>BJ103-BP103</f>
        <v>-585.30949669923939</v>
      </c>
      <c r="BQ153" s="27"/>
      <c r="BR153" s="235">
        <f>BP103-BR103</f>
        <v>-1378.9873214943655</v>
      </c>
      <c r="BS153" s="235">
        <f>BR103-BS103</f>
        <v>98.066658841104072</v>
      </c>
      <c r="BT153" s="235">
        <f t="shared" ref="BT153" si="1484">BS103-BT103</f>
        <v>-803.5483627044232</v>
      </c>
      <c r="BU153" s="235">
        <f t="shared" ref="BU153" si="1485">BT103-BU103</f>
        <v>1478.9935470640485</v>
      </c>
      <c r="BV153" s="235">
        <f>BP103-BV103</f>
        <v>-605.47547829363612</v>
      </c>
      <c r="BW153" s="27"/>
      <c r="BX153" s="235">
        <f>BV103-BX103</f>
        <v>-1443.9034329967617</v>
      </c>
      <c r="BY153" s="235">
        <f>BX103-BY103</f>
        <v>100.11772744936025</v>
      </c>
      <c r="BZ153" s="235">
        <f t="shared" ref="BZ153" si="1486">BY103-BZ103</f>
        <v>-815.84755598871561</v>
      </c>
      <c r="CA153" s="235">
        <f t="shared" ref="CA153" si="1487">BZ103-CA103</f>
        <v>1527.566686507238</v>
      </c>
      <c r="CB153" s="235">
        <f>BV103-CB103</f>
        <v>-632.06657502887902</v>
      </c>
      <c r="CC153" s="27"/>
      <c r="CD153" s="235">
        <f>CB103-CD103</f>
        <v>-1511.4387359438369</v>
      </c>
      <c r="CE153" s="235">
        <f>CD103-CE103</f>
        <v>102.0947457673974</v>
      </c>
      <c r="CF153" s="235">
        <f t="shared" ref="CF153" si="1488">CE103-CF103</f>
        <v>-828.59080654383433</v>
      </c>
      <c r="CG153" s="235">
        <f t="shared" ref="CG153" si="1489">CF103-CG103</f>
        <v>1578.071497029312</v>
      </c>
      <c r="CH153" s="235">
        <f>CB103-CH103</f>
        <v>-659.86329969096187</v>
      </c>
      <c r="CI153" s="27"/>
      <c r="CJ153" s="235">
        <f>CH103-CJ103</f>
        <v>-1571.8055332536933</v>
      </c>
      <c r="CK153" s="235">
        <f>CJ103-CK103</f>
        <v>103.7072088565983</v>
      </c>
      <c r="CL153" s="235">
        <f t="shared" ref="CL153" si="1490">CK103-CL103</f>
        <v>-841.28917256926434</v>
      </c>
      <c r="CM153" s="235">
        <f t="shared" ref="CM153" si="1491">CL103-CM103</f>
        <v>1629.3192462617808</v>
      </c>
      <c r="CN153" s="235">
        <f>CH103-CN103</f>
        <v>-680.06825070457853</v>
      </c>
    </row>
    <row r="154" spans="2:92" ht="12.95" customHeight="1" x14ac:dyDescent="0.25">
      <c r="B154" s="2" t="s">
        <v>430</v>
      </c>
      <c r="D154" s="235"/>
      <c r="E154" s="235"/>
      <c r="F154" s="235"/>
      <c r="G154" s="235"/>
      <c r="H154" s="235"/>
      <c r="I154" s="6"/>
      <c r="J154" s="235">
        <f>J114-H114</f>
        <v>451</v>
      </c>
      <c r="K154" s="235">
        <f t="shared" ref="K154:M157" si="1492">K114-J114</f>
        <v>-107</v>
      </c>
      <c r="L154" s="235">
        <f t="shared" si="1492"/>
        <v>-43</v>
      </c>
      <c r="M154" s="235">
        <f t="shared" si="1492"/>
        <v>263</v>
      </c>
      <c r="N154" s="235">
        <f>N114-H114</f>
        <v>564</v>
      </c>
      <c r="O154" s="6"/>
      <c r="P154" s="235">
        <f>P114-N114</f>
        <v>147</v>
      </c>
      <c r="Q154" s="235">
        <f t="shared" ref="Q154:S157" si="1493">Q114-P114</f>
        <v>-176</v>
      </c>
      <c r="R154" s="235">
        <f t="shared" si="1493"/>
        <v>-881</v>
      </c>
      <c r="S154" s="235">
        <f t="shared" si="1493"/>
        <v>-184</v>
      </c>
      <c r="T154" s="235">
        <f>T114-N114</f>
        <v>-1094</v>
      </c>
      <c r="U154" s="6"/>
      <c r="V154" s="235">
        <f>V114-T114</f>
        <v>-188</v>
      </c>
      <c r="W154" s="235">
        <f>W114-V114</f>
        <v>-686</v>
      </c>
      <c r="X154" s="235">
        <f t="shared" ref="X154:Y154" si="1494">X114-W114</f>
        <v>110</v>
      </c>
      <c r="Y154" s="235">
        <f t="shared" si="1494"/>
        <v>935</v>
      </c>
      <c r="Z154" s="235">
        <f>Z114-T114</f>
        <v>171</v>
      </c>
      <c r="AA154" s="6"/>
      <c r="AB154" s="235">
        <f>AB114-Z114</f>
        <v>566</v>
      </c>
      <c r="AC154" s="235">
        <f>AC114-AB114</f>
        <v>227</v>
      </c>
      <c r="AD154" s="235">
        <f t="shared" ref="AD154:AE154" si="1495">AD114-AC114</f>
        <v>297</v>
      </c>
      <c r="AE154" s="235">
        <f t="shared" si="1495"/>
        <v>936</v>
      </c>
      <c r="AF154" s="235">
        <f>AF114-Z114</f>
        <v>2026</v>
      </c>
      <c r="AG154" s="27"/>
      <c r="AH154" s="235">
        <f>AH114-AF114</f>
        <v>207</v>
      </c>
      <c r="AI154" s="235">
        <f>AI114-AH114</f>
        <v>-269</v>
      </c>
      <c r="AJ154" s="235">
        <f t="shared" ref="AJ154:AK154" si="1496">AJ114-AI114</f>
        <v>168</v>
      </c>
      <c r="AK154" s="235">
        <f t="shared" si="1496"/>
        <v>429</v>
      </c>
      <c r="AL154" s="235">
        <f>AL114-AF114</f>
        <v>535</v>
      </c>
      <c r="AM154" s="27"/>
      <c r="AN154" s="235">
        <f>AN114-AL114</f>
        <v>262</v>
      </c>
      <c r="AO154" s="235">
        <f>AO114-AN114</f>
        <v>-508</v>
      </c>
      <c r="AP154" s="235">
        <f t="shared" ref="AP154:AQ154" si="1497">AP114-AO114</f>
        <v>-616</v>
      </c>
      <c r="AQ154" s="235">
        <f t="shared" si="1497"/>
        <v>79</v>
      </c>
      <c r="AR154" s="235">
        <f>AR114-AL114</f>
        <v>-783</v>
      </c>
      <c r="AS154" s="27"/>
      <c r="AT154" s="235">
        <f>AT114-AR114</f>
        <v>-128</v>
      </c>
      <c r="AU154" s="235">
        <f>AU114-AT114</f>
        <v>-203</v>
      </c>
      <c r="AV154" s="235">
        <f t="shared" ref="AV154:AW154" si="1498">AV114-AU114</f>
        <v>130</v>
      </c>
      <c r="AW154" s="158">
        <f t="shared" si="1498"/>
        <v>-61.598613680343078</v>
      </c>
      <c r="AX154" s="235">
        <f>AX114-AR114</f>
        <v>-262.59861368034308</v>
      </c>
      <c r="AY154" s="27"/>
      <c r="AZ154" s="235">
        <f>AZ114-AX114</f>
        <v>180.19071106024785</v>
      </c>
      <c r="BA154" s="235">
        <f>BA114-AZ114</f>
        <v>-382.1480941105383</v>
      </c>
      <c r="BB154" s="235">
        <f t="shared" ref="BB154:BB157" si="1499">BB114-BA114</f>
        <v>368.18994798744188</v>
      </c>
      <c r="BC154" s="235">
        <f t="shared" ref="BC154:BC157" si="1500">BC114-BB114</f>
        <v>-72.242858257454827</v>
      </c>
      <c r="BD154" s="235">
        <f>BD114-AX114</f>
        <v>93.98970667969661</v>
      </c>
      <c r="BE154" s="27"/>
      <c r="BF154" s="235">
        <f>BF114-BD114</f>
        <v>366.30294348021016</v>
      </c>
      <c r="BG154" s="235">
        <f>BG114-BF114</f>
        <v>-398.81470434313724</v>
      </c>
      <c r="BH154" s="235">
        <f t="shared" ref="BH154:BH157" si="1501">BH114-BG114</f>
        <v>375.23573573355134</v>
      </c>
      <c r="BI154" s="235">
        <f t="shared" ref="BI154:BI157" si="1502">BI114-BH114</f>
        <v>-77.057721587655578</v>
      </c>
      <c r="BJ154" s="235">
        <f>BJ114-BD114</f>
        <v>265.66625328296868</v>
      </c>
      <c r="BK154" s="27"/>
      <c r="BL154" s="235">
        <f>BL114-BJ114</f>
        <v>388.91552975562354</v>
      </c>
      <c r="BM154" s="235">
        <f>BM114-BL114</f>
        <v>-412.42839248859491</v>
      </c>
      <c r="BN154" s="235">
        <f t="shared" ref="BN154:BN157" si="1503">BN114-BM114</f>
        <v>381.4599754904084</v>
      </c>
      <c r="BO154" s="235">
        <f t="shared" ref="BO154:BO157" si="1504">BO114-BN114</f>
        <v>-78.595656017070723</v>
      </c>
      <c r="BP154" s="235">
        <f>BP114-BJ114</f>
        <v>279.3514567403663</v>
      </c>
      <c r="BQ154" s="27"/>
      <c r="BR154" s="235">
        <f>BR114-BP114</f>
        <v>312.09338905727054</v>
      </c>
      <c r="BS154" s="235">
        <f>BS114-BR114</f>
        <v>-331.00777548786573</v>
      </c>
      <c r="BT154" s="235">
        <f t="shared" ref="BT154:BT157" si="1505">BT114-BS114</f>
        <v>387.77916982151146</v>
      </c>
      <c r="BU154" s="235">
        <f t="shared" ref="BU154:BU157" si="1506">BU114-BT114</f>
        <v>-79.888681284699487</v>
      </c>
      <c r="BV154" s="235">
        <f>BV114-BP114</f>
        <v>288.97610210621679</v>
      </c>
      <c r="BW154" s="27"/>
      <c r="BX154" s="235">
        <f>BX114-BV114</f>
        <v>429.60346909960026</v>
      </c>
      <c r="BY154" s="235">
        <f>BY114-BX114</f>
        <v>-441.11885823368175</v>
      </c>
      <c r="BZ154" s="235">
        <f t="shared" ref="BZ154:BZ157" si="1507">BZ114-BY114</f>
        <v>394.33434999406381</v>
      </c>
      <c r="CA154" s="235">
        <f t="shared" ref="CA154:CA157" si="1508">CA114-BZ114</f>
        <v>-81.151689976897615</v>
      </c>
      <c r="CB154" s="235">
        <f>CB114-BV114</f>
        <v>301.66727088308471</v>
      </c>
      <c r="CC154" s="27"/>
      <c r="CD154" s="235">
        <f>CD114-CB114</f>
        <v>452.47843592444224</v>
      </c>
      <c r="CE154" s="235">
        <f>CE114-CD114</f>
        <v>-456.29987875926963</v>
      </c>
      <c r="CF154" s="235">
        <f t="shared" ref="CF154:CF157" si="1509">CF114-CE114</f>
        <v>401.13454045910476</v>
      </c>
      <c r="CG154" s="235">
        <f t="shared" ref="CG154:CG157" si="1510">CG114-CF114</f>
        <v>-82.379246289732691</v>
      </c>
      <c r="CH154" s="235">
        <f>CH114-CB114</f>
        <v>314.93385133454467</v>
      </c>
      <c r="CI154" s="27"/>
      <c r="CJ154" s="235">
        <f>CJ114-CH114</f>
        <v>471.65616247973958</v>
      </c>
      <c r="CK154" s="235">
        <f>CK114-CJ114</f>
        <v>-471.74100957731025</v>
      </c>
      <c r="CL154" s="235">
        <f t="shared" ref="CL154:CL157" si="1511">CL114-CK114</f>
        <v>407.94871558664272</v>
      </c>
      <c r="CM154" s="235">
        <f t="shared" ref="CM154:CM157" si="1512">CM114-CL114</f>
        <v>-83.286772801149709</v>
      </c>
      <c r="CN154" s="235">
        <f>CN114-CH114</f>
        <v>324.57709568792234</v>
      </c>
    </row>
    <row r="155" spans="2:92" ht="12.95" customHeight="1" x14ac:dyDescent="0.25">
      <c r="B155" s="2" t="s">
        <v>150</v>
      </c>
      <c r="D155" s="235"/>
      <c r="E155" s="235"/>
      <c r="F155" s="235"/>
      <c r="G155" s="235"/>
      <c r="H155" s="235"/>
      <c r="I155" s="6"/>
      <c r="J155" s="235">
        <f>J115-H115</f>
        <v>331</v>
      </c>
      <c r="K155" s="235">
        <f t="shared" si="1492"/>
        <v>-101</v>
      </c>
      <c r="L155" s="235">
        <f t="shared" si="1492"/>
        <v>-27</v>
      </c>
      <c r="M155" s="235">
        <f t="shared" si="1492"/>
        <v>150</v>
      </c>
      <c r="N155" s="235">
        <f>N115-H115</f>
        <v>353</v>
      </c>
      <c r="O155" s="6"/>
      <c r="P155" s="235">
        <f>P115-N115</f>
        <v>173</v>
      </c>
      <c r="Q155" s="235">
        <f t="shared" si="1493"/>
        <v>43</v>
      </c>
      <c r="R155" s="235">
        <f t="shared" si="1493"/>
        <v>-62</v>
      </c>
      <c r="S155" s="235">
        <f t="shared" si="1493"/>
        <v>23</v>
      </c>
      <c r="T155" s="235">
        <f>T115-N115</f>
        <v>177</v>
      </c>
      <c r="U155" s="6"/>
      <c r="V155" s="235">
        <f>V115-T115</f>
        <v>26</v>
      </c>
      <c r="W155" s="235">
        <f>W115-V115</f>
        <v>-229</v>
      </c>
      <c r="X155" s="235">
        <f t="shared" ref="X155:Y155" si="1513">X115-W115</f>
        <v>-37</v>
      </c>
      <c r="Y155" s="235">
        <f t="shared" si="1513"/>
        <v>132</v>
      </c>
      <c r="Z155" s="235">
        <f>Z115-T115</f>
        <v>-108</v>
      </c>
      <c r="AA155" s="6"/>
      <c r="AB155" s="235">
        <f>AB115-Z115</f>
        <v>-68</v>
      </c>
      <c r="AC155" s="235">
        <f>AC115-AB115</f>
        <v>-18</v>
      </c>
      <c r="AD155" s="235">
        <f t="shared" ref="AD155:AE155" si="1514">AD115-AC115</f>
        <v>23</v>
      </c>
      <c r="AE155" s="235">
        <f t="shared" si="1514"/>
        <v>178</v>
      </c>
      <c r="AF155" s="235">
        <f>AF115-Z115</f>
        <v>115</v>
      </c>
      <c r="AG155" s="27"/>
      <c r="AH155" s="235">
        <f>AH115-AF115</f>
        <v>89</v>
      </c>
      <c r="AI155" s="235">
        <f>AI115-AH115</f>
        <v>-64</v>
      </c>
      <c r="AJ155" s="235">
        <f t="shared" ref="AJ155:AK155" si="1515">AJ115-AI115</f>
        <v>231</v>
      </c>
      <c r="AK155" s="235">
        <f t="shared" si="1515"/>
        <v>67</v>
      </c>
      <c r="AL155" s="235">
        <f>AL115-AF115</f>
        <v>323</v>
      </c>
      <c r="AM155" s="27"/>
      <c r="AN155" s="235">
        <f>AN115-AL115</f>
        <v>41</v>
      </c>
      <c r="AO155" s="235">
        <f>AO115-AN115</f>
        <v>372</v>
      </c>
      <c r="AP155" s="235">
        <f t="shared" ref="AP155:AQ155" si="1516">AP115-AO115</f>
        <v>176</v>
      </c>
      <c r="AQ155" s="235">
        <f t="shared" si="1516"/>
        <v>289</v>
      </c>
      <c r="AR155" s="235">
        <f>AR115-AL115</f>
        <v>878</v>
      </c>
      <c r="AS155" s="27"/>
      <c r="AT155" s="235">
        <f>AT115-AR115</f>
        <v>-137</v>
      </c>
      <c r="AU155" s="235">
        <f>AU115-AT115</f>
        <v>126</v>
      </c>
      <c r="AV155" s="235">
        <f t="shared" ref="AV155:AW155" si="1517">AV115-AU115</f>
        <v>33</v>
      </c>
      <c r="AW155" s="158">
        <f t="shared" si="1517"/>
        <v>-133.17015231400183</v>
      </c>
      <c r="AX155" s="235">
        <f>AX115-AR115</f>
        <v>-111.17015231400183</v>
      </c>
      <c r="AY155" s="27"/>
      <c r="AZ155" s="235">
        <f>AZ115-AX115</f>
        <v>-149.39867799171316</v>
      </c>
      <c r="BA155" s="235">
        <f>BA115-AZ115</f>
        <v>178.19022164132548</v>
      </c>
      <c r="BB155" s="235">
        <f t="shared" si="1499"/>
        <v>127.84391351972317</v>
      </c>
      <c r="BC155" s="235">
        <f t="shared" si="1500"/>
        <v>-79.278312998274487</v>
      </c>
      <c r="BD155" s="235">
        <f>BD115-AX115</f>
        <v>77.357144171061009</v>
      </c>
      <c r="BE155" s="27"/>
      <c r="BF155" s="235">
        <f>BF115-BD115</f>
        <v>-4.7436073311700966</v>
      </c>
      <c r="BG155" s="235">
        <f>BG115-BF115</f>
        <v>186.55098043400631</v>
      </c>
      <c r="BH155" s="235">
        <f t="shared" si="1501"/>
        <v>133.33894289469572</v>
      </c>
      <c r="BI155" s="235">
        <f t="shared" si="1502"/>
        <v>-84.110893158926956</v>
      </c>
      <c r="BJ155" s="235">
        <f>BJ115-BD115</f>
        <v>231.03542283860497</v>
      </c>
      <c r="BK155" s="27"/>
      <c r="BL155" s="235">
        <f>BL115-BJ115</f>
        <v>-34.658843648196125</v>
      </c>
      <c r="BM155" s="235">
        <f>BM115-BL115</f>
        <v>195.32046775745584</v>
      </c>
      <c r="BN155" s="235">
        <f t="shared" si="1503"/>
        <v>138.23353499694531</v>
      </c>
      <c r="BO155" s="235">
        <f t="shared" si="1504"/>
        <v>-86.348208931744921</v>
      </c>
      <c r="BP155" s="235">
        <f>BP115-BJ115</f>
        <v>212.54695017446011</v>
      </c>
      <c r="BQ155" s="27"/>
      <c r="BR155" s="235">
        <f>BR115-BP115</f>
        <v>-37.51242219440519</v>
      </c>
      <c r="BS155" s="235">
        <f>BS115-BR115</f>
        <v>204.50923457777753</v>
      </c>
      <c r="BT155" s="235">
        <f t="shared" si="1505"/>
        <v>143.31499138022446</v>
      </c>
      <c r="BU155" s="235">
        <f t="shared" si="1506"/>
        <v>-88.609844806444016</v>
      </c>
      <c r="BV155" s="235">
        <f>BV115-BP115</f>
        <v>221.70195895715278</v>
      </c>
      <c r="BW155" s="27"/>
      <c r="BX155" s="235">
        <f>BX115-BV115</f>
        <v>-40.569908255000882</v>
      </c>
      <c r="BY155" s="235">
        <f>BY115-BX115</f>
        <v>214.13753875304883</v>
      </c>
      <c r="BZ155" s="235">
        <f t="shared" si="1507"/>
        <v>148.59063064697693</v>
      </c>
      <c r="CA155" s="235">
        <f t="shared" si="1508"/>
        <v>-90.893570884669316</v>
      </c>
      <c r="CB155" s="235">
        <f>CB115-BV115</f>
        <v>231.26469026035556</v>
      </c>
      <c r="CC155" s="27"/>
      <c r="CD155" s="235">
        <f>CD115-CB115</f>
        <v>-43.844000363822488</v>
      </c>
      <c r="CE155" s="235">
        <f>CE115-CD115</f>
        <v>224.2266239969149</v>
      </c>
      <c r="CF155" s="235">
        <f t="shared" si="1509"/>
        <v>154.06806302805035</v>
      </c>
      <c r="CG155" s="235">
        <f t="shared" si="1510"/>
        <v>-93.196916023126505</v>
      </c>
      <c r="CH155" s="235">
        <f>CH115-CB115</f>
        <v>241.25377063801625</v>
      </c>
      <c r="CI155" s="27"/>
      <c r="CJ155" s="235">
        <f>CJ115-CH115</f>
        <v>-47.348124966579235</v>
      </c>
      <c r="CK155" s="235">
        <f>CK115-CJ115</f>
        <v>234.79876811324448</v>
      </c>
      <c r="CL155" s="235">
        <f t="shared" si="1511"/>
        <v>159.75520215217057</v>
      </c>
      <c r="CM155" s="235">
        <f t="shared" si="1512"/>
        <v>-95.517150952083284</v>
      </c>
      <c r="CN155" s="235">
        <f>CN115-CH115</f>
        <v>251.68869434675253</v>
      </c>
    </row>
    <row r="156" spans="2:92" ht="12.95" customHeight="1" x14ac:dyDescent="0.25">
      <c r="B156" s="2" t="s">
        <v>446</v>
      </c>
      <c r="D156" s="235"/>
      <c r="E156" s="235"/>
      <c r="F156" s="235"/>
      <c r="G156" s="235"/>
      <c r="H156" s="235"/>
      <c r="I156" s="6"/>
      <c r="J156" s="235">
        <f>J116-H116</f>
        <v>-1085</v>
      </c>
      <c r="K156" s="235">
        <f t="shared" si="1492"/>
        <v>315</v>
      </c>
      <c r="L156" s="235">
        <f t="shared" si="1492"/>
        <v>343</v>
      </c>
      <c r="M156" s="235">
        <f t="shared" si="1492"/>
        <v>252</v>
      </c>
      <c r="N156" s="235">
        <f>N116-H116</f>
        <v>-175</v>
      </c>
      <c r="O156" s="6"/>
      <c r="P156" s="235">
        <f>P116-N116</f>
        <v>-1184</v>
      </c>
      <c r="Q156" s="235">
        <f t="shared" si="1493"/>
        <v>211</v>
      </c>
      <c r="R156" s="235">
        <f t="shared" si="1493"/>
        <v>107</v>
      </c>
      <c r="S156" s="235">
        <f t="shared" si="1493"/>
        <v>111</v>
      </c>
      <c r="T156" s="235">
        <f>T116-N116</f>
        <v>-755</v>
      </c>
      <c r="U156" s="6"/>
      <c r="V156" s="235">
        <f>V116-T116</f>
        <v>-751</v>
      </c>
      <c r="W156" s="235">
        <f>W116-V116</f>
        <v>80</v>
      </c>
      <c r="X156" s="235">
        <f t="shared" ref="X156:Y156" si="1518">X116-W116</f>
        <v>111</v>
      </c>
      <c r="Y156" s="235">
        <f t="shared" si="1518"/>
        <v>27</v>
      </c>
      <c r="Z156" s="235">
        <f>Z116-T116</f>
        <v>-533</v>
      </c>
      <c r="AA156" s="6"/>
      <c r="AB156" s="235">
        <f>AB116-Z116</f>
        <v>187</v>
      </c>
      <c r="AC156" s="235">
        <f>AC116-AB116</f>
        <v>476</v>
      </c>
      <c r="AD156" s="235">
        <f t="shared" ref="AD156:AE156" si="1519">AD116-AC116</f>
        <v>316</v>
      </c>
      <c r="AE156" s="235">
        <f t="shared" si="1519"/>
        <v>167</v>
      </c>
      <c r="AF156" s="235">
        <f>AF116-Z116</f>
        <v>1146</v>
      </c>
      <c r="AG156" s="27"/>
      <c r="AH156" s="235">
        <f>AH116-AF116</f>
        <v>-967</v>
      </c>
      <c r="AI156" s="235">
        <f>AI116-AH116</f>
        <v>497</v>
      </c>
      <c r="AJ156" s="235">
        <f t="shared" ref="AJ156:AK156" si="1520">AJ116-AI116</f>
        <v>432</v>
      </c>
      <c r="AK156" s="235">
        <f t="shared" si="1520"/>
        <v>109</v>
      </c>
      <c r="AL156" s="235">
        <f>AL116-AF116</f>
        <v>71</v>
      </c>
      <c r="AM156" s="27"/>
      <c r="AN156" s="235">
        <f>AN116-AL116</f>
        <v>-945</v>
      </c>
      <c r="AO156" s="235">
        <f>AO116-AN116</f>
        <v>387</v>
      </c>
      <c r="AP156" s="235">
        <f t="shared" ref="AP156:AQ156" si="1521">AP116-AO116</f>
        <v>545</v>
      </c>
      <c r="AQ156" s="235">
        <f t="shared" si="1521"/>
        <v>457</v>
      </c>
      <c r="AR156" s="235">
        <f>AR116-AL116</f>
        <v>444</v>
      </c>
      <c r="AS156" s="27"/>
      <c r="AT156" s="235">
        <f>AT116-AR116</f>
        <v>-1466</v>
      </c>
      <c r="AU156" s="235">
        <f>AU116-AT116</f>
        <v>386</v>
      </c>
      <c r="AV156" s="235">
        <f t="shared" ref="AV156:AW156" si="1522">AV116-AU116</f>
        <v>401</v>
      </c>
      <c r="AW156" s="158">
        <f t="shared" si="1522"/>
        <v>617.18150263620419</v>
      </c>
      <c r="AX156" s="235">
        <f>AX116-AR116</f>
        <v>-61.818497363795814</v>
      </c>
      <c r="AY156" s="27"/>
      <c r="AZ156" s="235">
        <f>AZ116-AX116</f>
        <v>-1437.2716001107276</v>
      </c>
      <c r="BA156" s="235">
        <f>BA116-AZ116</f>
        <v>394.89322528325988</v>
      </c>
      <c r="BB156" s="235">
        <f t="shared" si="1499"/>
        <v>434.9882182734691</v>
      </c>
      <c r="BC156" s="235">
        <f t="shared" si="1500"/>
        <v>650.40622078949946</v>
      </c>
      <c r="BD156" s="235">
        <f>BD116-AX116</f>
        <v>43.016064235500835</v>
      </c>
      <c r="BE156" s="27"/>
      <c r="BF156" s="235">
        <f>BF116-BD116</f>
        <v>-1420.835731272675</v>
      </c>
      <c r="BG156" s="235">
        <f>BG116-BF116</f>
        <v>413.53619351715065</v>
      </c>
      <c r="BH156" s="235">
        <f t="shared" si="1501"/>
        <v>455.31374070748188</v>
      </c>
      <c r="BI156" s="235">
        <f t="shared" si="1502"/>
        <v>680.45789482255532</v>
      </c>
      <c r="BJ156" s="235">
        <f>BJ116-BD116</f>
        <v>128.4720977745128</v>
      </c>
      <c r="BK156" s="27"/>
      <c r="BL156" s="235">
        <f>BL116-BJ116</f>
        <v>-1495.450504674784</v>
      </c>
      <c r="BM156" s="235">
        <f>BM116-BL116</f>
        <v>430.83006846516582</v>
      </c>
      <c r="BN156" s="235">
        <f t="shared" si="1503"/>
        <v>473.78537364377871</v>
      </c>
      <c r="BO156" s="235">
        <f t="shared" si="1504"/>
        <v>709.02625692465108</v>
      </c>
      <c r="BP156" s="235">
        <f>BP116-BJ116</f>
        <v>118.19119435881157</v>
      </c>
      <c r="BQ156" s="27"/>
      <c r="BR156" s="235">
        <f>BR116-BP116</f>
        <v>-1557.4885891451759</v>
      </c>
      <c r="BS156" s="235">
        <f>BS116-BR116</f>
        <v>448.87654341164739</v>
      </c>
      <c r="BT156" s="235">
        <f t="shared" si="1505"/>
        <v>493.03887115036127</v>
      </c>
      <c r="BU156" s="235">
        <f t="shared" si="1506"/>
        <v>738.85520379754144</v>
      </c>
      <c r="BV156" s="235">
        <f>BV116-BP116</f>
        <v>123.28202921437423</v>
      </c>
      <c r="BW156" s="27"/>
      <c r="BX156" s="235">
        <f>BX116-BV116</f>
        <v>-1622.2205220082838</v>
      </c>
      <c r="BY156" s="235">
        <f>BY116-BX116</f>
        <v>467.70939574634349</v>
      </c>
      <c r="BZ156" s="235">
        <f t="shared" si="1507"/>
        <v>513.10845442254504</v>
      </c>
      <c r="CA156" s="235">
        <f t="shared" si="1508"/>
        <v>770.00225857755595</v>
      </c>
      <c r="CB156" s="235">
        <f>CB116-BV116</f>
        <v>128.59958673816072</v>
      </c>
      <c r="CC156" s="27"/>
      <c r="CD156" s="235">
        <f>CD116-CB116</f>
        <v>-1689.7672437363572</v>
      </c>
      <c r="CE156" s="235">
        <f>CE116-CD116</f>
        <v>487.36395524688601</v>
      </c>
      <c r="CF156" s="235">
        <f t="shared" si="1509"/>
        <v>534.02988263952852</v>
      </c>
      <c r="CG156" s="235">
        <f t="shared" si="1510"/>
        <v>802.52763046652444</v>
      </c>
      <c r="CH156" s="235">
        <f>CH116-CB116</f>
        <v>134.15422461658181</v>
      </c>
      <c r="CI156" s="27"/>
      <c r="CJ156" s="235">
        <f>CJ116-CH116</f>
        <v>-1760.2552594685749</v>
      </c>
      <c r="CK156" s="235">
        <f>CK116-CJ116</f>
        <v>507.87717674138094</v>
      </c>
      <c r="CL156" s="235">
        <f t="shared" si="1511"/>
        <v>555.84052355282256</v>
      </c>
      <c r="CM156" s="235">
        <f t="shared" si="1512"/>
        <v>836.49434221470938</v>
      </c>
      <c r="CN156" s="235">
        <f>CN116-CH116</f>
        <v>139.956783040338</v>
      </c>
    </row>
    <row r="157" spans="2:92" ht="12.95" customHeight="1" x14ac:dyDescent="0.25">
      <c r="B157" s="2" t="s">
        <v>432</v>
      </c>
      <c r="D157" s="235"/>
      <c r="E157" s="235"/>
      <c r="F157" s="235"/>
      <c r="G157" s="235"/>
      <c r="H157" s="235"/>
      <c r="I157" s="6"/>
      <c r="J157" s="235">
        <f>J117-H117</f>
        <v>-27</v>
      </c>
      <c r="K157" s="235">
        <f t="shared" si="1492"/>
        <v>-21</v>
      </c>
      <c r="L157" s="235">
        <f t="shared" si="1492"/>
        <v>113</v>
      </c>
      <c r="M157" s="235">
        <f t="shared" si="1492"/>
        <v>-248</v>
      </c>
      <c r="N157" s="235">
        <f>N117-H117</f>
        <v>-183</v>
      </c>
      <c r="O157" s="6"/>
      <c r="P157" s="235">
        <f>P117-N117</f>
        <v>111</v>
      </c>
      <c r="Q157" s="235">
        <f t="shared" si="1493"/>
        <v>-91</v>
      </c>
      <c r="R157" s="235">
        <f t="shared" si="1493"/>
        <v>46</v>
      </c>
      <c r="S157" s="235">
        <f t="shared" si="1493"/>
        <v>-122</v>
      </c>
      <c r="T157" s="235">
        <f>T117-N117</f>
        <v>-56</v>
      </c>
      <c r="U157" s="6"/>
      <c r="V157" s="235">
        <f>V117-T117</f>
        <v>108</v>
      </c>
      <c r="W157" s="235">
        <f>W117-V117</f>
        <v>-68</v>
      </c>
      <c r="X157" s="235">
        <f t="shared" ref="X157:Y157" si="1523">X117-W117</f>
        <v>-18</v>
      </c>
      <c r="Y157" s="235">
        <f t="shared" si="1523"/>
        <v>-101</v>
      </c>
      <c r="Z157" s="235">
        <f>Z117-T117</f>
        <v>-79</v>
      </c>
      <c r="AA157" s="6"/>
      <c r="AB157" s="235">
        <f>AB117-Z117</f>
        <v>60</v>
      </c>
      <c r="AC157" s="235">
        <f>AC117-AB117</f>
        <v>-11</v>
      </c>
      <c r="AD157" s="235">
        <f t="shared" ref="AD157:AE157" si="1524">AD117-AC117</f>
        <v>-2</v>
      </c>
      <c r="AE157" s="235">
        <f t="shared" si="1524"/>
        <v>-68</v>
      </c>
      <c r="AF157" s="235">
        <f>AF117-Z117</f>
        <v>-21</v>
      </c>
      <c r="AG157" s="27"/>
      <c r="AH157" s="235">
        <f>AH117-AF117</f>
        <v>301</v>
      </c>
      <c r="AI157" s="235">
        <f>AI117-AH117</f>
        <v>220</v>
      </c>
      <c r="AJ157" s="235">
        <f t="shared" ref="AJ157:AK157" si="1525">AJ117-AI117</f>
        <v>223</v>
      </c>
      <c r="AK157" s="235">
        <f t="shared" si="1525"/>
        <v>29</v>
      </c>
      <c r="AL157" s="235">
        <f>AL117-AF117</f>
        <v>773</v>
      </c>
      <c r="AM157" s="27"/>
      <c r="AN157" s="235">
        <f>AN117-AL117</f>
        <v>342</v>
      </c>
      <c r="AO157" s="235">
        <f>AO117-AN117</f>
        <v>-65</v>
      </c>
      <c r="AP157" s="235">
        <f t="shared" ref="AP157:AQ157" si="1526">AP117-AO117</f>
        <v>196</v>
      </c>
      <c r="AQ157" s="235">
        <f t="shared" si="1526"/>
        <v>-404</v>
      </c>
      <c r="AR157" s="235">
        <f>AR117-AL117</f>
        <v>69</v>
      </c>
      <c r="AS157" s="27"/>
      <c r="AT157" s="235">
        <f>AT117-AR117</f>
        <v>265</v>
      </c>
      <c r="AU157" s="235">
        <f>AU117-AT117</f>
        <v>130</v>
      </c>
      <c r="AV157" s="235">
        <f t="shared" ref="AV157:AW157" si="1527">AV117-AU117</f>
        <v>80</v>
      </c>
      <c r="AW157" s="158">
        <f t="shared" si="1527"/>
        <v>-518.25276801405971</v>
      </c>
      <c r="AX157" s="235">
        <f>AX117-AR117</f>
        <v>-43.252768014059711</v>
      </c>
      <c r="AY157" s="27"/>
      <c r="AZ157" s="235">
        <f>AZ117-AX117</f>
        <v>252.01754426572143</v>
      </c>
      <c r="BA157" s="235">
        <f>BA117-AZ117</f>
        <v>152.70300492156639</v>
      </c>
      <c r="BB157" s="235">
        <f t="shared" si="1499"/>
        <v>124.85964711436645</v>
      </c>
      <c r="BC157" s="235">
        <f t="shared" si="1500"/>
        <v>-499.48299357757696</v>
      </c>
      <c r="BD157" s="235">
        <f>BD117-AX117</f>
        <v>30.097202724077306</v>
      </c>
      <c r="BE157" s="27"/>
      <c r="BF157" s="235">
        <f>BF117-BD117</f>
        <v>322.95639201676113</v>
      </c>
      <c r="BG157" s="235">
        <f>BG117-BF117</f>
        <v>159.89149269242444</v>
      </c>
      <c r="BH157" s="235">
        <f t="shared" si="1501"/>
        <v>130.49588782626597</v>
      </c>
      <c r="BI157" s="235">
        <f t="shared" si="1502"/>
        <v>-523.4552427541546</v>
      </c>
      <c r="BJ157" s="235">
        <f>BJ117-BD117</f>
        <v>89.888529781296938</v>
      </c>
      <c r="BK157" s="27"/>
      <c r="BL157" s="235">
        <f>BL117-BJ117</f>
        <v>324.59611140126913</v>
      </c>
      <c r="BM157" s="235">
        <f>BM117-BL117</f>
        <v>166.9651440756079</v>
      </c>
      <c r="BN157" s="235">
        <f t="shared" si="1503"/>
        <v>135.57699437311203</v>
      </c>
      <c r="BO157" s="235">
        <f t="shared" si="1504"/>
        <v>-544.44299634322533</v>
      </c>
      <c r="BP157" s="235">
        <f>BP117-BJ117</f>
        <v>82.69525350676372</v>
      </c>
      <c r="BQ157" s="27"/>
      <c r="BR157" s="235">
        <f>BR117-BP117</f>
        <v>337.3306976274198</v>
      </c>
      <c r="BS157" s="235">
        <f>BS117-BR117</f>
        <v>174.3616818956516</v>
      </c>
      <c r="BT157" s="235">
        <f t="shared" si="1505"/>
        <v>140.86476982733711</v>
      </c>
      <c r="BU157" s="235">
        <f t="shared" si="1506"/>
        <v>-566.29997330596598</v>
      </c>
      <c r="BV157" s="235">
        <f>BV117-BP117</f>
        <v>86.257176044442531</v>
      </c>
      <c r="BW157" s="27"/>
      <c r="BX157" s="235">
        <f>BX117-BV117</f>
        <v>350.57693861990901</v>
      </c>
      <c r="BY157" s="235">
        <f>BY117-BX117</f>
        <v>182.09617347301719</v>
      </c>
      <c r="BZ157" s="235">
        <f t="shared" si="1507"/>
        <v>146.36790395961589</v>
      </c>
      <c r="CA157" s="235">
        <f t="shared" si="1508"/>
        <v>-589.0632856144166</v>
      </c>
      <c r="CB157" s="235">
        <f>CB117-BV117</f>
        <v>89.977730438125491</v>
      </c>
      <c r="CC157" s="27"/>
      <c r="CD157" s="235">
        <f>CD117-CB117</f>
        <v>364.35597489915881</v>
      </c>
      <c r="CE157" s="235">
        <f>CE117-CD117</f>
        <v>190.18440053185168</v>
      </c>
      <c r="CF157" s="235">
        <f t="shared" si="1509"/>
        <v>152.09546165461961</v>
      </c>
      <c r="CG157" s="235">
        <f t="shared" si="1510"/>
        <v>-612.77167339851167</v>
      </c>
      <c r="CH157" s="235">
        <f>CH117-CB117</f>
        <v>93.864163687118435</v>
      </c>
      <c r="CI157" s="27"/>
      <c r="CJ157" s="235">
        <f>CJ117-CH117</f>
        <v>378.6898455205569</v>
      </c>
      <c r="CK157" s="235">
        <f>CK117-CJ117</f>
        <v>198.64289347465774</v>
      </c>
      <c r="CL157" s="235">
        <f t="shared" si="1511"/>
        <v>158.05689945928179</v>
      </c>
      <c r="CM157" s="235">
        <f t="shared" si="1512"/>
        <v>-637.46557806827514</v>
      </c>
      <c r="CN157" s="235">
        <f>CN117-CH117</f>
        <v>97.924060386221299</v>
      </c>
    </row>
    <row r="158" spans="2:92" ht="12.95" customHeight="1" x14ac:dyDescent="0.25">
      <c r="B158" s="2" t="s">
        <v>447</v>
      </c>
      <c r="D158" s="235"/>
      <c r="E158" s="235"/>
      <c r="F158" s="235"/>
      <c r="G158" s="235"/>
      <c r="H158" s="235"/>
      <c r="I158" s="6"/>
      <c r="J158" s="235">
        <f>H110-J110</f>
        <v>-129</v>
      </c>
      <c r="K158" s="235">
        <f>J110-K110</f>
        <v>-122</v>
      </c>
      <c r="L158" s="235">
        <f>K110-L110</f>
        <v>0</v>
      </c>
      <c r="M158" s="235">
        <f>L110-M110</f>
        <v>-54</v>
      </c>
      <c r="N158" s="235">
        <f>H110-N110</f>
        <v>-305</v>
      </c>
      <c r="O158" s="6"/>
      <c r="P158" s="235">
        <f>N110-P110</f>
        <v>-810</v>
      </c>
      <c r="Q158" s="235">
        <f>P110-Q110</f>
        <v>-52</v>
      </c>
      <c r="R158" s="235">
        <f>Q110-R110</f>
        <v>-48</v>
      </c>
      <c r="S158" s="235">
        <f>R110-S110</f>
        <v>-98</v>
      </c>
      <c r="T158" s="235">
        <f>N110-T110</f>
        <v>-1008</v>
      </c>
      <c r="U158" s="6"/>
      <c r="V158" s="235">
        <f>T110-V110</f>
        <v>-219</v>
      </c>
      <c r="W158" s="235">
        <f>V110-W110</f>
        <v>10</v>
      </c>
      <c r="X158" s="235">
        <f t="shared" ref="X158:Y158" si="1528">W110-X110</f>
        <v>39</v>
      </c>
      <c r="Y158" s="235">
        <f t="shared" si="1528"/>
        <v>-317</v>
      </c>
      <c r="Z158" s="235">
        <f>T110-Z110</f>
        <v>-487</v>
      </c>
      <c r="AA158" s="6"/>
      <c r="AB158" s="235">
        <f>Z110-AB110</f>
        <v>-128</v>
      </c>
      <c r="AC158" s="235">
        <f>AB110-AC110</f>
        <v>17</v>
      </c>
      <c r="AD158" s="235">
        <f t="shared" ref="AD158:AE158" si="1529">AC110-AD110</f>
        <v>47</v>
      </c>
      <c r="AE158" s="235">
        <f t="shared" si="1529"/>
        <v>-240</v>
      </c>
      <c r="AF158" s="235">
        <f>Z110-AF110</f>
        <v>-304</v>
      </c>
      <c r="AG158" s="27"/>
      <c r="AH158" s="235">
        <f>AF110-AH110</f>
        <v>-541</v>
      </c>
      <c r="AI158" s="235">
        <f>AH110-AI110</f>
        <v>65</v>
      </c>
      <c r="AJ158" s="235">
        <f t="shared" ref="AJ158:AK158" si="1530">AI110-AJ110</f>
        <v>173</v>
      </c>
      <c r="AK158" s="235">
        <f t="shared" si="1530"/>
        <v>-159</v>
      </c>
      <c r="AL158" s="235">
        <f>AF110-AL110</f>
        <v>-462</v>
      </c>
      <c r="AM158" s="27"/>
      <c r="AN158" s="235">
        <f>AL110-AN110</f>
        <v>39</v>
      </c>
      <c r="AO158" s="235">
        <f>AN110-AO110</f>
        <v>-36</v>
      </c>
      <c r="AP158" s="235">
        <f t="shared" ref="AP158:AQ158" si="1531">AO110-AP110</f>
        <v>-301</v>
      </c>
      <c r="AQ158" s="235">
        <f t="shared" si="1531"/>
        <v>-366</v>
      </c>
      <c r="AR158" s="235">
        <f>AL110-AR110</f>
        <v>-664</v>
      </c>
      <c r="AS158" s="27"/>
      <c r="AT158" s="235">
        <f>AR110-AT110</f>
        <v>102</v>
      </c>
      <c r="AU158" s="235">
        <f>AT110-AU110</f>
        <v>147</v>
      </c>
      <c r="AV158" s="235">
        <f t="shared" ref="AV158:AW158" si="1532">AU110-AV110</f>
        <v>-58</v>
      </c>
      <c r="AW158" s="158">
        <f t="shared" si="1532"/>
        <v>-73.125556531927032</v>
      </c>
      <c r="AX158" s="235">
        <f>AR110-AX110</f>
        <v>117.87444346807297</v>
      </c>
      <c r="AY158" s="27"/>
      <c r="AZ158" s="235">
        <f>AX110-AZ110</f>
        <v>116.25526410835482</v>
      </c>
      <c r="BA158" s="235">
        <f>AZ110-BA110</f>
        <v>87.129049688836858</v>
      </c>
      <c r="BB158" s="235">
        <f t="shared" ref="BB158" si="1533">BA110-BB110</f>
        <v>-154.12928626066969</v>
      </c>
      <c r="BC158" s="235">
        <f t="shared" ref="BC158" si="1534">BB110-BC110</f>
        <v>-131.27731614226286</v>
      </c>
      <c r="BD158" s="235">
        <f>AX110-BD110</f>
        <v>-82.022288605740869</v>
      </c>
      <c r="BE158" s="27"/>
      <c r="BF158" s="235">
        <f>BD110-BF110</f>
        <v>-39.115719938241455</v>
      </c>
      <c r="BG158" s="235">
        <f>BF110-BG110</f>
        <v>91.30868742902112</v>
      </c>
      <c r="BH158" s="235">
        <f t="shared" ref="BH158" si="1535">BG110-BH110</f>
        <v>-160.85687688952839</v>
      </c>
      <c r="BI158" s="235">
        <f t="shared" ref="BI158" si="1536">BH110-BI110</f>
        <v>-136.30446854851834</v>
      </c>
      <c r="BJ158" s="235">
        <f>BD110-BJ110</f>
        <v>-244.96837794726707</v>
      </c>
      <c r="BK158" s="27"/>
      <c r="BL158" s="235">
        <f>BJ110-BL110</f>
        <v>-9.2011817583970696</v>
      </c>
      <c r="BM158" s="235">
        <f>BL110-BM110</f>
        <v>93.884765600344508</v>
      </c>
      <c r="BN158" s="235">
        <f t="shared" ref="BN158" si="1537">BM110-BN110</f>
        <v>-166.87250711851175</v>
      </c>
      <c r="BO158" s="235">
        <f t="shared" ref="BO158" si="1538">BN110-BO110</f>
        <v>-143.17600553891316</v>
      </c>
      <c r="BP158" s="235">
        <f>BJ110-BP110</f>
        <v>-225.36492881547747</v>
      </c>
      <c r="BQ158" s="27"/>
      <c r="BR158" s="235">
        <f>BP110-BR110</f>
        <v>-8.057230072899074</v>
      </c>
      <c r="BS158" s="235">
        <f>BR110-BS110</f>
        <v>96.524633098132654</v>
      </c>
      <c r="BT158" s="235">
        <f t="shared" ref="BT158" si="1539">BS110-BT110</f>
        <v>-173.12263672691552</v>
      </c>
      <c r="BU158" s="235">
        <f t="shared" ref="BU158" si="1540">BT110-BU110</f>
        <v>-150.41681112238984</v>
      </c>
      <c r="BV158" s="235">
        <f>BP110-BV110</f>
        <v>-235.07204482407178</v>
      </c>
      <c r="BW158" s="27"/>
      <c r="BX158" s="235">
        <f>BV110-BX110</f>
        <v>-6.7773980224746992</v>
      </c>
      <c r="BY158" s="235">
        <f>BX110-BY110</f>
        <v>99.229304417218373</v>
      </c>
      <c r="BZ158" s="235">
        <f t="shared" ref="BZ158" si="1541">BY110-BZ110</f>
        <v>-179.61667703364856</v>
      </c>
      <c r="CA158" s="235">
        <f t="shared" ref="CA158" si="1542">BZ110-CA110</f>
        <v>-158.04670106313097</v>
      </c>
      <c r="CB158" s="235">
        <f>BV110-CB110</f>
        <v>-245.21147170203585</v>
      </c>
      <c r="CC158" s="27"/>
      <c r="CD158" s="235">
        <f>CB110-CD110</f>
        <v>-5.3517660779907601</v>
      </c>
      <c r="CE158" s="235">
        <f>CD110-CE110</f>
        <v>101.99977032310926</v>
      </c>
      <c r="CF158" s="235">
        <f t="shared" ref="CF158" si="1543">CE110-CF110</f>
        <v>-186.36442537548555</v>
      </c>
      <c r="CG158" s="235">
        <f t="shared" ref="CG158" si="1544">CF110-CG110</f>
        <v>-166.08653817662162</v>
      </c>
      <c r="CH158" s="235">
        <f>CB110-CH110</f>
        <v>-255.80295930698867</v>
      </c>
      <c r="CI158" s="27"/>
      <c r="CJ158" s="235">
        <f>CH110-CJ110</f>
        <v>-3.7698035168559727</v>
      </c>
      <c r="CK158" s="235">
        <f>CJ110-CK110</f>
        <v>104.83699405922926</v>
      </c>
      <c r="CL158" s="235">
        <f t="shared" ref="CL158" si="1545">CK110-CL110</f>
        <v>-193.3760812233304</v>
      </c>
      <c r="CM158" s="235">
        <f t="shared" ref="CM158" si="1546">CL110-CM110</f>
        <v>-174.55828684644894</v>
      </c>
      <c r="CN158" s="235">
        <f>CH110-CN110</f>
        <v>-266.86717752740606</v>
      </c>
    </row>
    <row r="159" spans="2:92" ht="12.95" customHeight="1" x14ac:dyDescent="0.25">
      <c r="B159" s="2" t="s">
        <v>448</v>
      </c>
      <c r="D159" s="235"/>
      <c r="E159" s="235"/>
      <c r="F159" s="235"/>
      <c r="G159" s="235"/>
      <c r="H159" s="28"/>
      <c r="I159" s="6"/>
      <c r="J159" s="235">
        <f>J119-H119</f>
        <v>148</v>
      </c>
      <c r="K159" s="235">
        <f>K119-J119</f>
        <v>-19</v>
      </c>
      <c r="L159" s="235">
        <f>L119-K119</f>
        <v>-4</v>
      </c>
      <c r="M159" s="235">
        <f>M119-L119</f>
        <v>52</v>
      </c>
      <c r="N159" s="235">
        <f>N119-H119</f>
        <v>177</v>
      </c>
      <c r="O159" s="6"/>
      <c r="P159" s="235">
        <f>P119-N119</f>
        <v>429</v>
      </c>
      <c r="Q159" s="235">
        <f>Q119-P119</f>
        <v>-191</v>
      </c>
      <c r="R159" s="235">
        <f>R119-Q119</f>
        <v>31</v>
      </c>
      <c r="S159" s="235">
        <f>S119-R119</f>
        <v>-33</v>
      </c>
      <c r="T159" s="235">
        <f>T119-N119</f>
        <v>236</v>
      </c>
      <c r="U159" s="6"/>
      <c r="V159" s="235">
        <f>V119-T119</f>
        <v>-81</v>
      </c>
      <c r="W159" s="235">
        <f>W119-V119</f>
        <v>69</v>
      </c>
      <c r="X159" s="235">
        <f t="shared" ref="X159:Y159" si="1547">X119-W119</f>
        <v>-165</v>
      </c>
      <c r="Y159" s="235">
        <f t="shared" si="1547"/>
        <v>39</v>
      </c>
      <c r="Z159" s="235">
        <f>Z119-T119</f>
        <v>-138</v>
      </c>
      <c r="AA159" s="6"/>
      <c r="AB159" s="235">
        <f>AB119-Z119</f>
        <v>18</v>
      </c>
      <c r="AC159" s="235">
        <f>AC119-AB119</f>
        <v>91</v>
      </c>
      <c r="AD159" s="235">
        <f t="shared" ref="AD159:AE159" si="1548">AD119-AC119</f>
        <v>193</v>
      </c>
      <c r="AE159" s="235">
        <f t="shared" si="1548"/>
        <v>-63</v>
      </c>
      <c r="AF159" s="235">
        <f>AF119-Z119</f>
        <v>239</v>
      </c>
      <c r="AG159" s="27"/>
      <c r="AH159" s="235">
        <f>AH119-AF119</f>
        <v>99</v>
      </c>
      <c r="AI159" s="235">
        <f>AI119-AH119</f>
        <v>-22</v>
      </c>
      <c r="AJ159" s="235">
        <f t="shared" ref="AJ159:AK159" si="1549">AJ119-AI119</f>
        <v>545</v>
      </c>
      <c r="AK159" s="235">
        <f t="shared" si="1549"/>
        <v>-188</v>
      </c>
      <c r="AL159" s="235">
        <f>AL119-AF119</f>
        <v>434</v>
      </c>
      <c r="AM159" s="27"/>
      <c r="AN159" s="235">
        <f>AN119-AL119</f>
        <v>345</v>
      </c>
      <c r="AO159" s="235">
        <f>AO119-AN119</f>
        <v>74</v>
      </c>
      <c r="AP159" s="235">
        <f t="shared" ref="AP159:AQ159" si="1550">AP119-AO119</f>
        <v>6</v>
      </c>
      <c r="AQ159" s="235">
        <f t="shared" si="1550"/>
        <v>8</v>
      </c>
      <c r="AR159" s="235">
        <f>AR119-AL119</f>
        <v>433</v>
      </c>
      <c r="AS159" s="27"/>
      <c r="AT159" s="235">
        <f>AT119-AR119</f>
        <v>142</v>
      </c>
      <c r="AU159" s="235">
        <f>AU119-AT119</f>
        <v>-383</v>
      </c>
      <c r="AV159" s="235">
        <f t="shared" ref="AV159:AW159" si="1551">AV119-AU119</f>
        <v>52</v>
      </c>
      <c r="AW159" s="158">
        <f t="shared" si="1551"/>
        <v>118.97491212653767</v>
      </c>
      <c r="AX159" s="235">
        <f>AX119-AR119</f>
        <v>-70.025087873462326</v>
      </c>
      <c r="AY159" s="27"/>
      <c r="AZ159" s="235">
        <f>AZ119-AX119</f>
        <v>128.33866784687916</v>
      </c>
      <c r="BA159" s="235">
        <f>BA119-AZ119</f>
        <v>-340.89699419835506</v>
      </c>
      <c r="BB159" s="235">
        <f t="shared" ref="BB159" si="1552">BB119-BA119</f>
        <v>107.40815407344189</v>
      </c>
      <c r="BC159" s="235">
        <f t="shared" ref="BC159" si="1553">BC119-BB119</f>
        <v>153.87674776133827</v>
      </c>
      <c r="BD159" s="235">
        <f>BD119-AX119</f>
        <v>48.726575483304259</v>
      </c>
      <c r="BE159" s="27"/>
      <c r="BF159" s="235">
        <f>BF119-BD119</f>
        <v>229.96884022194126</v>
      </c>
      <c r="BG159" s="235">
        <f>BG119-BF119</f>
        <v>-357.04413825943266</v>
      </c>
      <c r="BH159" s="235">
        <f t="shared" ref="BH159" si="1554">BH119-BG119</f>
        <v>112.16174722390861</v>
      </c>
      <c r="BI159" s="235">
        <f t="shared" ref="BI159" si="1555">BI119-BH119</f>
        <v>160.44070400538703</v>
      </c>
      <c r="BJ159" s="235">
        <f>BJ119-BD119</f>
        <v>145.52715319180425</v>
      </c>
      <c r="BK159" s="27"/>
      <c r="BL159" s="235">
        <f>BL119-BJ119</f>
        <v>220.64940513695274</v>
      </c>
      <c r="BM159" s="235">
        <f>BM119-BL119</f>
        <v>-370.97531704516996</v>
      </c>
      <c r="BN159" s="235">
        <f t="shared" ref="BN159" si="1556">BN119-BM119</f>
        <v>116.42678145490117</v>
      </c>
      <c r="BO159" s="235">
        <f t="shared" ref="BO159" si="1557">BO119-BN119</f>
        <v>167.7805595365835</v>
      </c>
      <c r="BP159" s="235">
        <f>BP119-BJ119</f>
        <v>133.88142908326745</v>
      </c>
      <c r="BQ159" s="27"/>
      <c r="BR159" s="235">
        <f>BR119-BP119</f>
        <v>228.78184420681464</v>
      </c>
      <c r="BS159" s="235">
        <f>BS119-BR119</f>
        <v>-385.4738581296142</v>
      </c>
      <c r="BT159" s="235">
        <f t="shared" ref="BT159" si="1558">BT119-BS119</f>
        <v>120.86109037751203</v>
      </c>
      <c r="BU159" s="235">
        <f t="shared" ref="BU159" si="1559">BU119-BT119</f>
        <v>175.47901104492166</v>
      </c>
      <c r="BV159" s="235">
        <f>BV119-BP119</f>
        <v>139.64808749963413</v>
      </c>
      <c r="BW159" s="27"/>
      <c r="BX159" s="235">
        <f>BX119-BV119</f>
        <v>237.20971688292411</v>
      </c>
      <c r="BY159" s="235">
        <f>BY119-BX119</f>
        <v>-400.56373714081201</v>
      </c>
      <c r="BZ159" s="235">
        <f t="shared" ref="BZ159" si="1560">BZ119-BY119</f>
        <v>125.47160630882854</v>
      </c>
      <c r="CA159" s="235">
        <f t="shared" ref="CA159" si="1561">CA119-BZ119</f>
        <v>183.55398064593146</v>
      </c>
      <c r="CB159" s="235">
        <f>CB119-BV119</f>
        <v>145.67156669687211</v>
      </c>
      <c r="CC159" s="27"/>
      <c r="CD159" s="235">
        <f>CD119-CB119</f>
        <v>245.94373055625738</v>
      </c>
      <c r="CE159" s="235">
        <f>CE119-CD119</f>
        <v>-416.26997497098409</v>
      </c>
      <c r="CF159" s="235">
        <f t="shared" ref="CF159" si="1562">CF119-CE119</f>
        <v>130.26555246120006</v>
      </c>
      <c r="CG159" s="235">
        <f t="shared" ref="CG159" si="1563">CG119-CF119</f>
        <v>192.02429132878387</v>
      </c>
      <c r="CH159" s="235">
        <f>CH119-CB119</f>
        <v>151.96359937525722</v>
      </c>
      <c r="CI159" s="27"/>
      <c r="CJ159" s="235">
        <f>CJ119-CH119</f>
        <v>254.99498169025583</v>
      </c>
      <c r="CK159" s="235">
        <f>CK119-CJ119</f>
        <v>-432.61868454292835</v>
      </c>
      <c r="CL159" s="235">
        <f t="shared" ref="CL159" si="1564">CL119-CK119</f>
        <v>135.25045539837265</v>
      </c>
      <c r="CM159" s="235">
        <f t="shared" ref="CM159" si="1565">CM119-CL119</f>
        <v>200.90971224754458</v>
      </c>
      <c r="CN159" s="235">
        <f>CN119-CH119</f>
        <v>158.5364647932447</v>
      </c>
    </row>
    <row r="160" spans="2:92" ht="12.95" customHeight="1" x14ac:dyDescent="0.25">
      <c r="B160" s="16" t="s">
        <v>77</v>
      </c>
      <c r="C160" s="16"/>
      <c r="D160" s="45"/>
      <c r="E160" s="45"/>
      <c r="F160" s="45"/>
      <c r="G160" s="45"/>
      <c r="H160" s="507">
        <v>-194</v>
      </c>
      <c r="I160" s="18"/>
      <c r="J160" s="45">
        <f>SUM(J152:J159)</f>
        <v>-1712</v>
      </c>
      <c r="K160" s="45">
        <f>SUM(K152:K159)</f>
        <v>-540</v>
      </c>
      <c r="L160" s="45">
        <f>SUM(L152:L159)</f>
        <v>-205</v>
      </c>
      <c r="M160" s="45">
        <f t="shared" ref="M160" si="1566">SUM(M152:M159)</f>
        <v>-160</v>
      </c>
      <c r="N160" s="45">
        <f t="shared" ref="N160" si="1567">SUM(N152:N159)</f>
        <v>-2617</v>
      </c>
      <c r="O160" s="18"/>
      <c r="P160" s="45">
        <f>SUM(P152:P159)</f>
        <v>-2092</v>
      </c>
      <c r="Q160" s="45">
        <f>SUM(Q152:Q159)</f>
        <v>37</v>
      </c>
      <c r="R160" s="45">
        <f>SUM(R152:R159)</f>
        <v>-298</v>
      </c>
      <c r="S160" s="45">
        <f t="shared" ref="S160" si="1568">SUM(S152:S159)</f>
        <v>318</v>
      </c>
      <c r="T160" s="45">
        <f t="shared" ref="T160" si="1569">SUM(T152:T159)</f>
        <v>-2035</v>
      </c>
      <c r="U160" s="18"/>
      <c r="V160" s="45">
        <f>SUM(V152:V159)</f>
        <v>-856</v>
      </c>
      <c r="W160" s="45">
        <f>SUM(W152:W159)</f>
        <v>282</v>
      </c>
      <c r="X160" s="45">
        <f>SUM(X152:X159)</f>
        <v>141</v>
      </c>
      <c r="Y160" s="45">
        <f t="shared" ref="Y160" si="1570">SUM(Y152:Y159)</f>
        <v>382</v>
      </c>
      <c r="Z160" s="45">
        <f t="shared" ref="Z160" si="1571">SUM(Z152:Z159)</f>
        <v>-51</v>
      </c>
      <c r="AA160" s="18"/>
      <c r="AB160" s="45">
        <f>SUM(AB152:AB159)</f>
        <v>-680</v>
      </c>
      <c r="AC160" s="45">
        <f>SUM(AC152:AC159)</f>
        <v>283</v>
      </c>
      <c r="AD160" s="45">
        <f>SUM(AD152:AD159)</f>
        <v>6</v>
      </c>
      <c r="AE160" s="45">
        <f t="shared" ref="AE160" si="1572">SUM(AE152:AE159)</f>
        <v>-223</v>
      </c>
      <c r="AF160" s="45">
        <f t="shared" ref="AF160" si="1573">SUM(AF152:AF159)</f>
        <v>-614</v>
      </c>
      <c r="AG160" s="45"/>
      <c r="AH160" s="45">
        <f>SUM(AH152:AH159)</f>
        <v>-2470</v>
      </c>
      <c r="AI160" s="45">
        <f>SUM(AI152:AI159)</f>
        <v>333</v>
      </c>
      <c r="AJ160" s="45">
        <f>SUM(AJ152:AJ159)</f>
        <v>947</v>
      </c>
      <c r="AK160" s="45">
        <f t="shared" ref="AK160" si="1574">SUM(AK152:AK159)</f>
        <v>192</v>
      </c>
      <c r="AL160" s="45">
        <f t="shared" ref="AL160" si="1575">SUM(AL152:AL159)</f>
        <v>-998</v>
      </c>
      <c r="AM160" s="45"/>
      <c r="AN160" s="45">
        <f>SUM(AN152:AN159)</f>
        <v>-1597</v>
      </c>
      <c r="AO160" s="45">
        <f>SUM(AO152:AO159)</f>
        <v>-27</v>
      </c>
      <c r="AP160" s="45">
        <f>SUM(AP152:AP159)</f>
        <v>505</v>
      </c>
      <c r="AQ160" s="45">
        <f t="shared" ref="AQ160:AR160" si="1576">SUM(AQ152:AQ159)</f>
        <v>774</v>
      </c>
      <c r="AR160" s="45">
        <f t="shared" si="1576"/>
        <v>-345</v>
      </c>
      <c r="AS160" s="45"/>
      <c r="AT160" s="45">
        <f>SUM(AT152:AT159)</f>
        <v>-1558</v>
      </c>
      <c r="AU160" s="45">
        <f>SUM(AU152:AU159)</f>
        <v>-32</v>
      </c>
      <c r="AV160" s="45">
        <f>SUM(AV152:AV159)</f>
        <v>578</v>
      </c>
      <c r="AW160" s="352">
        <f t="shared" ref="AW160:AX160" si="1577">SUM(AW152:AW159)</f>
        <v>1231.9698683261304</v>
      </c>
      <c r="AX160" s="45">
        <f t="shared" si="1577"/>
        <v>219.96986832613038</v>
      </c>
      <c r="AY160" s="45"/>
      <c r="AZ160" s="45">
        <f>SUM(AZ152:AZ159)</f>
        <v>-1817.185120303031</v>
      </c>
      <c r="BA160" s="45">
        <f>SUM(BA152:BA159)</f>
        <v>47.334741420357886</v>
      </c>
      <c r="BB160" s="45">
        <f>SUM(BB152:BB159)</f>
        <v>399.14327513561648</v>
      </c>
      <c r="BC160" s="45">
        <f t="shared" ref="BC160:BD160" si="1578">SUM(BC152:BC159)</f>
        <v>1239.6809487702421</v>
      </c>
      <c r="BD160" s="45">
        <f t="shared" si="1578"/>
        <v>-131.02615497681472</v>
      </c>
      <c r="BE160" s="45"/>
      <c r="BF160" s="45">
        <f>SUM(BF152:BF159)</f>
        <v>-2147.2444948127581</v>
      </c>
      <c r="BG160" s="45">
        <f>SUM(BG152:BG159)</f>
        <v>56.765093675529215</v>
      </c>
      <c r="BH160" s="45">
        <f>SUM(BH152:BH159)</f>
        <v>430.37882296065254</v>
      </c>
      <c r="BI160" s="45">
        <f t="shared" ref="BI160:BJ160" si="1579">SUM(BI152:BI159)</f>
        <v>1285.2538550890283</v>
      </c>
      <c r="BJ160" s="45">
        <f t="shared" si="1579"/>
        <v>-374.8467230875483</v>
      </c>
      <c r="BK160" s="45"/>
      <c r="BL160" s="45">
        <f>SUM(BL152:BL159)</f>
        <v>-2230.004775262506</v>
      </c>
      <c r="BM160" s="45">
        <f>SUM(BM152:BM159)</f>
        <v>59.384225642048932</v>
      </c>
      <c r="BN160" s="45">
        <f>SUM(BN152:BN159)</f>
        <v>459.40382580011237</v>
      </c>
      <c r="BO160" s="45">
        <f t="shared" ref="BO160:BP160" si="1580">SUM(BO152:BO159)</f>
        <v>1328.0935950526718</v>
      </c>
      <c r="BP160" s="45">
        <f t="shared" si="1580"/>
        <v>-383.12312876767305</v>
      </c>
      <c r="BQ160" s="45"/>
      <c r="BR160" s="45">
        <f>SUM(BR152:BR159)</f>
        <v>-2302.3505107053079</v>
      </c>
      <c r="BS160" s="45">
        <f>SUM(BS152:BS159)</f>
        <v>43.487996362638796</v>
      </c>
      <c r="BT160" s="45">
        <f>SUM(BT152:BT159)</f>
        <v>489.87417399936817</v>
      </c>
      <c r="BU160" s="45">
        <f t="shared" ref="BU160:BV160" si="1581">SUM(BU152:BU159)</f>
        <v>1372.0001529168999</v>
      </c>
      <c r="BV160" s="45">
        <f t="shared" si="1581"/>
        <v>-396.98818742640105</v>
      </c>
      <c r="BW160" s="45"/>
      <c r="BX160" s="45">
        <f>SUM(BX152:BX159)</f>
        <v>-2418.7669932600434</v>
      </c>
      <c r="BY160" s="45">
        <f>SUM(BY152:BY159)</f>
        <v>64.99982438293091</v>
      </c>
      <c r="BZ160" s="45">
        <f>SUM(BZ152:BZ159)</f>
        <v>521.7059708042807</v>
      </c>
      <c r="CA160" s="45">
        <f t="shared" ref="CA160:CB160" si="1582">SUM(CA152:CA159)</f>
        <v>1417.7013367530467</v>
      </c>
      <c r="CB160" s="45">
        <f t="shared" si="1582"/>
        <v>-414.35986131978507</v>
      </c>
      <c r="CC160" s="45"/>
      <c r="CD160" s="45">
        <f>SUM(CD152:CD159)</f>
        <v>-2520.5499122698102</v>
      </c>
      <c r="CE160" s="45">
        <f>SUM(CE152:CE159)</f>
        <v>67.799298370995302</v>
      </c>
      <c r="CF160" s="45">
        <f>SUM(CF152:CF159)</f>
        <v>554.96179239065646</v>
      </c>
      <c r="CG160" s="45">
        <f t="shared" ref="CG160:CH160" si="1583">SUM(CG152:CG159)</f>
        <v>1465.2722841746495</v>
      </c>
      <c r="CH160" s="45">
        <f t="shared" si="1583"/>
        <v>-432.51653733350895</v>
      </c>
      <c r="CI160" s="45"/>
      <c r="CJ160" s="45">
        <f>SUM(CJ152:CJ159)</f>
        <v>-2621.2740424302383</v>
      </c>
      <c r="CK160" s="45">
        <f>SUM(CK152:CK159)</f>
        <v>70.632230691990571</v>
      </c>
      <c r="CL160" s="45">
        <f>SUM(CL152:CL159)</f>
        <v>589.97194906120194</v>
      </c>
      <c r="CM160" s="45">
        <f t="shared" ref="CM160:CN160" si="1584">SUM(CM152:CM159)</f>
        <v>1513.8032236297013</v>
      </c>
      <c r="CN160" s="45">
        <f t="shared" si="1584"/>
        <v>-446.86663904734451</v>
      </c>
    </row>
    <row r="161" spans="1:92" ht="12.95" customHeight="1" x14ac:dyDescent="0.25">
      <c r="B161" s="467" t="s">
        <v>449</v>
      </c>
      <c r="D161" s="471">
        <f t="shared" ref="D161:H161" si="1585">D162-SUM(D140,D143:D150,D160)</f>
        <v>336</v>
      </c>
      <c r="E161" s="471">
        <f t="shared" si="1585"/>
        <v>671</v>
      </c>
      <c r="F161" s="471">
        <f t="shared" si="1585"/>
        <v>-649</v>
      </c>
      <c r="G161" s="471">
        <f t="shared" si="1585"/>
        <v>-552.2800000000002</v>
      </c>
      <c r="H161" s="471">
        <f t="shared" si="1585"/>
        <v>-0.28000000000065484</v>
      </c>
      <c r="I161" s="6"/>
      <c r="J161" s="471">
        <f>J162-SUM(J140,J143:J150,J160)</f>
        <v>150.81999999999971</v>
      </c>
      <c r="K161" s="471">
        <f>K162-SUM(K140,K143:K150,K160)</f>
        <v>-0.81999999999970896</v>
      </c>
      <c r="L161" s="471">
        <f>L162-SUM(L140,L143:L150,L160)</f>
        <v>-1012</v>
      </c>
      <c r="M161" s="471">
        <f>M162-SUM(M140,M143:M150,M160)</f>
        <v>-598</v>
      </c>
      <c r="N161" s="471">
        <f>N162-SUM(N140,N143:N150,N160)</f>
        <v>-1460</v>
      </c>
      <c r="O161" s="6"/>
      <c r="P161" s="471">
        <f>P162-SUM(P140,P143:P150,P160)</f>
        <v>611</v>
      </c>
      <c r="Q161" s="471">
        <f>Q162-SUM(Q140,Q143:Q150,Q160)</f>
        <v>-44</v>
      </c>
      <c r="R161" s="471">
        <f>R162-SUM(R140,R143:R150,R160)</f>
        <v>-1280</v>
      </c>
      <c r="S161" s="471">
        <f>S162-SUM(S140,S143:S150,S160)</f>
        <v>-182</v>
      </c>
      <c r="T161" s="471">
        <f>T162-SUM(T140,T143:T150,T160)</f>
        <v>-895</v>
      </c>
      <c r="U161" s="6"/>
      <c r="V161" s="471">
        <f>V162-SUM(V140,V143:V150,V160)</f>
        <v>-21</v>
      </c>
      <c r="W161" s="471">
        <f>W162-SUM(W140,W143:W150,W160)</f>
        <v>-168</v>
      </c>
      <c r="X161" s="471">
        <f>X162-SUM(X140,X143:X150,X160)</f>
        <v>13</v>
      </c>
      <c r="Y161" s="471">
        <f>Y162-SUM(Y140,Y143:Y150,Y160)</f>
        <v>6</v>
      </c>
      <c r="Z161" s="471">
        <f>Z162-SUM(Z140,Z143:Z150,Z160)</f>
        <v>-366</v>
      </c>
      <c r="AA161" s="6"/>
      <c r="AB161" s="471">
        <f>AB162-SUM(AB140,AB143:AB150,AB160)</f>
        <v>486</v>
      </c>
      <c r="AC161" s="471">
        <f>AC162-SUM(AC140,AC143:AC150,AC160)</f>
        <v>-209</v>
      </c>
      <c r="AD161" s="471">
        <f>AD162-SUM(AD140,AD143:AD150,AD160)</f>
        <v>-20</v>
      </c>
      <c r="AE161" s="471">
        <f>AE162-SUM(AE140,AE143:AE150,AE160)</f>
        <v>-290</v>
      </c>
      <c r="AF161" s="471">
        <f>AF162-SUM(AF140,AF143:AF150,AF160)</f>
        <v>-33</v>
      </c>
      <c r="AG161" s="27"/>
      <c r="AH161" s="471">
        <f>AH162-SUM(AH140,AH143:AH150,AH160)</f>
        <v>840</v>
      </c>
      <c r="AI161" s="471">
        <f>AI162-SUM(AI140,AI143:AI150,AI160)</f>
        <v>-243</v>
      </c>
      <c r="AJ161" s="471">
        <f>AJ162-SUM(AJ140,AJ143:AJ150,AJ160)</f>
        <v>-1074</v>
      </c>
      <c r="AK161" s="471">
        <f>AK162-SUM(AK140,AK143:AK150,AK160)</f>
        <v>-325</v>
      </c>
      <c r="AL161" s="471">
        <f>AL162-SUM(AL140,AL143:AL150,AL160)</f>
        <v>-802</v>
      </c>
      <c r="AM161" s="27"/>
      <c r="AN161" s="471">
        <f>AN162-SUM(AN140,AN143:AN150,AN160)</f>
        <v>198</v>
      </c>
      <c r="AO161" s="471">
        <f>AO162-SUM(AO140,AO143:AO150,AO160)</f>
        <v>-15</v>
      </c>
      <c r="AP161" s="471">
        <f>AP162-SUM(AP140,AP143:AP150,AP160)</f>
        <v>231</v>
      </c>
      <c r="AQ161" s="471">
        <f>AQ162-SUM(AQ140,AQ143:AQ150,AQ160)</f>
        <v>82</v>
      </c>
      <c r="AR161" s="471">
        <f>AR162-SUM(AR140,AR143:AR150,AR160)</f>
        <v>496</v>
      </c>
      <c r="AS161" s="27"/>
      <c r="AT161" s="471">
        <f>AT162-SUM(AT140,AT143:AT150,AT160)</f>
        <v>355</v>
      </c>
      <c r="AU161" s="471">
        <f>AU162-SUM(AU140,AU143:AU150,AU160)</f>
        <v>-418</v>
      </c>
      <c r="AV161" s="593">
        <f>AV162-SUM(AV140,AV143:AV150,AV160)</f>
        <v>65</v>
      </c>
      <c r="AW161" s="616">
        <v>0</v>
      </c>
      <c r="AX161" s="471">
        <f>AX162-SUM(AX140,AX143:AX150,AX160)</f>
        <v>1.999999999998181</v>
      </c>
      <c r="AY161" s="27"/>
      <c r="AZ161" s="139">
        <v>0</v>
      </c>
      <c r="BA161" s="139">
        <v>0</v>
      </c>
      <c r="BB161" s="139">
        <v>0</v>
      </c>
      <c r="BC161" s="139">
        <v>0</v>
      </c>
      <c r="BD161" s="471">
        <f>BD162-SUM(BD140,BD143:BD150,BD160)</f>
        <v>0</v>
      </c>
      <c r="BE161" s="27"/>
      <c r="BF161" s="139">
        <v>0</v>
      </c>
      <c r="BG161" s="139">
        <v>0</v>
      </c>
      <c r="BH161" s="139">
        <v>0</v>
      </c>
      <c r="BI161" s="139">
        <v>0</v>
      </c>
      <c r="BJ161" s="471">
        <f>BJ162-SUM(BJ140,BJ143:BJ150,BJ160)</f>
        <v>0</v>
      </c>
      <c r="BK161" s="27"/>
      <c r="BL161" s="139">
        <v>0</v>
      </c>
      <c r="BM161" s="139">
        <v>0</v>
      </c>
      <c r="BN161" s="139">
        <v>0</v>
      </c>
      <c r="BO161" s="139">
        <v>0</v>
      </c>
      <c r="BP161" s="471">
        <f>BP162-SUM(BP140,BP143:BP150,BP160)</f>
        <v>0</v>
      </c>
      <c r="BQ161" s="27"/>
      <c r="BR161" s="139">
        <v>0</v>
      </c>
      <c r="BS161" s="139">
        <v>0</v>
      </c>
      <c r="BT161" s="139">
        <v>0</v>
      </c>
      <c r="BU161" s="139">
        <v>0</v>
      </c>
      <c r="BV161" s="471">
        <f>BV162-SUM(BV140,BV143:BV150,BV160)</f>
        <v>0</v>
      </c>
      <c r="BW161" s="27"/>
      <c r="BX161" s="139">
        <v>0</v>
      </c>
      <c r="BY161" s="139">
        <v>0</v>
      </c>
      <c r="BZ161" s="139">
        <v>0</v>
      </c>
      <c r="CA161" s="139">
        <v>0</v>
      </c>
      <c r="CB161" s="471">
        <f>CB162-SUM(CB140,CB143:CB150,CB160)</f>
        <v>0</v>
      </c>
      <c r="CC161" s="27"/>
      <c r="CD161" s="139">
        <v>0</v>
      </c>
      <c r="CE161" s="139">
        <v>0</v>
      </c>
      <c r="CF161" s="139">
        <v>0</v>
      </c>
      <c r="CG161" s="139">
        <v>0</v>
      </c>
      <c r="CH161" s="471">
        <f>CH162-SUM(CH140,CH143:CH150,CH160)</f>
        <v>0</v>
      </c>
      <c r="CI161" s="27"/>
      <c r="CJ161" s="139">
        <v>0</v>
      </c>
      <c r="CK161" s="139">
        <v>0</v>
      </c>
      <c r="CL161" s="139">
        <v>0</v>
      </c>
      <c r="CM161" s="139">
        <v>0</v>
      </c>
      <c r="CN161" s="471">
        <f>CN162-SUM(CN140,CN143:CN150,CN160)</f>
        <v>0</v>
      </c>
    </row>
    <row r="162" spans="1:92" ht="12.95" customHeight="1" x14ac:dyDescent="0.25">
      <c r="B162" s="17" t="s">
        <v>76</v>
      </c>
      <c r="C162" s="17"/>
      <c r="D162" s="470">
        <v>1542</v>
      </c>
      <c r="E162" s="470">
        <v>2382</v>
      </c>
      <c r="F162" s="470">
        <v>1241</v>
      </c>
      <c r="G162" s="470">
        <v>540.7199999999998</v>
      </c>
      <c r="H162" s="254">
        <f>SUM(D162:G162)</f>
        <v>5705.7199999999993</v>
      </c>
      <c r="I162" s="36"/>
      <c r="J162" s="470">
        <v>934.81999999999971</v>
      </c>
      <c r="K162" s="470">
        <v>2148.1800000000003</v>
      </c>
      <c r="L162" s="470">
        <v>1392</v>
      </c>
      <c r="M162" s="470">
        <v>2083</v>
      </c>
      <c r="N162" s="254">
        <f>SUM(J162:M162)</f>
        <v>6558</v>
      </c>
      <c r="O162" s="36"/>
      <c r="P162" s="470">
        <v>1121</v>
      </c>
      <c r="Q162" s="470">
        <v>2588</v>
      </c>
      <c r="R162" s="470">
        <v>769</v>
      </c>
      <c r="S162" s="470">
        <v>2434</v>
      </c>
      <c r="T162" s="254">
        <f>SUM(P162:S162)</f>
        <v>6912</v>
      </c>
      <c r="U162" s="36"/>
      <c r="V162" s="470">
        <v>1130</v>
      </c>
      <c r="W162" s="470">
        <v>1391</v>
      </c>
      <c r="X162" s="470">
        <v>1734</v>
      </c>
      <c r="Y162" s="470">
        <v>2072</v>
      </c>
      <c r="Z162" s="254">
        <f>SUM(V162:Y162)</f>
        <v>6327</v>
      </c>
      <c r="AA162" s="36"/>
      <c r="AB162" s="470">
        <v>1928</v>
      </c>
      <c r="AC162" s="470">
        <v>2118</v>
      </c>
      <c r="AD162" s="470">
        <v>1740</v>
      </c>
      <c r="AE162" s="470">
        <v>1412</v>
      </c>
      <c r="AF162" s="254">
        <f>SUM(AB162:AE162)</f>
        <v>7198</v>
      </c>
      <c r="AG162" s="36"/>
      <c r="AH162" s="470">
        <v>313</v>
      </c>
      <c r="AI162" s="470">
        <v>2233</v>
      </c>
      <c r="AJ162" s="470">
        <v>2481</v>
      </c>
      <c r="AK162" s="470">
        <v>2739</v>
      </c>
      <c r="AL162" s="254">
        <f>SUM(AH162:AK162)</f>
        <v>7766</v>
      </c>
      <c r="AM162" s="76"/>
      <c r="AN162" s="470">
        <v>1573</v>
      </c>
      <c r="AO162" s="470">
        <v>3249</v>
      </c>
      <c r="AP162" s="470">
        <v>4060</v>
      </c>
      <c r="AQ162" s="470">
        <v>4003</v>
      </c>
      <c r="AR162" s="254">
        <f>SUM(AN162:AQ162)</f>
        <v>12885</v>
      </c>
      <c r="AS162" s="36"/>
      <c r="AT162" s="470">
        <v>2052</v>
      </c>
      <c r="AU162" s="470">
        <v>3021</v>
      </c>
      <c r="AV162" s="594">
        <v>3569</v>
      </c>
      <c r="AW162" s="617">
        <f>SUM(AW140,AW143:AW150,AW160,AW161)</f>
        <v>4216.4433487883816</v>
      </c>
      <c r="AX162" s="254">
        <f>SUM(AT162:AW162)</f>
        <v>12858.443348788382</v>
      </c>
      <c r="AY162" s="36"/>
      <c r="AZ162" s="560">
        <f>SUM(AZ140,AZ143:AZ150,AZ160,AZ161)</f>
        <v>1220.4654599060004</v>
      </c>
      <c r="BA162" s="560">
        <f t="shared" ref="BA162:BC162" si="1586">SUM(BA140,BA143:BA150,BA160,BA161)</f>
        <v>3262.3155820271322</v>
      </c>
      <c r="BB162" s="560">
        <f t="shared" si="1586"/>
        <v>3381.4051435182073</v>
      </c>
      <c r="BC162" s="560">
        <f t="shared" si="1586"/>
        <v>4316.6991886223404</v>
      </c>
      <c r="BD162" s="254">
        <f>SUM(AZ162:BC162)</f>
        <v>12180.885374073681</v>
      </c>
      <c r="BE162" s="76"/>
      <c r="BF162" s="560">
        <f>SUM(BF140,BF143:BF150,BF160,BF161)</f>
        <v>1115.5488269018051</v>
      </c>
      <c r="BG162" s="560">
        <f t="shared" ref="BG162" si="1587">SUM(BG140,BG143:BG150,BG160,BG161)</f>
        <v>3511.6208977231108</v>
      </c>
      <c r="BH162" s="560">
        <f t="shared" ref="BH162" si="1588">SUM(BH140,BH143:BH150,BH160,BH161)</f>
        <v>3648.4822001002417</v>
      </c>
      <c r="BI162" s="560">
        <f t="shared" ref="BI162" si="1589">SUM(BI140,BI143:BI150,BI160,BI161)</f>
        <v>4608.0350771181947</v>
      </c>
      <c r="BJ162" s="254">
        <f>SUM(BF162:BI162)</f>
        <v>12883.687001843353</v>
      </c>
      <c r="BK162" s="76"/>
      <c r="BL162" s="560">
        <f>SUM(BL140,BL143:BL150,BL160,BL161)</f>
        <v>1202.3308595739231</v>
      </c>
      <c r="BM162" s="560">
        <f t="shared" ref="BM162" si="1590">SUM(BM140,BM143:BM150,BM160,BM161)</f>
        <v>3695.042333982567</v>
      </c>
      <c r="BN162" s="560">
        <f t="shared" ref="BN162" si="1591">SUM(BN140,BN143:BN150,BN160,BN161)</f>
        <v>3855.4661019566511</v>
      </c>
      <c r="BO162" s="560">
        <f t="shared" ref="BO162" si="1592">SUM(BO140,BO143:BO150,BO160,BO161)</f>
        <v>4836.8838879742198</v>
      </c>
      <c r="BP162" s="254">
        <f>SUM(BL162:BO162)</f>
        <v>13589.723183487362</v>
      </c>
      <c r="BQ162" s="76"/>
      <c r="BR162" s="560">
        <f>SUM(BR140,BR143:BR150,BR160,BR161)</f>
        <v>1304.9996489966775</v>
      </c>
      <c r="BS162" s="560">
        <f t="shared" ref="BS162" si="1593">SUM(BS140,BS143:BS150,BS160,BS161)</f>
        <v>3866.063319464678</v>
      </c>
      <c r="BT162" s="560">
        <f t="shared" ref="BT162" si="1594">SUM(BT140,BT143:BT150,BT160,BT161)</f>
        <v>4069.7392672642627</v>
      </c>
      <c r="BU162" s="560">
        <f t="shared" ref="BU162" si="1595">SUM(BU140,BU143:BU150,BU160,BU161)</f>
        <v>5072.5423248891375</v>
      </c>
      <c r="BV162" s="254">
        <f>SUM(BR162:BU162)</f>
        <v>14313.344560614758</v>
      </c>
      <c r="BW162" s="76"/>
      <c r="BX162" s="560">
        <f>SUM(BX140,BX143:BX150,BX160,BX161)</f>
        <v>1370.6790525113593</v>
      </c>
      <c r="BY162" s="560">
        <f t="shared" ref="BY162" si="1596">SUM(BY140,BY143:BY150,BY160,BY161)</f>
        <v>4084.5836703735667</v>
      </c>
      <c r="BZ162" s="560">
        <f t="shared" ref="BZ162" si="1597">SUM(BZ140,BZ143:BZ150,BZ160,BZ161)</f>
        <v>4295.3154896141141</v>
      </c>
      <c r="CA162" s="560">
        <f t="shared" ref="CA162" si="1598">SUM(CA140,CA143:CA150,CA160,CA161)</f>
        <v>5320.3157052022634</v>
      </c>
      <c r="CB162" s="254">
        <f>SUM(BX162:CA162)</f>
        <v>15070.893917701304</v>
      </c>
      <c r="CC162" s="76"/>
      <c r="CD162" s="560">
        <f>SUM(CD140,CD143:CD150,CD160,CD161)</f>
        <v>1460.8522933704357</v>
      </c>
      <c r="CE162" s="560">
        <f t="shared" ref="CE162" si="1599">SUM(CE140,CE143:CE150,CE160,CE161)</f>
        <v>4289.8543724253614</v>
      </c>
      <c r="CF162" s="560">
        <f t="shared" ref="CF162" si="1600">SUM(CF140,CF143:CF150,CF160,CF161)</f>
        <v>4527.621502187395</v>
      </c>
      <c r="CG162" s="560">
        <f t="shared" ref="CG162" si="1601">SUM(CG140,CG143:CG150,CG160,CG161)</f>
        <v>5575.6624049097045</v>
      </c>
      <c r="CH162" s="254">
        <f>SUM(CD162:CG162)</f>
        <v>15853.990572892897</v>
      </c>
      <c r="CI162" s="76"/>
      <c r="CJ162" s="560">
        <f>SUM(CJ140,CJ143:CJ150,CJ160,CJ161)</f>
        <v>1563.4979647309128</v>
      </c>
      <c r="CK162" s="560">
        <f t="shared" ref="CK162" si="1602">SUM(CK140,CK143:CK150,CK160,CK161)</f>
        <v>4513.0977006776411</v>
      </c>
      <c r="CL162" s="560">
        <f t="shared" ref="CL162" si="1603">SUM(CL140,CL143:CL150,CL160,CL161)</f>
        <v>4779.5891531641337</v>
      </c>
      <c r="CM162" s="560">
        <f t="shared" ref="CM162" si="1604">SUM(CM140,CM143:CM150,CM160,CM161)</f>
        <v>5850.296783311057</v>
      </c>
      <c r="CN162" s="254">
        <f>SUM(CJ162:CM162)</f>
        <v>16706.481601883745</v>
      </c>
    </row>
    <row r="163" spans="1:92" ht="12.95" customHeight="1" x14ac:dyDescent="0.25"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167">
        <f>(T162+T165)/T63</f>
        <v>0.96110290497291972</v>
      </c>
      <c r="U163" s="6"/>
      <c r="V163" s="6"/>
      <c r="W163" s="6"/>
      <c r="X163" s="6"/>
      <c r="Y163" s="6"/>
      <c r="Z163" s="167">
        <f>(Z162+Z165)/Z63</f>
        <v>1.7841894596397598</v>
      </c>
      <c r="AA163" s="6"/>
      <c r="AB163" s="167"/>
      <c r="AC163" s="167"/>
      <c r="AD163" s="27"/>
      <c r="AE163" s="27"/>
      <c r="AF163" s="167"/>
      <c r="AG163" s="27"/>
      <c r="AH163" s="27"/>
      <c r="AI163" s="27"/>
      <c r="AJ163" s="27"/>
      <c r="AK163" s="27"/>
      <c r="AL163" s="167">
        <f>(AL162+AL165)/AL63</f>
        <v>0.96495152870991796</v>
      </c>
      <c r="AM163" s="27"/>
      <c r="AN163" s="27"/>
      <c r="AO163" s="235"/>
      <c r="AP163" s="27"/>
      <c r="AQ163" s="235"/>
      <c r="AR163" s="288">
        <f>(AR162+AR165)/AR63</f>
        <v>1.0922109337203676</v>
      </c>
      <c r="AS163" s="27"/>
      <c r="AT163" s="27"/>
      <c r="AU163" s="235"/>
      <c r="AV163" s="235"/>
      <c r="AW163" s="158"/>
      <c r="AX163" s="288">
        <f>(AX162+AX165)/AX63</f>
        <v>1.051020290069612</v>
      </c>
      <c r="AY163" s="27"/>
      <c r="AZ163" s="27"/>
      <c r="BA163" s="27"/>
      <c r="BB163" s="27"/>
      <c r="BC163" s="27"/>
      <c r="BD163" s="288">
        <f>(BD162+BD165)/BD63</f>
        <v>1.000305454495138</v>
      </c>
      <c r="BE163" s="27"/>
      <c r="BF163" s="27"/>
      <c r="BG163" s="27"/>
      <c r="BH163" s="27"/>
      <c r="BI163" s="27"/>
      <c r="BJ163" s="288">
        <f>(BJ162+BJ165)/BJ63</f>
        <v>0.96658567093127123</v>
      </c>
      <c r="BK163" s="27"/>
      <c r="BL163" s="27"/>
      <c r="BM163" s="27"/>
      <c r="BN163" s="27"/>
      <c r="BO163" s="27"/>
      <c r="BP163" s="288">
        <f>(BP162+BP165)/BP63</f>
        <v>0.95831717217893442</v>
      </c>
      <c r="BQ163" s="27"/>
      <c r="BR163" s="27"/>
      <c r="BS163" s="27"/>
      <c r="BT163" s="27"/>
      <c r="BU163" s="27"/>
      <c r="BV163" s="288">
        <f>(BV162+BV165)/BV63</f>
        <v>0.95087209993602595</v>
      </c>
      <c r="BW163" s="27"/>
      <c r="BX163" s="27"/>
      <c r="BY163" s="27"/>
      <c r="BZ163" s="27"/>
      <c r="CA163" s="27"/>
      <c r="CB163" s="288">
        <f>(CB162+CB165)/CB63</f>
        <v>0.95010497711525332</v>
      </c>
      <c r="CC163" s="27"/>
      <c r="CD163" s="27"/>
      <c r="CE163" s="27"/>
      <c r="CF163" s="27"/>
      <c r="CG163" s="27"/>
      <c r="CH163" s="288">
        <f>(CH162+CH165)/CH63</f>
        <v>0.94941415457146927</v>
      </c>
      <c r="CI163" s="27"/>
      <c r="CJ163" s="27"/>
      <c r="CK163" s="27"/>
      <c r="CL163" s="27"/>
      <c r="CM163" s="27"/>
      <c r="CN163" s="288">
        <f>(CN162+CN165)/CN63</f>
        <v>0.94924430339282262</v>
      </c>
    </row>
    <row r="164" spans="1:92" ht="12.95" customHeight="1" x14ac:dyDescent="0.25">
      <c r="A164" s="1" t="s">
        <v>4</v>
      </c>
      <c r="B164" s="3" t="s">
        <v>79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27">
        <f>T162+T165</f>
        <v>5856</v>
      </c>
      <c r="U164" s="6"/>
      <c r="V164" s="6"/>
      <c r="W164" s="6"/>
      <c r="X164" s="6"/>
      <c r="Y164" s="6"/>
      <c r="Z164" s="27">
        <f>Z162+Z165</f>
        <v>5349</v>
      </c>
      <c r="AA164" s="6"/>
      <c r="AB164" s="27"/>
      <c r="AC164" s="27"/>
      <c r="AD164" s="27"/>
      <c r="AE164" s="27"/>
      <c r="AF164" s="27">
        <f>AF162+AF165</f>
        <v>6105</v>
      </c>
      <c r="AG164" s="27"/>
      <c r="AH164" s="27"/>
      <c r="AI164" s="27"/>
      <c r="AJ164" s="27"/>
      <c r="AK164" s="27"/>
      <c r="AL164" s="27">
        <f>AL162+AL165</f>
        <v>6470</v>
      </c>
      <c r="AM164" s="27"/>
      <c r="AN164" s="27"/>
      <c r="AO164" s="235"/>
      <c r="AP164" s="27"/>
      <c r="AQ164" s="235"/>
      <c r="AR164" s="235">
        <f>AR162+AR165</f>
        <v>11288</v>
      </c>
      <c r="AS164" s="27"/>
      <c r="AT164" s="27"/>
      <c r="AU164" s="235"/>
      <c r="AV164" s="235"/>
      <c r="AW164" s="651" t="s">
        <v>625</v>
      </c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</row>
    <row r="165" spans="1:92" ht="12.95" customHeight="1" x14ac:dyDescent="0.25">
      <c r="B165" s="2" t="s">
        <v>335</v>
      </c>
      <c r="D165" s="75">
        <v>-204</v>
      </c>
      <c r="E165" s="255">
        <v>-167</v>
      </c>
      <c r="F165" s="75">
        <v>-195</v>
      </c>
      <c r="G165" s="255">
        <v>-332</v>
      </c>
      <c r="H165" s="235">
        <f>SUM(D165:G165)</f>
        <v>-898</v>
      </c>
      <c r="I165" s="6"/>
      <c r="J165" s="75">
        <v>-412</v>
      </c>
      <c r="K165" s="255">
        <v>-233</v>
      </c>
      <c r="L165" s="75">
        <v>-276</v>
      </c>
      <c r="M165" s="255">
        <v>-355</v>
      </c>
      <c r="N165" s="235">
        <f>SUM(J165:M165)</f>
        <v>-1276</v>
      </c>
      <c r="O165" s="6"/>
      <c r="P165" s="75">
        <v>-278</v>
      </c>
      <c r="Q165" s="255">
        <v>-201</v>
      </c>
      <c r="R165" s="75">
        <v>-244</v>
      </c>
      <c r="S165" s="255">
        <v>-333</v>
      </c>
      <c r="T165" s="235">
        <f>SUM(P165:S165)</f>
        <v>-1056</v>
      </c>
      <c r="U165" s="6"/>
      <c r="V165" s="75">
        <v>-305</v>
      </c>
      <c r="W165" s="255">
        <v>-167</v>
      </c>
      <c r="X165" s="75">
        <v>-214</v>
      </c>
      <c r="Y165" s="255">
        <v>-292</v>
      </c>
      <c r="Z165" s="235">
        <f>SUM(V165:Y165)</f>
        <v>-978</v>
      </c>
      <c r="AA165" s="6"/>
      <c r="AB165" s="75">
        <v>-252</v>
      </c>
      <c r="AC165" s="255">
        <v>-167</v>
      </c>
      <c r="AD165" s="75">
        <v>-254</v>
      </c>
      <c r="AE165" s="255">
        <v>-420</v>
      </c>
      <c r="AF165" s="235">
        <f>SUM(AB165:AE165)</f>
        <v>-1093</v>
      </c>
      <c r="AG165" s="27"/>
      <c r="AH165" s="75">
        <v>-346</v>
      </c>
      <c r="AI165" s="255">
        <v>-240</v>
      </c>
      <c r="AJ165" s="75">
        <v>-282</v>
      </c>
      <c r="AK165" s="255">
        <v>-428</v>
      </c>
      <c r="AL165" s="235">
        <f>SUM(AH165:AK165)</f>
        <v>-1296</v>
      </c>
      <c r="AM165" s="27"/>
      <c r="AN165" s="75">
        <v>-422</v>
      </c>
      <c r="AO165" s="255">
        <v>-261</v>
      </c>
      <c r="AP165" s="75">
        <v>-378</v>
      </c>
      <c r="AQ165" s="255">
        <v>-536</v>
      </c>
      <c r="AR165" s="235">
        <f>SUM(AN165:AQ165)</f>
        <v>-1597</v>
      </c>
      <c r="AS165" s="27"/>
      <c r="AT165" s="75">
        <v>-500</v>
      </c>
      <c r="AU165" s="255">
        <v>-341</v>
      </c>
      <c r="AV165" s="255">
        <v>-444</v>
      </c>
      <c r="AW165" s="360">
        <f>-('Business Build-up'!AW124+'Business Build-up'!AW291+'Business Build-up'!AW303)-AW166</f>
        <v>-647.79999999999995</v>
      </c>
      <c r="AX165" s="235">
        <f>SUM(AT165:AW165)</f>
        <v>-1932.8</v>
      </c>
      <c r="AY165" s="27"/>
      <c r="AZ165" s="166">
        <f>-('Business Build-up'!AZ124+'Business Build-up'!AZ291+'Business Build-up'!AZ303)-AZ166</f>
        <v>-541.14</v>
      </c>
      <c r="BA165" s="166">
        <f>-('Business Build-up'!BA124+'Business Build-up'!BA291+'Business Build-up'!BA303)-BA166</f>
        <v>-386.30000000000007</v>
      </c>
      <c r="BB165" s="166">
        <f>-('Business Build-up'!BB124+'Business Build-up'!BB291+'Business Build-up'!BB303)-BB166</f>
        <v>-491.12000000000012</v>
      </c>
      <c r="BC165" s="166">
        <f>-('Business Build-up'!BC124+'Business Build-up'!BC291+'Business Build-up'!BC303)-BC166</f>
        <v>-709.16599999999994</v>
      </c>
      <c r="BD165" s="235">
        <f>SUM(AZ165:BC165)</f>
        <v>-2127.7260000000001</v>
      </c>
      <c r="BE165" s="27"/>
      <c r="BF165" s="166">
        <f>-('Business Build-up'!BF124+'Business Build-up'!BF291+'Business Build-up'!BF303)-BF166</f>
        <v>-584.02379999999994</v>
      </c>
      <c r="BG165" s="166">
        <f>-('Business Build-up'!BG124+'Business Build-up'!BG291+'Business Build-up'!BG303)-BG166</f>
        <v>-433.65200000000004</v>
      </c>
      <c r="BH165" s="166">
        <f>-('Business Build-up'!BH124+'Business Build-up'!BH291+'Business Build-up'!BH303)-BH166</f>
        <v>-540.4154000000002</v>
      </c>
      <c r="BI165" s="166">
        <f>-('Business Build-up'!BI124+'Business Build-up'!BI291+'Business Build-up'!BI303)-BI166</f>
        <v>-773.46181999999999</v>
      </c>
      <c r="BJ165" s="235">
        <f>SUM(BF165:BI165)</f>
        <v>-2331.5530200000003</v>
      </c>
      <c r="BK165" s="27"/>
      <c r="BL165" s="166">
        <f>-('Business Build-up'!BL124+'Business Build-up'!BL291+'Business Build-up'!BL303)-BL166</f>
        <v>-623.46717600000011</v>
      </c>
      <c r="BM165" s="166">
        <f>-('Business Build-up'!BM124+'Business Build-up'!BM291+'Business Build-up'!BM303)-BM166</f>
        <v>-473.42406500000016</v>
      </c>
      <c r="BN165" s="166">
        <f>-('Business Build-up'!BN124+'Business Build-up'!BN291+'Business Build-up'!BN303)-BN166</f>
        <v>-581.10345800000005</v>
      </c>
      <c r="BO165" s="166">
        <f>-('Business Build-up'!BO124+'Business Build-up'!BO291+'Business Build-up'!BO303)-BO166</f>
        <v>-826.2421889000002</v>
      </c>
      <c r="BP165" s="235">
        <f>SUM(BL165:BO165)</f>
        <v>-2504.2368879000005</v>
      </c>
      <c r="BQ165" s="27"/>
      <c r="BR165" s="166">
        <f>-('Business Build-up'!BR124+'Business Build-up'!BR291+'Business Build-up'!BR303)-BR166</f>
        <v>-660.65651952000007</v>
      </c>
      <c r="BS165" s="166">
        <f>-('Business Build-up'!BS124+'Business Build-up'!BS291+'Business Build-up'!BS303)-BS166</f>
        <v>-510.45254630000011</v>
      </c>
      <c r="BT165" s="166">
        <f>-('Business Build-up'!BT124+'Business Build-up'!BT291+'Business Build-up'!BT303)-BT166</f>
        <v>-618.30552716000022</v>
      </c>
      <c r="BU165" s="166">
        <f>-('Business Build-up'!BU124+'Business Build-up'!BU291+'Business Build-up'!BU303)-BU166</f>
        <v>-869.12703267800021</v>
      </c>
      <c r="BV165" s="235">
        <f>SUM(BR165:BU165)</f>
        <v>-2658.5416256580002</v>
      </c>
      <c r="BW165" s="27"/>
      <c r="BX165" s="166">
        <f>-('Business Build-up'!BX124+'Business Build-up'!BX291+'Business Build-up'!BX303)-BX166</f>
        <v>-678.58964991040011</v>
      </c>
      <c r="BY165" s="166">
        <f>-('Business Build-up'!BY124+'Business Build-up'!BY291+'Business Build-up'!BY303)-BY166</f>
        <v>-528.22159722600009</v>
      </c>
      <c r="BZ165" s="166">
        <f>-('Business Build-up'!BZ124+'Business Build-up'!BZ291+'Business Build-up'!BZ303)-BZ166</f>
        <v>-636.25163770320012</v>
      </c>
      <c r="CA165" s="166">
        <f>-('Business Build-up'!CA124+'Business Build-up'!CA291+'Business Build-up'!CA303)-CA166</f>
        <v>-892.86957333156033</v>
      </c>
      <c r="CB165" s="235">
        <f>SUM(BX165:CA165)</f>
        <v>-2735.9324581711608</v>
      </c>
      <c r="CC165" s="27"/>
      <c r="CD165" s="166">
        <f>-('Business Build-up'!CD124+'Business Build-up'!CD291+'Business Build-up'!CD303)-CD166</f>
        <v>-696.88144290860805</v>
      </c>
      <c r="CE165" s="166">
        <f>-('Business Build-up'!CE124+'Business Build-up'!CE291+'Business Build-up'!CE303)-CE166</f>
        <v>-546.34602917051996</v>
      </c>
      <c r="CF165" s="166">
        <f>-('Business Build-up'!CF124+'Business Build-up'!CF291+'Business Build-up'!CF303)-CF166</f>
        <v>-654.5566704572642</v>
      </c>
      <c r="CG165" s="166">
        <f>-('Business Build-up'!CG124+'Business Build-up'!CG291+'Business Build-up'!CG303)-CG166</f>
        <v>-917.08696479819173</v>
      </c>
      <c r="CH165" s="235">
        <f>SUM(CD165:CG165)</f>
        <v>-2814.8711073345839</v>
      </c>
      <c r="CI165" s="27"/>
      <c r="CJ165" s="166">
        <f>-('Business Build-up'!CJ124+'Business Build-up'!CJ291+'Business Build-up'!CJ303)-CJ166</f>
        <v>-715.53907176678024</v>
      </c>
      <c r="CK165" s="166">
        <f>-('Business Build-up'!CK124+'Business Build-up'!CK291+'Business Build-up'!CK303)-CK166</f>
        <v>-564.83294975393051</v>
      </c>
      <c r="CL165" s="166">
        <f>-('Business Build-up'!CL124+'Business Build-up'!CL291+'Business Build-up'!CL303)-CL166</f>
        <v>-673.22780386640943</v>
      </c>
      <c r="CM165" s="166">
        <f>-('Business Build-up'!CM124+'Business Build-up'!CM291+'Business Build-up'!CM303)-CM166</f>
        <v>-941.78870409415549</v>
      </c>
      <c r="CN165" s="235">
        <f>SUM(CJ165:CM165)</f>
        <v>-2895.3885294812758</v>
      </c>
    </row>
    <row r="166" spans="1:92" ht="12.95" customHeight="1" x14ac:dyDescent="0.25">
      <c r="B166" s="2" t="s">
        <v>467</v>
      </c>
      <c r="D166" s="75">
        <v>-305</v>
      </c>
      <c r="E166" s="255">
        <v>-448</v>
      </c>
      <c r="F166" s="75">
        <v>-318</v>
      </c>
      <c r="G166" s="255">
        <v>-367</v>
      </c>
      <c r="H166" s="235">
        <f t="shared" ref="H166:H175" si="1605">SUM(D166:G166)</f>
        <v>-1438</v>
      </c>
      <c r="I166" s="6"/>
      <c r="J166" s="75">
        <v>-345</v>
      </c>
      <c r="K166" s="255">
        <v>-538</v>
      </c>
      <c r="L166" s="75">
        <v>-325</v>
      </c>
      <c r="M166" s="255">
        <v>-432</v>
      </c>
      <c r="N166" s="235">
        <f t="shared" ref="N166:N175" si="1606">SUM(J166:M166)</f>
        <v>-1640</v>
      </c>
      <c r="O166" s="6"/>
      <c r="P166" s="75">
        <v>-269</v>
      </c>
      <c r="Q166" s="255">
        <v>-477</v>
      </c>
      <c r="R166" s="75">
        <v>-387</v>
      </c>
      <c r="S166" s="255">
        <v>-480</v>
      </c>
      <c r="T166" s="235">
        <f t="shared" ref="T166:T175" si="1607">SUM(P166:S166)</f>
        <v>-1613</v>
      </c>
      <c r="U166" s="6"/>
      <c r="V166" s="75">
        <v>-243</v>
      </c>
      <c r="W166" s="255">
        <v>-283</v>
      </c>
      <c r="X166" s="75">
        <v>-279</v>
      </c>
      <c r="Y166" s="255">
        <v>-332</v>
      </c>
      <c r="Z166" s="235">
        <f t="shared" ref="Z166:Z175" si="1608">SUM(V166:Y166)</f>
        <v>-1137</v>
      </c>
      <c r="AA166" s="6"/>
      <c r="AB166" s="75">
        <v>-252</v>
      </c>
      <c r="AC166" s="255">
        <v>-429</v>
      </c>
      <c r="AD166" s="75">
        <v>-333</v>
      </c>
      <c r="AE166" s="255">
        <v>-365</v>
      </c>
      <c r="AF166" s="235">
        <f t="shared" ref="AF166:AF175" si="1609">SUM(AB166:AE166)</f>
        <v>-1379</v>
      </c>
      <c r="AG166" s="27"/>
      <c r="AH166" s="75">
        <v>-333</v>
      </c>
      <c r="AI166" s="255">
        <v>-355</v>
      </c>
      <c r="AJ166" s="75">
        <v>-335</v>
      </c>
      <c r="AK166" s="255">
        <v>-280</v>
      </c>
      <c r="AL166" s="235">
        <f t="shared" ref="AL166:AL175" si="1610">SUM(AH166:AK166)</f>
        <v>-1303</v>
      </c>
      <c r="AM166" s="27"/>
      <c r="AN166" s="75">
        <v>-328</v>
      </c>
      <c r="AO166" s="255">
        <v>-446</v>
      </c>
      <c r="AP166" s="75">
        <v>-403</v>
      </c>
      <c r="AQ166" s="255">
        <v>-318</v>
      </c>
      <c r="AR166" s="235">
        <f t="shared" ref="AR166:AR175" si="1611">SUM(AN166:AQ166)</f>
        <v>-1495</v>
      </c>
      <c r="AS166" s="27"/>
      <c r="AT166" s="75">
        <v>-236</v>
      </c>
      <c r="AU166" s="255">
        <v>-378</v>
      </c>
      <c r="AV166" s="255">
        <v>-279</v>
      </c>
      <c r="AW166" s="360">
        <f>AQ166</f>
        <v>-318</v>
      </c>
      <c r="AX166" s="235">
        <f t="shared" ref="AX166:AX175" si="1612">SUM(AT166:AW166)</f>
        <v>-1211</v>
      </c>
      <c r="AY166" s="27"/>
      <c r="AZ166" s="166">
        <f>AT166</f>
        <v>-236</v>
      </c>
      <c r="BA166" s="166">
        <f t="shared" ref="BA166:BC167" si="1613">AU166</f>
        <v>-378</v>
      </c>
      <c r="BB166" s="166">
        <f t="shared" si="1613"/>
        <v>-279</v>
      </c>
      <c r="BC166" s="166">
        <f t="shared" si="1613"/>
        <v>-318</v>
      </c>
      <c r="BD166" s="235">
        <f t="shared" ref="BD166:BD175" si="1614">SUM(AZ166:BC166)</f>
        <v>-1211</v>
      </c>
      <c r="BE166" s="27"/>
      <c r="BF166" s="166">
        <f>AZ166</f>
        <v>-236</v>
      </c>
      <c r="BG166" s="166">
        <f t="shared" ref="BG166:BG167" si="1615">BA166</f>
        <v>-378</v>
      </c>
      <c r="BH166" s="166">
        <f t="shared" ref="BH166:BH167" si="1616">BB166</f>
        <v>-279</v>
      </c>
      <c r="BI166" s="166">
        <f t="shared" ref="BI166:BI167" si="1617">BC166</f>
        <v>-318</v>
      </c>
      <c r="BJ166" s="235">
        <f t="shared" ref="BJ166:BJ167" si="1618">SUM(BF166:BI166)</f>
        <v>-1211</v>
      </c>
      <c r="BK166" s="27"/>
      <c r="BL166" s="166">
        <f>BF166</f>
        <v>-236</v>
      </c>
      <c r="BM166" s="166">
        <f t="shared" ref="BM166:BM167" si="1619">BG166</f>
        <v>-378</v>
      </c>
      <c r="BN166" s="166">
        <f t="shared" ref="BN166:BN167" si="1620">BH166</f>
        <v>-279</v>
      </c>
      <c r="BO166" s="166">
        <f t="shared" ref="BO166:BO167" si="1621">BI166</f>
        <v>-318</v>
      </c>
      <c r="BP166" s="235">
        <f t="shared" ref="BP166:BP167" si="1622">SUM(BL166:BO166)</f>
        <v>-1211</v>
      </c>
      <c r="BQ166" s="27"/>
      <c r="BR166" s="166">
        <f>BL166</f>
        <v>-236</v>
      </c>
      <c r="BS166" s="166">
        <f t="shared" ref="BS166:BS167" si="1623">BM166</f>
        <v>-378</v>
      </c>
      <c r="BT166" s="166">
        <f t="shared" ref="BT166:BT167" si="1624">BN166</f>
        <v>-279</v>
      </c>
      <c r="BU166" s="166">
        <f t="shared" ref="BU166:BU167" si="1625">BO166</f>
        <v>-318</v>
      </c>
      <c r="BV166" s="235">
        <f t="shared" ref="BV166:BV167" si="1626">SUM(BR166:BU166)</f>
        <v>-1211</v>
      </c>
      <c r="BW166" s="27"/>
      <c r="BX166" s="166">
        <f>BR166</f>
        <v>-236</v>
      </c>
      <c r="BY166" s="166">
        <f t="shared" ref="BY166:BY167" si="1627">BS166</f>
        <v>-378</v>
      </c>
      <c r="BZ166" s="166">
        <f t="shared" ref="BZ166:BZ167" si="1628">BT166</f>
        <v>-279</v>
      </c>
      <c r="CA166" s="166">
        <f t="shared" ref="CA166:CA167" si="1629">BU166</f>
        <v>-318</v>
      </c>
      <c r="CB166" s="235">
        <f t="shared" ref="CB166:CB167" si="1630">SUM(BX166:CA166)</f>
        <v>-1211</v>
      </c>
      <c r="CC166" s="27"/>
      <c r="CD166" s="166">
        <f>BX166</f>
        <v>-236</v>
      </c>
      <c r="CE166" s="166">
        <f t="shared" ref="CE166:CE167" si="1631">BY166</f>
        <v>-378</v>
      </c>
      <c r="CF166" s="166">
        <f t="shared" ref="CF166:CF167" si="1632">BZ166</f>
        <v>-279</v>
      </c>
      <c r="CG166" s="166">
        <f t="shared" ref="CG166:CG167" si="1633">CA166</f>
        <v>-318</v>
      </c>
      <c r="CH166" s="235">
        <f t="shared" ref="CH166:CH167" si="1634">SUM(CD166:CG166)</f>
        <v>-1211</v>
      </c>
      <c r="CI166" s="27"/>
      <c r="CJ166" s="166">
        <f>CD166</f>
        <v>-236</v>
      </c>
      <c r="CK166" s="166">
        <f t="shared" ref="CK166:CK167" si="1635">CE166</f>
        <v>-378</v>
      </c>
      <c r="CL166" s="166">
        <f t="shared" ref="CL166:CL167" si="1636">CF166</f>
        <v>-279</v>
      </c>
      <c r="CM166" s="166">
        <f t="shared" ref="CM166:CM167" si="1637">CG166</f>
        <v>-318</v>
      </c>
      <c r="CN166" s="235">
        <f t="shared" ref="CN166:CN167" si="1638">SUM(CJ166:CM166)</f>
        <v>-1211</v>
      </c>
    </row>
    <row r="167" spans="1:92" ht="12.95" customHeight="1" x14ac:dyDescent="0.25">
      <c r="B167" s="2" t="s">
        <v>468</v>
      </c>
      <c r="D167" s="75">
        <v>234</v>
      </c>
      <c r="E167" s="255">
        <v>329</v>
      </c>
      <c r="F167" s="75">
        <v>301</v>
      </c>
      <c r="G167" s="255">
        <v>300</v>
      </c>
      <c r="H167" s="235">
        <f t="shared" si="1605"/>
        <v>1164</v>
      </c>
      <c r="I167" s="6"/>
      <c r="J167" s="75">
        <v>258</v>
      </c>
      <c r="K167" s="255">
        <v>281</v>
      </c>
      <c r="L167" s="75">
        <v>193</v>
      </c>
      <c r="M167" s="255">
        <v>204</v>
      </c>
      <c r="N167" s="235">
        <f t="shared" si="1606"/>
        <v>936</v>
      </c>
      <c r="O167" s="6"/>
      <c r="P167" s="75">
        <v>209</v>
      </c>
      <c r="Q167" s="255">
        <v>213</v>
      </c>
      <c r="R167" s="75">
        <v>390</v>
      </c>
      <c r="S167" s="255">
        <v>341</v>
      </c>
      <c r="T167" s="235">
        <f t="shared" si="1607"/>
        <v>1153</v>
      </c>
      <c r="U167" s="6"/>
      <c r="V167" s="75">
        <v>216</v>
      </c>
      <c r="W167" s="255">
        <v>166</v>
      </c>
      <c r="X167" s="75">
        <v>168</v>
      </c>
      <c r="Y167" s="255">
        <v>222</v>
      </c>
      <c r="Z167" s="235">
        <f t="shared" si="1608"/>
        <v>772</v>
      </c>
      <c r="AA167" s="6"/>
      <c r="AB167" s="75">
        <v>309</v>
      </c>
      <c r="AC167" s="255">
        <v>327</v>
      </c>
      <c r="AD167" s="75">
        <v>241</v>
      </c>
      <c r="AE167" s="255">
        <v>388</v>
      </c>
      <c r="AF167" s="235">
        <f t="shared" si="1609"/>
        <v>1265</v>
      </c>
      <c r="AG167" s="27"/>
      <c r="AH167" s="75">
        <v>269</v>
      </c>
      <c r="AI167" s="255">
        <v>199</v>
      </c>
      <c r="AJ167" s="75">
        <v>198</v>
      </c>
      <c r="AK167" s="255">
        <v>164</v>
      </c>
      <c r="AL167" s="235">
        <f t="shared" si="1610"/>
        <v>830</v>
      </c>
      <c r="AM167" s="27"/>
      <c r="AN167" s="75">
        <v>184</v>
      </c>
      <c r="AO167" s="255">
        <v>184</v>
      </c>
      <c r="AP167" s="75">
        <v>195</v>
      </c>
      <c r="AQ167" s="255">
        <v>218</v>
      </c>
      <c r="AR167" s="235">
        <f t="shared" si="1611"/>
        <v>781</v>
      </c>
      <c r="AS167" s="27"/>
      <c r="AT167" s="75">
        <v>155</v>
      </c>
      <c r="AU167" s="255">
        <v>187</v>
      </c>
      <c r="AV167" s="255">
        <v>199</v>
      </c>
      <c r="AW167" s="619">
        <f>AQ167</f>
        <v>218</v>
      </c>
      <c r="AX167" s="235">
        <f t="shared" si="1612"/>
        <v>759</v>
      </c>
      <c r="AY167" s="27"/>
      <c r="AZ167" s="569">
        <f>AT167</f>
        <v>155</v>
      </c>
      <c r="BA167" s="569">
        <f t="shared" si="1613"/>
        <v>187</v>
      </c>
      <c r="BB167" s="569">
        <f t="shared" si="1613"/>
        <v>199</v>
      </c>
      <c r="BC167" s="569">
        <f t="shared" si="1613"/>
        <v>218</v>
      </c>
      <c r="BD167" s="235">
        <f t="shared" si="1614"/>
        <v>759</v>
      </c>
      <c r="BE167" s="27"/>
      <c r="BF167" s="569">
        <f>AZ167</f>
        <v>155</v>
      </c>
      <c r="BG167" s="569">
        <f t="shared" si="1615"/>
        <v>187</v>
      </c>
      <c r="BH167" s="569">
        <f t="shared" si="1616"/>
        <v>199</v>
      </c>
      <c r="BI167" s="569">
        <f t="shared" si="1617"/>
        <v>218</v>
      </c>
      <c r="BJ167" s="235">
        <f t="shared" si="1618"/>
        <v>759</v>
      </c>
      <c r="BK167" s="27"/>
      <c r="BL167" s="569">
        <f>BF167</f>
        <v>155</v>
      </c>
      <c r="BM167" s="569">
        <f t="shared" si="1619"/>
        <v>187</v>
      </c>
      <c r="BN167" s="569">
        <f t="shared" si="1620"/>
        <v>199</v>
      </c>
      <c r="BO167" s="569">
        <f t="shared" si="1621"/>
        <v>218</v>
      </c>
      <c r="BP167" s="235">
        <f t="shared" si="1622"/>
        <v>759</v>
      </c>
      <c r="BQ167" s="27"/>
      <c r="BR167" s="569">
        <f>BL167</f>
        <v>155</v>
      </c>
      <c r="BS167" s="569">
        <f t="shared" si="1623"/>
        <v>187</v>
      </c>
      <c r="BT167" s="569">
        <f t="shared" si="1624"/>
        <v>199</v>
      </c>
      <c r="BU167" s="569">
        <f t="shared" si="1625"/>
        <v>218</v>
      </c>
      <c r="BV167" s="235">
        <f t="shared" si="1626"/>
        <v>759</v>
      </c>
      <c r="BW167" s="27"/>
      <c r="BX167" s="569">
        <f>BR167</f>
        <v>155</v>
      </c>
      <c r="BY167" s="569">
        <f t="shared" si="1627"/>
        <v>187</v>
      </c>
      <c r="BZ167" s="569">
        <f t="shared" si="1628"/>
        <v>199</v>
      </c>
      <c r="CA167" s="569">
        <f t="shared" si="1629"/>
        <v>218</v>
      </c>
      <c r="CB167" s="235">
        <f t="shared" si="1630"/>
        <v>759</v>
      </c>
      <c r="CC167" s="27"/>
      <c r="CD167" s="569">
        <f>BX167</f>
        <v>155</v>
      </c>
      <c r="CE167" s="569">
        <f t="shared" si="1631"/>
        <v>187</v>
      </c>
      <c r="CF167" s="569">
        <f t="shared" si="1632"/>
        <v>199</v>
      </c>
      <c r="CG167" s="569">
        <f t="shared" si="1633"/>
        <v>218</v>
      </c>
      <c r="CH167" s="235">
        <f t="shared" si="1634"/>
        <v>759</v>
      </c>
      <c r="CI167" s="27"/>
      <c r="CJ167" s="569">
        <f>CD167</f>
        <v>155</v>
      </c>
      <c r="CK167" s="569">
        <f t="shared" si="1635"/>
        <v>187</v>
      </c>
      <c r="CL167" s="569">
        <f t="shared" si="1636"/>
        <v>199</v>
      </c>
      <c r="CM167" s="569">
        <f t="shared" si="1637"/>
        <v>218</v>
      </c>
      <c r="CN167" s="235">
        <f t="shared" si="1638"/>
        <v>759</v>
      </c>
    </row>
    <row r="168" spans="1:92" ht="12.95" customHeight="1" x14ac:dyDescent="0.25">
      <c r="B168" s="2" t="s">
        <v>458</v>
      </c>
      <c r="D168" s="75">
        <v>-2122</v>
      </c>
      <c r="E168" s="255">
        <v>-3142</v>
      </c>
      <c r="F168" s="75">
        <v>-2982</v>
      </c>
      <c r="G168" s="255">
        <v>-3707</v>
      </c>
      <c r="H168" s="235">
        <f t="shared" si="1605"/>
        <v>-11953</v>
      </c>
      <c r="I168" s="6"/>
      <c r="J168" s="75">
        <v>-2621</v>
      </c>
      <c r="K168" s="255">
        <v>-3522</v>
      </c>
      <c r="L168" s="75">
        <v>-2949</v>
      </c>
      <c r="M168" s="255">
        <v>-3091</v>
      </c>
      <c r="N168" s="235">
        <f t="shared" si="1606"/>
        <v>-12183</v>
      </c>
      <c r="O168" s="6"/>
      <c r="P168" s="75">
        <v>-2615</v>
      </c>
      <c r="Q168" s="255">
        <v>-3566</v>
      </c>
      <c r="R168" s="75">
        <v>-3272</v>
      </c>
      <c r="S168" s="255">
        <v>-3324</v>
      </c>
      <c r="T168" s="235">
        <f t="shared" si="1607"/>
        <v>-12777</v>
      </c>
      <c r="U168" s="6"/>
      <c r="V168" s="75">
        <v>-2953</v>
      </c>
      <c r="W168" s="255">
        <v>-3759</v>
      </c>
      <c r="X168" s="75">
        <v>-2566</v>
      </c>
      <c r="Y168" s="255">
        <v>-3107</v>
      </c>
      <c r="Z168" s="235">
        <f t="shared" si="1608"/>
        <v>-12385</v>
      </c>
      <c r="AA168" s="6"/>
      <c r="AB168" s="75">
        <v>-2629</v>
      </c>
      <c r="AC168" s="255">
        <v>-3574</v>
      </c>
      <c r="AD168" s="75">
        <v>-3400</v>
      </c>
      <c r="AE168" s="255">
        <v>-3399</v>
      </c>
      <c r="AF168" s="235">
        <f t="shared" si="1609"/>
        <v>-13002</v>
      </c>
      <c r="AG168" s="27"/>
      <c r="AH168" s="75">
        <v>-2988</v>
      </c>
      <c r="AI168" s="255">
        <v>-3717</v>
      </c>
      <c r="AJ168" s="75">
        <v>-3209</v>
      </c>
      <c r="AK168" s="255">
        <v>-3325</v>
      </c>
      <c r="AL168" s="235">
        <f t="shared" si="1610"/>
        <v>-13239</v>
      </c>
      <c r="AM168" s="27"/>
      <c r="AN168" s="75">
        <v>-3020</v>
      </c>
      <c r="AO168" s="255">
        <v>-3953</v>
      </c>
      <c r="AP168" s="75">
        <v>-4109</v>
      </c>
      <c r="AQ168" s="255">
        <v>-4079</v>
      </c>
      <c r="AR168" s="235">
        <f t="shared" si="1611"/>
        <v>-15161</v>
      </c>
      <c r="AS168" s="27"/>
      <c r="AT168" s="75">
        <v>-3256</v>
      </c>
      <c r="AU168" s="255">
        <v>-4190</v>
      </c>
      <c r="AV168" s="255">
        <v>-4011</v>
      </c>
      <c r="AW168" s="355">
        <v>0</v>
      </c>
      <c r="AX168" s="235">
        <f t="shared" si="1612"/>
        <v>-11457</v>
      </c>
      <c r="AY168" s="27"/>
      <c r="AZ168" s="255">
        <v>0</v>
      </c>
      <c r="BA168" s="255">
        <v>0</v>
      </c>
      <c r="BB168" s="255">
        <v>0</v>
      </c>
      <c r="BC168" s="255">
        <v>0</v>
      </c>
      <c r="BD168" s="235">
        <f t="shared" si="1614"/>
        <v>0</v>
      </c>
      <c r="BE168" s="27"/>
      <c r="BF168" s="255">
        <v>0</v>
      </c>
      <c r="BG168" s="255">
        <v>0</v>
      </c>
      <c r="BH168" s="255">
        <v>0</v>
      </c>
      <c r="BI168" s="255">
        <v>0</v>
      </c>
      <c r="BJ168" s="235">
        <f t="shared" ref="BJ168:BJ175" si="1639">SUM(BF168:BI168)</f>
        <v>0</v>
      </c>
      <c r="BK168" s="27"/>
      <c r="BL168" s="255">
        <v>0</v>
      </c>
      <c r="BM168" s="255">
        <v>0</v>
      </c>
      <c r="BN168" s="255">
        <v>0</v>
      </c>
      <c r="BO168" s="255">
        <v>0</v>
      </c>
      <c r="BP168" s="235">
        <f t="shared" ref="BP168:BP175" si="1640">SUM(BL168:BO168)</f>
        <v>0</v>
      </c>
      <c r="BQ168" s="27"/>
      <c r="BR168" s="255">
        <v>0</v>
      </c>
      <c r="BS168" s="255">
        <v>0</v>
      </c>
      <c r="BT168" s="255">
        <v>0</v>
      </c>
      <c r="BU168" s="255">
        <v>0</v>
      </c>
      <c r="BV168" s="235">
        <f t="shared" ref="BV168:BV175" si="1641">SUM(BR168:BU168)</f>
        <v>0</v>
      </c>
      <c r="BW168" s="27"/>
      <c r="BX168" s="255">
        <v>0</v>
      </c>
      <c r="BY168" s="255">
        <v>0</v>
      </c>
      <c r="BZ168" s="255">
        <v>0</v>
      </c>
      <c r="CA168" s="255">
        <v>0</v>
      </c>
      <c r="CB168" s="235">
        <f t="shared" ref="CB168:CB175" si="1642">SUM(BX168:CA168)</f>
        <v>0</v>
      </c>
      <c r="CC168" s="27"/>
      <c r="CD168" s="255">
        <v>0</v>
      </c>
      <c r="CE168" s="255">
        <v>0</v>
      </c>
      <c r="CF168" s="255">
        <v>0</v>
      </c>
      <c r="CG168" s="255">
        <v>0</v>
      </c>
      <c r="CH168" s="235">
        <f t="shared" ref="CH168:CH175" si="1643">SUM(CD168:CG168)</f>
        <v>0</v>
      </c>
      <c r="CI168" s="27"/>
      <c r="CJ168" s="255">
        <v>0</v>
      </c>
      <c r="CK168" s="255">
        <v>0</v>
      </c>
      <c r="CL168" s="255">
        <v>0</v>
      </c>
      <c r="CM168" s="255">
        <v>0</v>
      </c>
      <c r="CN168" s="235">
        <f t="shared" ref="CN168:CN175" si="1644">SUM(CJ168:CM168)</f>
        <v>0</v>
      </c>
    </row>
    <row r="169" spans="1:92" ht="12.95" customHeight="1" x14ac:dyDescent="0.25">
      <c r="B169" s="2" t="s">
        <v>459</v>
      </c>
      <c r="D169" s="75">
        <v>2272</v>
      </c>
      <c r="E169" s="255">
        <v>3236</v>
      </c>
      <c r="F169" s="75">
        <v>3024</v>
      </c>
      <c r="G169" s="255">
        <v>3486</v>
      </c>
      <c r="H169" s="235">
        <f t="shared" si="1605"/>
        <v>12018</v>
      </c>
      <c r="I169" s="6"/>
      <c r="J169" s="75">
        <v>2671</v>
      </c>
      <c r="K169" s="255">
        <v>2734</v>
      </c>
      <c r="L169" s="75">
        <v>2627</v>
      </c>
      <c r="M169" s="255">
        <v>2869</v>
      </c>
      <c r="N169" s="235">
        <f t="shared" si="1606"/>
        <v>10901</v>
      </c>
      <c r="O169" s="6"/>
      <c r="P169" s="75">
        <v>2818</v>
      </c>
      <c r="Q169" s="255">
        <v>3084</v>
      </c>
      <c r="R169" s="75">
        <v>3242</v>
      </c>
      <c r="S169" s="255">
        <v>3039</v>
      </c>
      <c r="T169" s="235">
        <f t="shared" si="1607"/>
        <v>12183</v>
      </c>
      <c r="U169" s="6"/>
      <c r="V169" s="75">
        <v>3153</v>
      </c>
      <c r="W169" s="255">
        <v>3648</v>
      </c>
      <c r="X169" s="75">
        <v>2855</v>
      </c>
      <c r="Y169" s="255">
        <v>2990</v>
      </c>
      <c r="Z169" s="235">
        <f t="shared" si="1608"/>
        <v>12646</v>
      </c>
      <c r="AA169" s="6"/>
      <c r="AB169" s="75">
        <v>2770</v>
      </c>
      <c r="AC169" s="255">
        <v>2810</v>
      </c>
      <c r="AD169" s="75">
        <v>3641</v>
      </c>
      <c r="AE169" s="255">
        <v>3209</v>
      </c>
      <c r="AF169" s="235">
        <f t="shared" si="1609"/>
        <v>12430</v>
      </c>
      <c r="AG169" s="27"/>
      <c r="AH169" s="75">
        <v>2966</v>
      </c>
      <c r="AI169" s="255">
        <v>3553</v>
      </c>
      <c r="AJ169" s="75">
        <v>3219</v>
      </c>
      <c r="AK169" s="255">
        <v>3439</v>
      </c>
      <c r="AL169" s="235">
        <f t="shared" si="1610"/>
        <v>13177</v>
      </c>
      <c r="AM169" s="27"/>
      <c r="AN169" s="75">
        <v>3169</v>
      </c>
      <c r="AO169" s="255">
        <v>3590</v>
      </c>
      <c r="AP169" s="75">
        <v>3632</v>
      </c>
      <c r="AQ169" s="255">
        <v>3643</v>
      </c>
      <c r="AR169" s="235">
        <f t="shared" si="1611"/>
        <v>14034</v>
      </c>
      <c r="AS169" s="27"/>
      <c r="AT169" s="75">
        <v>3140</v>
      </c>
      <c r="AU169" s="255">
        <v>3603</v>
      </c>
      <c r="AV169" s="255">
        <v>3491</v>
      </c>
      <c r="AW169" s="355">
        <v>0</v>
      </c>
      <c r="AX169" s="235">
        <f t="shared" si="1612"/>
        <v>10234</v>
      </c>
      <c r="AY169" s="27"/>
      <c r="AZ169" s="255">
        <v>0</v>
      </c>
      <c r="BA169" s="255">
        <v>0</v>
      </c>
      <c r="BB169" s="255">
        <v>0</v>
      </c>
      <c r="BC169" s="255">
        <v>0</v>
      </c>
      <c r="BD169" s="235">
        <f t="shared" si="1614"/>
        <v>0</v>
      </c>
      <c r="BE169" s="27"/>
      <c r="BF169" s="255">
        <v>0</v>
      </c>
      <c r="BG169" s="255">
        <v>0</v>
      </c>
      <c r="BH169" s="255">
        <v>0</v>
      </c>
      <c r="BI169" s="255">
        <v>0</v>
      </c>
      <c r="BJ169" s="235">
        <f t="shared" si="1639"/>
        <v>0</v>
      </c>
      <c r="BK169" s="27"/>
      <c r="BL169" s="255">
        <v>0</v>
      </c>
      <c r="BM169" s="255">
        <v>0</v>
      </c>
      <c r="BN169" s="255">
        <v>0</v>
      </c>
      <c r="BO169" s="255">
        <v>0</v>
      </c>
      <c r="BP169" s="235">
        <f t="shared" si="1640"/>
        <v>0</v>
      </c>
      <c r="BQ169" s="27"/>
      <c r="BR169" s="255">
        <v>0</v>
      </c>
      <c r="BS169" s="255">
        <v>0</v>
      </c>
      <c r="BT169" s="255">
        <v>0</v>
      </c>
      <c r="BU169" s="255">
        <v>0</v>
      </c>
      <c r="BV169" s="235">
        <f t="shared" si="1641"/>
        <v>0</v>
      </c>
      <c r="BW169" s="27"/>
      <c r="BX169" s="255">
        <v>0</v>
      </c>
      <c r="BY169" s="255">
        <v>0</v>
      </c>
      <c r="BZ169" s="255">
        <v>0</v>
      </c>
      <c r="CA169" s="255">
        <v>0</v>
      </c>
      <c r="CB169" s="235">
        <f t="shared" si="1642"/>
        <v>0</v>
      </c>
      <c r="CC169" s="27"/>
      <c r="CD169" s="255">
        <v>0</v>
      </c>
      <c r="CE169" s="255">
        <v>0</v>
      </c>
      <c r="CF169" s="255">
        <v>0</v>
      </c>
      <c r="CG169" s="255">
        <v>0</v>
      </c>
      <c r="CH169" s="235">
        <f t="shared" si="1643"/>
        <v>0</v>
      </c>
      <c r="CI169" s="27"/>
      <c r="CJ169" s="255">
        <v>0</v>
      </c>
      <c r="CK169" s="255">
        <v>0</v>
      </c>
      <c r="CL169" s="255">
        <v>0</v>
      </c>
      <c r="CM169" s="255">
        <v>0</v>
      </c>
      <c r="CN169" s="235">
        <f t="shared" si="1644"/>
        <v>0</v>
      </c>
    </row>
    <row r="170" spans="1:92" ht="12.95" customHeight="1" x14ac:dyDescent="0.25">
      <c r="B170" s="2" t="s">
        <v>460</v>
      </c>
      <c r="D170" s="75">
        <v>17</v>
      </c>
      <c r="E170" s="255">
        <v>66</v>
      </c>
      <c r="F170" s="75">
        <v>15</v>
      </c>
      <c r="G170" s="255">
        <v>29</v>
      </c>
      <c r="H170" s="235">
        <f t="shared" si="1605"/>
        <v>127</v>
      </c>
      <c r="I170" s="6"/>
      <c r="J170" s="75">
        <v>69</v>
      </c>
      <c r="K170" s="255">
        <v>55</v>
      </c>
      <c r="L170" s="75">
        <v>292</v>
      </c>
      <c r="M170" s="255">
        <v>61</v>
      </c>
      <c r="N170" s="235">
        <f t="shared" si="1606"/>
        <v>477</v>
      </c>
      <c r="O170" s="6"/>
      <c r="P170" s="75">
        <v>44</v>
      </c>
      <c r="Q170" s="255">
        <v>75</v>
      </c>
      <c r="R170" s="75">
        <v>64</v>
      </c>
      <c r="S170" s="255">
        <v>52</v>
      </c>
      <c r="T170" s="235">
        <f t="shared" si="1607"/>
        <v>235</v>
      </c>
      <c r="U170" s="6"/>
      <c r="V170" s="75">
        <v>31</v>
      </c>
      <c r="W170" s="255">
        <v>0</v>
      </c>
      <c r="X170" s="75">
        <v>6</v>
      </c>
      <c r="Y170" s="255">
        <v>5</v>
      </c>
      <c r="Z170" s="235">
        <f t="shared" si="1608"/>
        <v>42</v>
      </c>
      <c r="AA170" s="6"/>
      <c r="AB170" s="75">
        <v>5</v>
      </c>
      <c r="AC170" s="255">
        <v>22</v>
      </c>
      <c r="AD170" s="75">
        <v>17</v>
      </c>
      <c r="AE170" s="255">
        <v>7</v>
      </c>
      <c r="AF170" s="235">
        <f t="shared" si="1609"/>
        <v>51</v>
      </c>
      <c r="AG170" s="27"/>
      <c r="AH170" s="75">
        <v>9</v>
      </c>
      <c r="AI170" s="255">
        <v>12</v>
      </c>
      <c r="AJ170" s="75">
        <v>29</v>
      </c>
      <c r="AK170" s="255">
        <v>7</v>
      </c>
      <c r="AL170" s="235">
        <f t="shared" si="1610"/>
        <v>57</v>
      </c>
      <c r="AM170" s="27"/>
      <c r="AN170" s="75">
        <v>24</v>
      </c>
      <c r="AO170" s="255">
        <v>5</v>
      </c>
      <c r="AP170" s="75">
        <v>11</v>
      </c>
      <c r="AQ170" s="255">
        <v>23</v>
      </c>
      <c r="AR170" s="235">
        <f t="shared" si="1611"/>
        <v>63</v>
      </c>
      <c r="AS170" s="27"/>
      <c r="AT170" s="75">
        <v>13</v>
      </c>
      <c r="AU170" s="255">
        <v>24</v>
      </c>
      <c r="AV170" s="255">
        <v>32</v>
      </c>
      <c r="AW170" s="355">
        <v>0</v>
      </c>
      <c r="AX170" s="235">
        <f t="shared" si="1612"/>
        <v>69</v>
      </c>
      <c r="AY170" s="27"/>
      <c r="AZ170" s="255">
        <v>0</v>
      </c>
      <c r="BA170" s="255">
        <v>0</v>
      </c>
      <c r="BB170" s="255">
        <v>0</v>
      </c>
      <c r="BC170" s="255">
        <v>0</v>
      </c>
      <c r="BD170" s="235">
        <f t="shared" si="1614"/>
        <v>0</v>
      </c>
      <c r="BE170" s="27"/>
      <c r="BF170" s="255">
        <v>0</v>
      </c>
      <c r="BG170" s="255">
        <v>0</v>
      </c>
      <c r="BH170" s="255">
        <v>0</v>
      </c>
      <c r="BI170" s="255">
        <v>0</v>
      </c>
      <c r="BJ170" s="235">
        <f t="shared" si="1639"/>
        <v>0</v>
      </c>
      <c r="BK170" s="27"/>
      <c r="BL170" s="255">
        <v>0</v>
      </c>
      <c r="BM170" s="255">
        <v>0</v>
      </c>
      <c r="BN170" s="255">
        <v>0</v>
      </c>
      <c r="BO170" s="255">
        <v>0</v>
      </c>
      <c r="BP170" s="235">
        <f t="shared" si="1640"/>
        <v>0</v>
      </c>
      <c r="BQ170" s="27"/>
      <c r="BR170" s="255">
        <v>0</v>
      </c>
      <c r="BS170" s="255">
        <v>0</v>
      </c>
      <c r="BT170" s="255">
        <v>0</v>
      </c>
      <c r="BU170" s="255">
        <v>0</v>
      </c>
      <c r="BV170" s="235">
        <f t="shared" si="1641"/>
        <v>0</v>
      </c>
      <c r="BW170" s="27"/>
      <c r="BX170" s="255">
        <v>0</v>
      </c>
      <c r="BY170" s="255">
        <v>0</v>
      </c>
      <c r="BZ170" s="255">
        <v>0</v>
      </c>
      <c r="CA170" s="255">
        <v>0</v>
      </c>
      <c r="CB170" s="235">
        <f t="shared" si="1642"/>
        <v>0</v>
      </c>
      <c r="CC170" s="27"/>
      <c r="CD170" s="255">
        <v>0</v>
      </c>
      <c r="CE170" s="255">
        <v>0</v>
      </c>
      <c r="CF170" s="255">
        <v>0</v>
      </c>
      <c r="CG170" s="255">
        <v>0</v>
      </c>
      <c r="CH170" s="235">
        <f t="shared" si="1643"/>
        <v>0</v>
      </c>
      <c r="CI170" s="27"/>
      <c r="CJ170" s="255">
        <v>0</v>
      </c>
      <c r="CK170" s="255">
        <v>0</v>
      </c>
      <c r="CL170" s="255">
        <v>0</v>
      </c>
      <c r="CM170" s="255">
        <v>0</v>
      </c>
      <c r="CN170" s="235">
        <f t="shared" si="1644"/>
        <v>0</v>
      </c>
    </row>
    <row r="171" spans="1:92" ht="12.95" customHeight="1" x14ac:dyDescent="0.25">
      <c r="B171" s="2" t="s">
        <v>469</v>
      </c>
      <c r="D171" s="75">
        <v>-18</v>
      </c>
      <c r="E171" s="255">
        <v>-3</v>
      </c>
      <c r="F171" s="75">
        <v>-26</v>
      </c>
      <c r="G171" s="255">
        <v>-12</v>
      </c>
      <c r="H171" s="235">
        <f t="shared" si="1605"/>
        <v>-59</v>
      </c>
      <c r="I171" s="6"/>
      <c r="J171" s="75">
        <v>-340</v>
      </c>
      <c r="K171" s="255">
        <v>-8</v>
      </c>
      <c r="L171" s="75">
        <v>-9</v>
      </c>
      <c r="M171" s="255">
        <v>-35</v>
      </c>
      <c r="N171" s="235">
        <f t="shared" si="1606"/>
        <v>-392</v>
      </c>
      <c r="O171" s="6"/>
      <c r="P171" s="75">
        <v>-2</v>
      </c>
      <c r="Q171" s="255">
        <v>-1</v>
      </c>
      <c r="R171" s="75">
        <v>-3</v>
      </c>
      <c r="S171" s="255">
        <v>-41</v>
      </c>
      <c r="T171" s="235">
        <f t="shared" si="1607"/>
        <v>-47</v>
      </c>
      <c r="U171" s="6"/>
      <c r="V171" s="75">
        <v>-35</v>
      </c>
      <c r="W171" s="255">
        <v>-14</v>
      </c>
      <c r="X171" s="75">
        <v>-44</v>
      </c>
      <c r="Y171" s="255">
        <v>-18</v>
      </c>
      <c r="Z171" s="235">
        <f t="shared" si="1608"/>
        <v>-111</v>
      </c>
      <c r="AA171" s="6"/>
      <c r="AB171" s="75">
        <v>-386</v>
      </c>
      <c r="AC171" s="255">
        <v>-12</v>
      </c>
      <c r="AD171" s="75">
        <v>-51</v>
      </c>
      <c r="AE171" s="255">
        <v>-41</v>
      </c>
      <c r="AF171" s="235">
        <f t="shared" si="1609"/>
        <v>-490</v>
      </c>
      <c r="AG171" s="27"/>
      <c r="AH171" s="75">
        <v>-8</v>
      </c>
      <c r="AI171" s="255">
        <v>-28</v>
      </c>
      <c r="AJ171" s="75">
        <v>-8</v>
      </c>
      <c r="AK171" s="255">
        <v>-44</v>
      </c>
      <c r="AL171" s="235">
        <f t="shared" si="1610"/>
        <v>-88</v>
      </c>
      <c r="AM171" s="27"/>
      <c r="AN171" s="75">
        <v>-5</v>
      </c>
      <c r="AO171" s="255">
        <v>-15</v>
      </c>
      <c r="AP171" s="75">
        <v>-47</v>
      </c>
      <c r="AQ171" s="255">
        <v>-8</v>
      </c>
      <c r="AR171" s="235">
        <f t="shared" si="1611"/>
        <v>-75</v>
      </c>
      <c r="AS171" s="27"/>
      <c r="AT171" s="75">
        <v>0</v>
      </c>
      <c r="AU171" s="255">
        <v>-32</v>
      </c>
      <c r="AV171" s="255">
        <v>0</v>
      </c>
      <c r="AW171" s="355">
        <v>0</v>
      </c>
      <c r="AX171" s="235">
        <f t="shared" si="1612"/>
        <v>-32</v>
      </c>
      <c r="AY171" s="27"/>
      <c r="AZ171" s="255">
        <v>0</v>
      </c>
      <c r="BA171" s="255">
        <v>0</v>
      </c>
      <c r="BB171" s="255">
        <v>0</v>
      </c>
      <c r="BC171" s="255">
        <v>0</v>
      </c>
      <c r="BD171" s="235">
        <f t="shared" si="1614"/>
        <v>0</v>
      </c>
      <c r="BE171" s="27"/>
      <c r="BF171" s="255">
        <v>0</v>
      </c>
      <c r="BG171" s="255">
        <v>0</v>
      </c>
      <c r="BH171" s="255">
        <v>0</v>
      </c>
      <c r="BI171" s="255">
        <v>0</v>
      </c>
      <c r="BJ171" s="235">
        <f t="shared" si="1639"/>
        <v>0</v>
      </c>
      <c r="BK171" s="27"/>
      <c r="BL171" s="255">
        <v>0</v>
      </c>
      <c r="BM171" s="255">
        <v>0</v>
      </c>
      <c r="BN171" s="255">
        <v>0</v>
      </c>
      <c r="BO171" s="255">
        <v>0</v>
      </c>
      <c r="BP171" s="235">
        <f t="shared" si="1640"/>
        <v>0</v>
      </c>
      <c r="BQ171" s="27"/>
      <c r="BR171" s="255">
        <v>0</v>
      </c>
      <c r="BS171" s="255">
        <v>0</v>
      </c>
      <c r="BT171" s="255">
        <v>0</v>
      </c>
      <c r="BU171" s="255">
        <v>0</v>
      </c>
      <c r="BV171" s="235">
        <f t="shared" si="1641"/>
        <v>0</v>
      </c>
      <c r="BW171" s="27"/>
      <c r="BX171" s="255">
        <v>0</v>
      </c>
      <c r="BY171" s="255">
        <v>0</v>
      </c>
      <c r="BZ171" s="255">
        <v>0</v>
      </c>
      <c r="CA171" s="255">
        <v>0</v>
      </c>
      <c r="CB171" s="235">
        <f t="shared" si="1642"/>
        <v>0</v>
      </c>
      <c r="CC171" s="27"/>
      <c r="CD171" s="255">
        <v>0</v>
      </c>
      <c r="CE171" s="255">
        <v>0</v>
      </c>
      <c r="CF171" s="255">
        <v>0</v>
      </c>
      <c r="CG171" s="255">
        <v>0</v>
      </c>
      <c r="CH171" s="235">
        <f t="shared" si="1643"/>
        <v>0</v>
      </c>
      <c r="CI171" s="27"/>
      <c r="CJ171" s="255">
        <v>0</v>
      </c>
      <c r="CK171" s="255">
        <v>0</v>
      </c>
      <c r="CL171" s="255">
        <v>0</v>
      </c>
      <c r="CM171" s="255">
        <v>0</v>
      </c>
      <c r="CN171" s="235">
        <f t="shared" si="1644"/>
        <v>0</v>
      </c>
    </row>
    <row r="172" spans="1:92" ht="12.95" customHeight="1" x14ac:dyDescent="0.25">
      <c r="B172" s="2" t="s">
        <v>470</v>
      </c>
      <c r="D172" s="75">
        <v>0</v>
      </c>
      <c r="E172" s="255">
        <v>91</v>
      </c>
      <c r="F172" s="75">
        <v>2</v>
      </c>
      <c r="G172" s="255">
        <v>7</v>
      </c>
      <c r="H172" s="235">
        <f t="shared" si="1605"/>
        <v>100</v>
      </c>
      <c r="I172" s="6"/>
      <c r="J172" s="75">
        <v>12</v>
      </c>
      <c r="K172" s="255">
        <v>0</v>
      </c>
      <c r="L172" s="75">
        <v>2</v>
      </c>
      <c r="M172" s="255">
        <v>2</v>
      </c>
      <c r="N172" s="235">
        <f t="shared" si="1606"/>
        <v>16</v>
      </c>
      <c r="O172" s="6"/>
      <c r="P172" s="75">
        <v>0</v>
      </c>
      <c r="Q172" s="255">
        <v>0</v>
      </c>
      <c r="R172" s="75">
        <v>3</v>
      </c>
      <c r="S172" s="255">
        <v>38</v>
      </c>
      <c r="T172" s="235">
        <f t="shared" si="1607"/>
        <v>41</v>
      </c>
      <c r="U172" s="6"/>
      <c r="V172" s="75">
        <v>0</v>
      </c>
      <c r="W172" s="255">
        <v>13</v>
      </c>
      <c r="X172" s="75">
        <v>0</v>
      </c>
      <c r="Y172" s="255">
        <v>12</v>
      </c>
      <c r="Z172" s="235">
        <f t="shared" si="1608"/>
        <v>25</v>
      </c>
      <c r="AA172" s="6"/>
      <c r="AB172" s="75">
        <v>28</v>
      </c>
      <c r="AC172" s="255">
        <v>0</v>
      </c>
      <c r="AD172" s="75">
        <v>-5</v>
      </c>
      <c r="AE172" s="255">
        <v>13</v>
      </c>
      <c r="AF172" s="235">
        <f t="shared" si="1609"/>
        <v>36</v>
      </c>
      <c r="AG172" s="27"/>
      <c r="AH172" s="75">
        <v>0</v>
      </c>
      <c r="AI172" s="255">
        <v>1</v>
      </c>
      <c r="AJ172" s="75">
        <v>0</v>
      </c>
      <c r="AK172" s="255">
        <v>0</v>
      </c>
      <c r="AL172" s="235">
        <f t="shared" si="1610"/>
        <v>1</v>
      </c>
      <c r="AM172" s="27"/>
      <c r="AN172" s="75">
        <v>-14</v>
      </c>
      <c r="AO172" s="255">
        <v>0</v>
      </c>
      <c r="AP172" s="75">
        <v>0</v>
      </c>
      <c r="AQ172" s="255">
        <v>10</v>
      </c>
      <c r="AR172" s="235">
        <f t="shared" si="1611"/>
        <v>-4</v>
      </c>
      <c r="AS172" s="27"/>
      <c r="AT172" s="75">
        <v>42</v>
      </c>
      <c r="AU172" s="255">
        <v>-103</v>
      </c>
      <c r="AV172" s="255">
        <v>-6</v>
      </c>
      <c r="AW172" s="355">
        <v>0</v>
      </c>
      <c r="AX172" s="235">
        <f t="shared" si="1612"/>
        <v>-67</v>
      </c>
      <c r="AY172" s="27"/>
      <c r="AZ172" s="255">
        <v>0</v>
      </c>
      <c r="BA172" s="255">
        <v>0</v>
      </c>
      <c r="BB172" s="255">
        <v>0</v>
      </c>
      <c r="BC172" s="255">
        <v>0</v>
      </c>
      <c r="BD172" s="235">
        <f t="shared" si="1614"/>
        <v>0</v>
      </c>
      <c r="BE172" s="27"/>
      <c r="BF172" s="255">
        <v>0</v>
      </c>
      <c r="BG172" s="255">
        <v>0</v>
      </c>
      <c r="BH172" s="255">
        <v>0</v>
      </c>
      <c r="BI172" s="255">
        <v>0</v>
      </c>
      <c r="BJ172" s="235">
        <f t="shared" si="1639"/>
        <v>0</v>
      </c>
      <c r="BK172" s="27"/>
      <c r="BL172" s="255">
        <v>0</v>
      </c>
      <c r="BM172" s="255">
        <v>0</v>
      </c>
      <c r="BN172" s="255">
        <v>0</v>
      </c>
      <c r="BO172" s="255">
        <v>0</v>
      </c>
      <c r="BP172" s="235">
        <f t="shared" si="1640"/>
        <v>0</v>
      </c>
      <c r="BQ172" s="27"/>
      <c r="BR172" s="255">
        <v>0</v>
      </c>
      <c r="BS172" s="255">
        <v>0</v>
      </c>
      <c r="BT172" s="255">
        <v>0</v>
      </c>
      <c r="BU172" s="255">
        <v>0</v>
      </c>
      <c r="BV172" s="235">
        <f t="shared" si="1641"/>
        <v>0</v>
      </c>
      <c r="BW172" s="27"/>
      <c r="BX172" s="255">
        <v>0</v>
      </c>
      <c r="BY172" s="255">
        <v>0</v>
      </c>
      <c r="BZ172" s="255">
        <v>0</v>
      </c>
      <c r="CA172" s="255">
        <v>0</v>
      </c>
      <c r="CB172" s="235">
        <f t="shared" si="1642"/>
        <v>0</v>
      </c>
      <c r="CC172" s="27"/>
      <c r="CD172" s="255">
        <v>0</v>
      </c>
      <c r="CE172" s="255">
        <v>0</v>
      </c>
      <c r="CF172" s="255">
        <v>0</v>
      </c>
      <c r="CG172" s="255">
        <v>0</v>
      </c>
      <c r="CH172" s="235">
        <f t="shared" si="1643"/>
        <v>0</v>
      </c>
      <c r="CI172" s="27"/>
      <c r="CJ172" s="255">
        <v>0</v>
      </c>
      <c r="CK172" s="255">
        <v>0</v>
      </c>
      <c r="CL172" s="255">
        <v>0</v>
      </c>
      <c r="CM172" s="255">
        <v>0</v>
      </c>
      <c r="CN172" s="235">
        <f t="shared" si="1644"/>
        <v>0</v>
      </c>
    </row>
    <row r="173" spans="1:92" ht="12.95" customHeight="1" x14ac:dyDescent="0.25">
      <c r="B173" s="2" t="s">
        <v>463</v>
      </c>
      <c r="D173" s="75">
        <v>89</v>
      </c>
      <c r="E173" s="255">
        <v>98</v>
      </c>
      <c r="F173" s="75">
        <v>244</v>
      </c>
      <c r="G173" s="255">
        <v>501</v>
      </c>
      <c r="H173" s="235">
        <f t="shared" si="1605"/>
        <v>932</v>
      </c>
      <c r="I173" s="6"/>
      <c r="J173" s="75">
        <v>89</v>
      </c>
      <c r="K173" s="255">
        <v>79</v>
      </c>
      <c r="L173" s="75">
        <v>195</v>
      </c>
      <c r="M173" s="255">
        <v>79</v>
      </c>
      <c r="N173" s="235">
        <f t="shared" si="1606"/>
        <v>442</v>
      </c>
      <c r="O173" s="6"/>
      <c r="P173" s="75">
        <v>57</v>
      </c>
      <c r="Q173" s="255">
        <v>113</v>
      </c>
      <c r="R173" s="75">
        <v>111</v>
      </c>
      <c r="S173" s="255">
        <v>248</v>
      </c>
      <c r="T173" s="235">
        <f t="shared" si="1607"/>
        <v>529</v>
      </c>
      <c r="U173" s="6"/>
      <c r="V173" s="75">
        <v>68</v>
      </c>
      <c r="W173" s="255">
        <v>83</v>
      </c>
      <c r="X173" s="75">
        <v>88</v>
      </c>
      <c r="Y173" s="255">
        <v>106</v>
      </c>
      <c r="Z173" s="235">
        <f t="shared" si="1608"/>
        <v>345</v>
      </c>
      <c r="AA173" s="6"/>
      <c r="AB173" s="75">
        <v>126</v>
      </c>
      <c r="AC173" s="255">
        <v>150</v>
      </c>
      <c r="AD173" s="75">
        <v>148</v>
      </c>
      <c r="AE173" s="255">
        <v>361</v>
      </c>
      <c r="AF173" s="235">
        <f t="shared" si="1609"/>
        <v>785</v>
      </c>
      <c r="AG173" s="27"/>
      <c r="AH173" s="75">
        <v>571</v>
      </c>
      <c r="AI173" s="255">
        <v>633</v>
      </c>
      <c r="AJ173" s="75">
        <v>876</v>
      </c>
      <c r="AK173" s="255">
        <v>303</v>
      </c>
      <c r="AL173" s="235">
        <f t="shared" si="1610"/>
        <v>2383</v>
      </c>
      <c r="AM173" s="27"/>
      <c r="AN173" s="75">
        <v>239</v>
      </c>
      <c r="AO173" s="255">
        <v>224</v>
      </c>
      <c r="AP173" s="75">
        <v>284</v>
      </c>
      <c r="AQ173" s="255">
        <v>1144</v>
      </c>
      <c r="AR173" s="235">
        <f t="shared" si="1611"/>
        <v>1891</v>
      </c>
      <c r="AS173" s="27"/>
      <c r="AT173" s="75">
        <v>1867</v>
      </c>
      <c r="AU173" s="255">
        <v>707</v>
      </c>
      <c r="AV173" s="255">
        <v>267</v>
      </c>
      <c r="AW173" s="355">
        <v>0</v>
      </c>
      <c r="AX173" s="235">
        <f t="shared" si="1612"/>
        <v>2841</v>
      </c>
      <c r="AY173" s="27"/>
      <c r="AZ173" s="255">
        <v>0</v>
      </c>
      <c r="BA173" s="255">
        <v>0</v>
      </c>
      <c r="BB173" s="255">
        <v>0</v>
      </c>
      <c r="BC173" s="255">
        <v>0</v>
      </c>
      <c r="BD173" s="235">
        <f t="shared" si="1614"/>
        <v>0</v>
      </c>
      <c r="BE173" s="27"/>
      <c r="BF173" s="255">
        <v>0</v>
      </c>
      <c r="BG173" s="255">
        <v>0</v>
      </c>
      <c r="BH173" s="255">
        <v>0</v>
      </c>
      <c r="BI173" s="255">
        <v>0</v>
      </c>
      <c r="BJ173" s="235">
        <f t="shared" si="1639"/>
        <v>0</v>
      </c>
      <c r="BK173" s="27"/>
      <c r="BL173" s="255">
        <v>0</v>
      </c>
      <c r="BM173" s="255">
        <v>0</v>
      </c>
      <c r="BN173" s="255">
        <v>0</v>
      </c>
      <c r="BO173" s="255">
        <v>0</v>
      </c>
      <c r="BP173" s="235">
        <f t="shared" si="1640"/>
        <v>0</v>
      </c>
      <c r="BQ173" s="27"/>
      <c r="BR173" s="255">
        <v>0</v>
      </c>
      <c r="BS173" s="255">
        <v>0</v>
      </c>
      <c r="BT173" s="255">
        <v>0</v>
      </c>
      <c r="BU173" s="255">
        <v>0</v>
      </c>
      <c r="BV173" s="235">
        <f t="shared" si="1641"/>
        <v>0</v>
      </c>
      <c r="BW173" s="27"/>
      <c r="BX173" s="255">
        <v>0</v>
      </c>
      <c r="BY173" s="255">
        <v>0</v>
      </c>
      <c r="BZ173" s="255">
        <v>0</v>
      </c>
      <c r="CA173" s="255">
        <v>0</v>
      </c>
      <c r="CB173" s="235">
        <f t="shared" si="1642"/>
        <v>0</v>
      </c>
      <c r="CC173" s="27"/>
      <c r="CD173" s="255">
        <v>0</v>
      </c>
      <c r="CE173" s="255">
        <v>0</v>
      </c>
      <c r="CF173" s="255">
        <v>0</v>
      </c>
      <c r="CG173" s="255">
        <v>0</v>
      </c>
      <c r="CH173" s="235">
        <f t="shared" si="1643"/>
        <v>0</v>
      </c>
      <c r="CI173" s="27"/>
      <c r="CJ173" s="255">
        <v>0</v>
      </c>
      <c r="CK173" s="255">
        <v>0</v>
      </c>
      <c r="CL173" s="255">
        <v>0</v>
      </c>
      <c r="CM173" s="255">
        <v>0</v>
      </c>
      <c r="CN173" s="235">
        <f t="shared" si="1644"/>
        <v>0</v>
      </c>
    </row>
    <row r="174" spans="1:92" ht="12.95" customHeight="1" x14ac:dyDescent="0.25">
      <c r="B174" s="2" t="s">
        <v>464</v>
      </c>
      <c r="D174" s="75">
        <v>-65</v>
      </c>
      <c r="E174" s="255">
        <v>-142</v>
      </c>
      <c r="F174" s="75">
        <v>-387</v>
      </c>
      <c r="G174" s="255">
        <v>-454</v>
      </c>
      <c r="H174" s="235">
        <f t="shared" si="1605"/>
        <v>-1048</v>
      </c>
      <c r="I174" s="6"/>
      <c r="J174" s="75">
        <v>-197</v>
      </c>
      <c r="K174" s="255">
        <v>-121</v>
      </c>
      <c r="L174" s="75">
        <v>-99</v>
      </c>
      <c r="M174" s="255">
        <v>-89</v>
      </c>
      <c r="N174" s="235">
        <f t="shared" si="1606"/>
        <v>-506</v>
      </c>
      <c r="O174" s="6"/>
      <c r="P174" s="75">
        <v>-107</v>
      </c>
      <c r="Q174" s="255">
        <v>-136</v>
      </c>
      <c r="R174" s="75">
        <v>-182</v>
      </c>
      <c r="S174" s="255">
        <v>-127</v>
      </c>
      <c r="T174" s="235">
        <f t="shared" si="1607"/>
        <v>-552</v>
      </c>
      <c r="U174" s="6"/>
      <c r="V174" s="75">
        <v>-180</v>
      </c>
      <c r="W174" s="255">
        <v>-189</v>
      </c>
      <c r="X174" s="75">
        <v>-143</v>
      </c>
      <c r="Y174" s="255">
        <v>-126</v>
      </c>
      <c r="Z174" s="235">
        <f t="shared" si="1608"/>
        <v>-638</v>
      </c>
      <c r="AA174" s="6"/>
      <c r="AB174" s="75">
        <v>-148</v>
      </c>
      <c r="AC174" s="255">
        <v>-352</v>
      </c>
      <c r="AD174" s="75">
        <v>-434</v>
      </c>
      <c r="AE174" s="255">
        <v>-832</v>
      </c>
      <c r="AF174" s="235">
        <f t="shared" si="1609"/>
        <v>-1766</v>
      </c>
      <c r="AG174" s="27"/>
      <c r="AH174" s="75">
        <v>-1438</v>
      </c>
      <c r="AI174" s="255">
        <v>-680</v>
      </c>
      <c r="AJ174" s="75">
        <v>-281</v>
      </c>
      <c r="AK174" s="255">
        <v>-678</v>
      </c>
      <c r="AL174" s="235">
        <f t="shared" si="1610"/>
        <v>-3077</v>
      </c>
      <c r="AM174" s="27"/>
      <c r="AN174" s="75">
        <v>-536</v>
      </c>
      <c r="AO174" s="255">
        <v>-542</v>
      </c>
      <c r="AP174" s="75">
        <v>-2611</v>
      </c>
      <c r="AQ174" s="255">
        <v>-716</v>
      </c>
      <c r="AR174" s="235">
        <f t="shared" si="1611"/>
        <v>-4405</v>
      </c>
      <c r="AS174" s="27"/>
      <c r="AT174" s="75">
        <v>-275</v>
      </c>
      <c r="AU174" s="255">
        <v>-248</v>
      </c>
      <c r="AV174" s="255">
        <v>-369</v>
      </c>
      <c r="AW174" s="355">
        <v>0</v>
      </c>
      <c r="AX174" s="235">
        <f t="shared" si="1612"/>
        <v>-892</v>
      </c>
      <c r="AY174" s="27"/>
      <c r="AZ174" s="255">
        <v>0</v>
      </c>
      <c r="BA174" s="255">
        <v>0</v>
      </c>
      <c r="BB174" s="255">
        <v>0</v>
      </c>
      <c r="BC174" s="255">
        <v>0</v>
      </c>
      <c r="BD174" s="235">
        <f t="shared" si="1614"/>
        <v>0</v>
      </c>
      <c r="BE174" s="27"/>
      <c r="BF174" s="255">
        <v>0</v>
      </c>
      <c r="BG174" s="255">
        <v>0</v>
      </c>
      <c r="BH174" s="255">
        <v>0</v>
      </c>
      <c r="BI174" s="255">
        <v>0</v>
      </c>
      <c r="BJ174" s="235">
        <f t="shared" si="1639"/>
        <v>0</v>
      </c>
      <c r="BK174" s="27"/>
      <c r="BL174" s="255">
        <v>0</v>
      </c>
      <c r="BM174" s="255">
        <v>0</v>
      </c>
      <c r="BN174" s="255">
        <v>0</v>
      </c>
      <c r="BO174" s="255">
        <v>0</v>
      </c>
      <c r="BP174" s="235">
        <f t="shared" si="1640"/>
        <v>0</v>
      </c>
      <c r="BQ174" s="27"/>
      <c r="BR174" s="255">
        <v>0</v>
      </c>
      <c r="BS174" s="255">
        <v>0</v>
      </c>
      <c r="BT174" s="255">
        <v>0</v>
      </c>
      <c r="BU174" s="255">
        <v>0</v>
      </c>
      <c r="BV174" s="235">
        <f t="shared" si="1641"/>
        <v>0</v>
      </c>
      <c r="BW174" s="27"/>
      <c r="BX174" s="255">
        <v>0</v>
      </c>
      <c r="BY174" s="255">
        <v>0</v>
      </c>
      <c r="BZ174" s="255">
        <v>0</v>
      </c>
      <c r="CA174" s="255">
        <v>0</v>
      </c>
      <c r="CB174" s="235">
        <f t="shared" si="1642"/>
        <v>0</v>
      </c>
      <c r="CC174" s="27"/>
      <c r="CD174" s="255">
        <v>0</v>
      </c>
      <c r="CE174" s="255">
        <v>0</v>
      </c>
      <c r="CF174" s="255">
        <v>0</v>
      </c>
      <c r="CG174" s="255">
        <v>0</v>
      </c>
      <c r="CH174" s="235">
        <f t="shared" si="1643"/>
        <v>0</v>
      </c>
      <c r="CI174" s="27"/>
      <c r="CJ174" s="255">
        <v>0</v>
      </c>
      <c r="CK174" s="255">
        <v>0</v>
      </c>
      <c r="CL174" s="255">
        <v>0</v>
      </c>
      <c r="CM174" s="255">
        <v>0</v>
      </c>
      <c r="CN174" s="235">
        <f t="shared" si="1644"/>
        <v>0</v>
      </c>
    </row>
    <row r="175" spans="1:92" ht="12.95" customHeight="1" x14ac:dyDescent="0.25">
      <c r="B175" s="2" t="s">
        <v>465</v>
      </c>
      <c r="D175" s="75">
        <v>9</v>
      </c>
      <c r="E175" s="255">
        <v>16</v>
      </c>
      <c r="F175" s="75">
        <v>48</v>
      </c>
      <c r="G175" s="255">
        <v>16</v>
      </c>
      <c r="H175" s="235">
        <f t="shared" si="1605"/>
        <v>89</v>
      </c>
      <c r="I175" s="6"/>
      <c r="J175" s="75">
        <v>16</v>
      </c>
      <c r="K175" s="255">
        <v>5</v>
      </c>
      <c r="L175" s="75">
        <v>3</v>
      </c>
      <c r="M175" s="255">
        <v>-11</v>
      </c>
      <c r="N175" s="235">
        <f t="shared" si="1606"/>
        <v>13</v>
      </c>
      <c r="O175" s="6"/>
      <c r="P175" s="75">
        <v>-38</v>
      </c>
      <c r="Q175" s="255">
        <v>-2</v>
      </c>
      <c r="R175" s="75">
        <v>3</v>
      </c>
      <c r="S175" s="255">
        <v>13</v>
      </c>
      <c r="T175" s="235">
        <f t="shared" si="1607"/>
        <v>-24</v>
      </c>
      <c r="U175" s="6"/>
      <c r="V175" s="75">
        <v>35</v>
      </c>
      <c r="W175" s="255">
        <v>-28</v>
      </c>
      <c r="X175" s="75">
        <v>-87</v>
      </c>
      <c r="Y175" s="255">
        <v>14</v>
      </c>
      <c r="Z175" s="235">
        <f t="shared" si="1608"/>
        <v>-66</v>
      </c>
      <c r="AA175" s="6"/>
      <c r="AB175" s="75">
        <v>-48</v>
      </c>
      <c r="AC175" s="255">
        <v>-15</v>
      </c>
      <c r="AD175" s="75">
        <v>55</v>
      </c>
      <c r="AE175" s="255">
        <v>87</v>
      </c>
      <c r="AF175" s="235">
        <f t="shared" si="1609"/>
        <v>79</v>
      </c>
      <c r="AG175" s="27"/>
      <c r="AH175" s="75">
        <v>-15</v>
      </c>
      <c r="AI175" s="255">
        <v>47</v>
      </c>
      <c r="AJ175" s="75">
        <v>-17</v>
      </c>
      <c r="AK175" s="255">
        <v>-1</v>
      </c>
      <c r="AL175" s="235">
        <f t="shared" si="1610"/>
        <v>14</v>
      </c>
      <c r="AM175" s="27"/>
      <c r="AN175" s="75">
        <v>26</v>
      </c>
      <c r="AO175" s="255">
        <v>15</v>
      </c>
      <c r="AP175" s="75">
        <v>-9</v>
      </c>
      <c r="AQ175" s="255">
        <v>65</v>
      </c>
      <c r="AR175" s="235">
        <f t="shared" si="1611"/>
        <v>97</v>
      </c>
      <c r="AS175" s="27"/>
      <c r="AT175" s="75">
        <v>8</v>
      </c>
      <c r="AU175" s="255">
        <v>49</v>
      </c>
      <c r="AV175" s="255">
        <v>80</v>
      </c>
      <c r="AW175" s="355">
        <v>0</v>
      </c>
      <c r="AX175" s="235">
        <f t="shared" si="1612"/>
        <v>137</v>
      </c>
      <c r="AY175" s="27"/>
      <c r="AZ175" s="255">
        <v>0</v>
      </c>
      <c r="BA175" s="255">
        <v>0</v>
      </c>
      <c r="BB175" s="255">
        <v>0</v>
      </c>
      <c r="BC175" s="255">
        <v>0</v>
      </c>
      <c r="BD175" s="235">
        <f t="shared" si="1614"/>
        <v>0</v>
      </c>
      <c r="BE175" s="27"/>
      <c r="BF175" s="255">
        <v>0</v>
      </c>
      <c r="BG175" s="255">
        <v>0</v>
      </c>
      <c r="BH175" s="255">
        <v>0</v>
      </c>
      <c r="BI175" s="255">
        <v>0</v>
      </c>
      <c r="BJ175" s="235">
        <f t="shared" si="1639"/>
        <v>0</v>
      </c>
      <c r="BK175" s="27"/>
      <c r="BL175" s="255">
        <v>0</v>
      </c>
      <c r="BM175" s="255">
        <v>0</v>
      </c>
      <c r="BN175" s="255">
        <v>0</v>
      </c>
      <c r="BO175" s="255">
        <v>0</v>
      </c>
      <c r="BP175" s="235">
        <f t="shared" si="1640"/>
        <v>0</v>
      </c>
      <c r="BQ175" s="27"/>
      <c r="BR175" s="255">
        <v>0</v>
      </c>
      <c r="BS175" s="255">
        <v>0</v>
      </c>
      <c r="BT175" s="255">
        <v>0</v>
      </c>
      <c r="BU175" s="255">
        <v>0</v>
      </c>
      <c r="BV175" s="235">
        <f t="shared" si="1641"/>
        <v>0</v>
      </c>
      <c r="BW175" s="27"/>
      <c r="BX175" s="255">
        <v>0</v>
      </c>
      <c r="BY175" s="255">
        <v>0</v>
      </c>
      <c r="BZ175" s="255">
        <v>0</v>
      </c>
      <c r="CA175" s="255">
        <v>0</v>
      </c>
      <c r="CB175" s="235">
        <f t="shared" si="1642"/>
        <v>0</v>
      </c>
      <c r="CC175" s="27"/>
      <c r="CD175" s="255">
        <v>0</v>
      </c>
      <c r="CE175" s="255">
        <v>0</v>
      </c>
      <c r="CF175" s="255">
        <v>0</v>
      </c>
      <c r="CG175" s="255">
        <v>0</v>
      </c>
      <c r="CH175" s="235">
        <f t="shared" si="1643"/>
        <v>0</v>
      </c>
      <c r="CI175" s="27"/>
      <c r="CJ175" s="255">
        <v>0</v>
      </c>
      <c r="CK175" s="255">
        <v>0</v>
      </c>
      <c r="CL175" s="255">
        <v>0</v>
      </c>
      <c r="CM175" s="255">
        <v>0</v>
      </c>
      <c r="CN175" s="235">
        <f t="shared" si="1644"/>
        <v>0</v>
      </c>
    </row>
    <row r="176" spans="1:92" ht="12.95" customHeight="1" x14ac:dyDescent="0.25">
      <c r="B176" s="19" t="s">
        <v>78</v>
      </c>
      <c r="C176" s="19"/>
      <c r="D176" s="20">
        <f>SUM(D165:D175)</f>
        <v>-93</v>
      </c>
      <c r="E176" s="20">
        <f t="shared" ref="E176:H176" si="1645">SUM(E165:E175)</f>
        <v>-66</v>
      </c>
      <c r="F176" s="20">
        <f t="shared" si="1645"/>
        <v>-274</v>
      </c>
      <c r="G176" s="20">
        <f t="shared" si="1645"/>
        <v>-533</v>
      </c>
      <c r="H176" s="20">
        <f t="shared" si="1645"/>
        <v>-966</v>
      </c>
      <c r="I176" s="20"/>
      <c r="J176" s="20">
        <f>SUM(J165:J175)</f>
        <v>-800</v>
      </c>
      <c r="K176" s="20">
        <f t="shared" ref="K176" si="1646">SUM(K165:K175)</f>
        <v>-1268</v>
      </c>
      <c r="L176" s="20">
        <f t="shared" ref="L176" si="1647">SUM(L165:L175)</f>
        <v>-346</v>
      </c>
      <c r="M176" s="20">
        <f t="shared" ref="M176" si="1648">SUM(M165:M175)</f>
        <v>-798</v>
      </c>
      <c r="N176" s="20">
        <f t="shared" ref="N176" si="1649">SUM(N165:N175)</f>
        <v>-3212</v>
      </c>
      <c r="O176" s="20"/>
      <c r="P176" s="20">
        <f>SUM(P165:P175)</f>
        <v>-181</v>
      </c>
      <c r="Q176" s="20">
        <f t="shared" ref="Q176" si="1650">SUM(Q165:Q175)</f>
        <v>-898</v>
      </c>
      <c r="R176" s="20">
        <f t="shared" ref="R176" si="1651">SUM(R165:R175)</f>
        <v>-275</v>
      </c>
      <c r="S176" s="20">
        <f t="shared" ref="S176" si="1652">SUM(S165:S175)</f>
        <v>-574</v>
      </c>
      <c r="T176" s="20">
        <f t="shared" ref="T176" si="1653">SUM(T165:T175)</f>
        <v>-1928</v>
      </c>
      <c r="U176" s="20"/>
      <c r="V176" s="20">
        <f>SUM(V165:V175)</f>
        <v>-213</v>
      </c>
      <c r="W176" s="20">
        <f t="shared" ref="W176" si="1654">SUM(W165:W175)</f>
        <v>-530</v>
      </c>
      <c r="X176" s="20">
        <f t="shared" ref="X176" si="1655">SUM(X165:X175)</f>
        <v>-216</v>
      </c>
      <c r="Y176" s="20">
        <f t="shared" ref="Y176" si="1656">SUM(Y165:Y175)</f>
        <v>-526</v>
      </c>
      <c r="Z176" s="20">
        <f t="shared" ref="Z176" si="1657">SUM(Z165:Z175)</f>
        <v>-1485</v>
      </c>
      <c r="AA176" s="20"/>
      <c r="AB176" s="20">
        <f>SUM(AB165:AB175)</f>
        <v>-477</v>
      </c>
      <c r="AC176" s="20">
        <f t="shared" ref="AC176" si="1658">SUM(AC165:AC175)</f>
        <v>-1240</v>
      </c>
      <c r="AD176" s="20">
        <f t="shared" ref="AD176" si="1659">SUM(AD165:AD175)</f>
        <v>-375</v>
      </c>
      <c r="AE176" s="20">
        <f t="shared" ref="AE176" si="1660">SUM(AE165:AE175)</f>
        <v>-992</v>
      </c>
      <c r="AF176" s="20">
        <f t="shared" ref="AF176" si="1661">SUM(AF165:AF175)</f>
        <v>-3084</v>
      </c>
      <c r="AG176" s="77"/>
      <c r="AH176" s="20">
        <f>SUM(AH165:AH175)</f>
        <v>-1313</v>
      </c>
      <c r="AI176" s="20">
        <f t="shared" ref="AI176" si="1662">SUM(AI165:AI175)</f>
        <v>-575</v>
      </c>
      <c r="AJ176" s="20">
        <f t="shared" ref="AJ176" si="1663">SUM(AJ165:AJ175)</f>
        <v>190</v>
      </c>
      <c r="AK176" s="20">
        <f t="shared" ref="AK176" si="1664">SUM(AK165:AK175)</f>
        <v>-843</v>
      </c>
      <c r="AL176" s="20">
        <f t="shared" ref="AL176" si="1665">SUM(AL165:AL175)</f>
        <v>-2541</v>
      </c>
      <c r="AM176" s="77"/>
      <c r="AN176" s="20">
        <f>SUM(AN165:AN175)</f>
        <v>-683</v>
      </c>
      <c r="AO176" s="20">
        <f t="shared" ref="AO176" si="1666">SUM(AO165:AO175)</f>
        <v>-1199</v>
      </c>
      <c r="AP176" s="20">
        <f t="shared" ref="AP176" si="1667">SUM(AP165:AP175)</f>
        <v>-3435</v>
      </c>
      <c r="AQ176" s="20">
        <f t="shared" ref="AQ176" si="1668">SUM(AQ165:AQ175)</f>
        <v>-554</v>
      </c>
      <c r="AR176" s="20">
        <f t="shared" ref="AR176" si="1669">SUM(AR165:AR175)</f>
        <v>-5871</v>
      </c>
      <c r="AS176" s="77"/>
      <c r="AT176" s="20">
        <f>SUM(AT165:AT175)</f>
        <v>958</v>
      </c>
      <c r="AU176" s="20">
        <f t="shared" ref="AU176" si="1670">SUM(AU165:AU175)</f>
        <v>-722</v>
      </c>
      <c r="AV176" s="20">
        <f t="shared" ref="AV176" si="1671">SUM(AV165:AV175)</f>
        <v>-1040</v>
      </c>
      <c r="AW176" s="618">
        <f t="shared" ref="AW176:AX176" si="1672">SUM(AW165:AW175)</f>
        <v>-747.8</v>
      </c>
      <c r="AX176" s="20">
        <f t="shared" si="1672"/>
        <v>-1551.7999999999993</v>
      </c>
      <c r="AY176" s="77"/>
      <c r="AZ176" s="77">
        <f>SUM(AZ165:AZ175)</f>
        <v>-622.14</v>
      </c>
      <c r="BA176" s="77">
        <f>SUM(BA165:BA175)</f>
        <v>-577.30000000000007</v>
      </c>
      <c r="BB176" s="77">
        <f>SUM(BB165:BB175)</f>
        <v>-571.12000000000012</v>
      </c>
      <c r="BC176" s="77">
        <f>SUM(BC165:BC175)</f>
        <v>-809.16599999999994</v>
      </c>
      <c r="BD176" s="20">
        <f t="shared" ref="BD176" si="1673">SUM(BD165:BD175)</f>
        <v>-2579.7260000000001</v>
      </c>
      <c r="BE176" s="77"/>
      <c r="BF176" s="77">
        <f>SUM(BF165:BF175)</f>
        <v>-665.02379999999994</v>
      </c>
      <c r="BG176" s="77">
        <f>SUM(BG165:BG175)</f>
        <v>-624.65200000000004</v>
      </c>
      <c r="BH176" s="77">
        <f>SUM(BH165:BH175)</f>
        <v>-620.4154000000002</v>
      </c>
      <c r="BI176" s="77">
        <f>SUM(BI165:BI175)</f>
        <v>-873.46181999999999</v>
      </c>
      <c r="BJ176" s="20">
        <f t="shared" ref="BJ176" si="1674">SUM(BJ165:BJ175)</f>
        <v>-2783.5530200000003</v>
      </c>
      <c r="BK176" s="77"/>
      <c r="BL176" s="77">
        <f>SUM(BL165:BL175)</f>
        <v>-704.46717600000011</v>
      </c>
      <c r="BM176" s="77">
        <f>SUM(BM165:BM175)</f>
        <v>-664.42406500000016</v>
      </c>
      <c r="BN176" s="77">
        <f>SUM(BN165:BN175)</f>
        <v>-661.10345800000005</v>
      </c>
      <c r="BO176" s="77">
        <f>SUM(BO165:BO175)</f>
        <v>-926.2421889000002</v>
      </c>
      <c r="BP176" s="20">
        <f t="shared" ref="BP176" si="1675">SUM(BP165:BP175)</f>
        <v>-2956.2368879000005</v>
      </c>
      <c r="BQ176" s="77"/>
      <c r="BR176" s="77">
        <f>SUM(BR165:BR175)</f>
        <v>-741.65651952000007</v>
      </c>
      <c r="BS176" s="77">
        <f>SUM(BS165:BS175)</f>
        <v>-701.45254630000011</v>
      </c>
      <c r="BT176" s="77">
        <f>SUM(BT165:BT175)</f>
        <v>-698.30552716000022</v>
      </c>
      <c r="BU176" s="77">
        <f>SUM(BU165:BU175)</f>
        <v>-969.12703267800021</v>
      </c>
      <c r="BV176" s="20">
        <f t="shared" ref="BV176" si="1676">SUM(BV165:BV175)</f>
        <v>-3110.5416256580002</v>
      </c>
      <c r="BW176" s="77"/>
      <c r="BX176" s="77">
        <f>SUM(BX165:BX175)</f>
        <v>-759.58964991040011</v>
      </c>
      <c r="BY176" s="77">
        <f>SUM(BY165:BY175)</f>
        <v>-719.22159722600009</v>
      </c>
      <c r="BZ176" s="77">
        <f>SUM(BZ165:BZ175)</f>
        <v>-716.25163770320012</v>
      </c>
      <c r="CA176" s="77">
        <f>SUM(CA165:CA175)</f>
        <v>-992.86957333156033</v>
      </c>
      <c r="CB176" s="20">
        <f t="shared" ref="CB176" si="1677">SUM(CB165:CB175)</f>
        <v>-3187.9324581711608</v>
      </c>
      <c r="CC176" s="77"/>
      <c r="CD176" s="77">
        <f>SUM(CD165:CD175)</f>
        <v>-777.88144290860805</v>
      </c>
      <c r="CE176" s="77">
        <f>SUM(CE165:CE175)</f>
        <v>-737.34602917051996</v>
      </c>
      <c r="CF176" s="77">
        <f>SUM(CF165:CF175)</f>
        <v>-734.5566704572642</v>
      </c>
      <c r="CG176" s="77">
        <f>SUM(CG165:CG175)</f>
        <v>-1017.0869647981917</v>
      </c>
      <c r="CH176" s="20">
        <f t="shared" ref="CH176" si="1678">SUM(CH165:CH175)</f>
        <v>-3266.8711073345839</v>
      </c>
      <c r="CI176" s="77"/>
      <c r="CJ176" s="77">
        <f>SUM(CJ165:CJ175)</f>
        <v>-796.53907176678024</v>
      </c>
      <c r="CK176" s="77">
        <f>SUM(CK165:CK175)</f>
        <v>-755.83294975393051</v>
      </c>
      <c r="CL176" s="77">
        <f>SUM(CL165:CL175)</f>
        <v>-753.22780386640943</v>
      </c>
      <c r="CM176" s="77">
        <f>SUM(CM165:CM175)</f>
        <v>-1041.7887040941555</v>
      </c>
      <c r="CN176" s="20">
        <f t="shared" ref="CN176" si="1679">SUM(CN165:CN175)</f>
        <v>-3347.3885294812753</v>
      </c>
    </row>
    <row r="177" spans="1:92" ht="12.95" customHeight="1" x14ac:dyDescent="0.25"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27"/>
      <c r="AA177" s="6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35"/>
      <c r="AP177" s="27"/>
      <c r="AQ177" s="235"/>
      <c r="AR177" s="235"/>
      <c r="AS177" s="27"/>
      <c r="AT177" s="27"/>
      <c r="AU177" s="235"/>
      <c r="AV177" s="235"/>
      <c r="AW177" s="158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</row>
    <row r="178" spans="1:92" ht="12.95" customHeight="1" x14ac:dyDescent="0.25">
      <c r="A178" s="1" t="s">
        <v>4</v>
      </c>
      <c r="B178" s="3" t="s">
        <v>80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8"/>
      <c r="U178" s="6"/>
      <c r="V178" s="6"/>
      <c r="W178" s="6"/>
      <c r="X178" s="6"/>
      <c r="Y178" s="6"/>
      <c r="Z178" s="8">
        <f>-(Z187+Z179)/(Z162+Z176)</f>
        <v>0.46344485749690212</v>
      </c>
      <c r="AA178" s="6"/>
      <c r="AB178" s="27"/>
      <c r="AC178" s="27"/>
      <c r="AD178" s="27"/>
      <c r="AE178" s="27"/>
      <c r="AF178" s="8">
        <f>-(AF187+AF179)/(AF162+AF176)</f>
        <v>0.5678172095284395</v>
      </c>
      <c r="AG178" s="27"/>
      <c r="AH178" s="27"/>
      <c r="AI178" s="27"/>
      <c r="AJ178" s="27"/>
      <c r="AK178" s="27"/>
      <c r="AL178" s="8">
        <f>-(AL187+AL179)/(AL162+AL176)</f>
        <v>0.46889952153110048</v>
      </c>
      <c r="AM178" s="27"/>
      <c r="AN178" s="27"/>
      <c r="AO178" s="235"/>
      <c r="AP178" s="27"/>
      <c r="AQ178" s="235"/>
      <c r="AR178" s="235"/>
      <c r="AS178" s="235"/>
      <c r="AT178" s="235"/>
      <c r="AU178" s="235"/>
      <c r="AV178" s="235"/>
      <c r="AW178" s="158"/>
      <c r="AX178" s="8" t="e">
        <f>-(DD187+DD179)/(DD162+DD176)</f>
        <v>#DIV/0!</v>
      </c>
      <c r="AY178" s="27"/>
      <c r="AZ178" s="27"/>
      <c r="BA178" s="27"/>
      <c r="BB178" s="27"/>
      <c r="BC178" s="27"/>
      <c r="BD178" s="8">
        <f>-(BD187+BD179)/(BD162+BD176)</f>
        <v>0.28799114206976745</v>
      </c>
      <c r="BE178" s="27"/>
      <c r="BF178" s="27"/>
      <c r="BG178" s="27"/>
      <c r="BH178" s="27"/>
      <c r="BI178" s="27"/>
      <c r="BJ178" s="8">
        <f>-(BJ187+BJ179)/(BJ162+BJ176)</f>
        <v>0.28487202910103177</v>
      </c>
      <c r="BK178" s="27"/>
      <c r="BL178" s="27"/>
      <c r="BM178" s="27"/>
      <c r="BN178" s="27"/>
      <c r="BO178" s="27"/>
      <c r="BP178" s="8">
        <f>-(BP187+BP179)/(BP162+BP176)</f>
        <v>0.27982690942694638</v>
      </c>
      <c r="BQ178" s="27"/>
      <c r="BR178" s="27"/>
      <c r="BS178" s="27"/>
      <c r="BT178" s="27"/>
      <c r="BU178" s="27"/>
      <c r="BV178" s="8">
        <f>-(BV187+BV179)/(BV162+BV176)</f>
        <v>0.27367326586844715</v>
      </c>
      <c r="BW178" s="27"/>
      <c r="BX178" s="27"/>
      <c r="BY178" s="27"/>
      <c r="BZ178" s="27"/>
      <c r="CA178" s="27"/>
      <c r="CB178" s="8">
        <f>-(CB187+CB179)/(CB162+CB176)</f>
        <v>0.26383803688349483</v>
      </c>
      <c r="CC178" s="27"/>
      <c r="CD178" s="27"/>
      <c r="CE178" s="27"/>
      <c r="CF178" s="27"/>
      <c r="CG178" s="27"/>
      <c r="CH178" s="8">
        <f>-(CH187+CH179)/(CH162+CH176)</f>
        <v>0.25304808671830892</v>
      </c>
      <c r="CI178" s="27"/>
      <c r="CJ178" s="27"/>
      <c r="CK178" s="27"/>
      <c r="CL178" s="27"/>
      <c r="CM178" s="27"/>
      <c r="CN178" s="8">
        <f>-(CN187+CN179)/(CN162+CN176)</f>
        <v>0.23837779305104081</v>
      </c>
    </row>
    <row r="179" spans="1:92" ht="12.95" customHeight="1" x14ac:dyDescent="0.25">
      <c r="B179" s="2" t="s">
        <v>344</v>
      </c>
      <c r="D179" s="75">
        <v>-452</v>
      </c>
      <c r="E179" s="255">
        <v>-454</v>
      </c>
      <c r="F179" s="75">
        <v>-461</v>
      </c>
      <c r="G179" s="255">
        <v>-464</v>
      </c>
      <c r="H179" s="235">
        <f>SUM(D179:G179)</f>
        <v>-1831</v>
      </c>
      <c r="I179" s="6"/>
      <c r="J179" s="75">
        <v>-467</v>
      </c>
      <c r="K179" s="255">
        <v>-466</v>
      </c>
      <c r="L179" s="75">
        <v>-511</v>
      </c>
      <c r="M179" s="255">
        <v>-507</v>
      </c>
      <c r="N179" s="235">
        <f>SUM(J179:M179)</f>
        <v>-1951</v>
      </c>
      <c r="O179" s="6"/>
      <c r="P179" s="75">
        <v>-494</v>
      </c>
      <c r="Q179" s="255">
        <v>-492</v>
      </c>
      <c r="R179" s="75">
        <v>-578</v>
      </c>
      <c r="S179" s="255">
        <v>-568</v>
      </c>
      <c r="T179" s="235">
        <f>SUM(P179:S179)</f>
        <v>-2132</v>
      </c>
      <c r="U179" s="6"/>
      <c r="V179" s="75">
        <v>-567</v>
      </c>
      <c r="W179" s="255">
        <v>-558</v>
      </c>
      <c r="X179" s="75">
        <v>-558</v>
      </c>
      <c r="Y179" s="255">
        <v>-560</v>
      </c>
      <c r="Z179" s="235">
        <f>SUM(V179:Y179)</f>
        <v>-2243</v>
      </c>
      <c r="AA179" s="6"/>
      <c r="AB179" s="75">
        <v>-562</v>
      </c>
      <c r="AC179" s="255">
        <v>-564</v>
      </c>
      <c r="AD179" s="75">
        <v>-607</v>
      </c>
      <c r="AE179" s="255">
        <v>-599</v>
      </c>
      <c r="AF179" s="235">
        <f>SUM(AB179:AE179)</f>
        <v>-2332</v>
      </c>
      <c r="AG179" s="27"/>
      <c r="AH179" s="75">
        <v>-595</v>
      </c>
      <c r="AI179" s="255">
        <v>-592</v>
      </c>
      <c r="AJ179" s="75">
        <v>-633</v>
      </c>
      <c r="AK179" s="255">
        <v>-620</v>
      </c>
      <c r="AL179" s="235">
        <f>SUM(AH179:AK179)</f>
        <v>-2440</v>
      </c>
      <c r="AM179" s="27"/>
      <c r="AN179" s="75">
        <v>-620</v>
      </c>
      <c r="AO179" s="255">
        <v>-618</v>
      </c>
      <c r="AP179" s="75">
        <v>-663</v>
      </c>
      <c r="AQ179" s="255">
        <v>-662</v>
      </c>
      <c r="AR179" s="235">
        <f>SUM(AN179:AQ179)</f>
        <v>-2563</v>
      </c>
      <c r="AS179" s="27"/>
      <c r="AT179" s="75">
        <v>-648</v>
      </c>
      <c r="AU179" s="255">
        <v>-635</v>
      </c>
      <c r="AV179" s="255">
        <v>-683</v>
      </c>
      <c r="AW179" s="619">
        <f>-AW83*AW80</f>
        <v>-679.58866666666665</v>
      </c>
      <c r="AX179" s="235">
        <f>SUM(AT179:AW179)</f>
        <v>-2645.5886666666665</v>
      </c>
      <c r="AY179" s="27"/>
      <c r="AZ179" s="569">
        <f>-AZ83*AZ80</f>
        <v>-673.71366666666654</v>
      </c>
      <c r="BA179" s="569">
        <f>-BA83*BA80</f>
        <v>-667.83866666666654</v>
      </c>
      <c r="BB179" s="569">
        <f>-BB83*BB80</f>
        <v>-714.92075999999986</v>
      </c>
      <c r="BC179" s="569">
        <f>-BC83*BC80</f>
        <v>-708.57575999999983</v>
      </c>
      <c r="BD179" s="235">
        <f>SUM(AZ179:BC179)</f>
        <v>-2765.0488533333328</v>
      </c>
      <c r="BE179" s="27"/>
      <c r="BF179" s="569">
        <f>-BF83*BF80</f>
        <v>-702.2307599999998</v>
      </c>
      <c r="BG179" s="569">
        <f>-BG83*BG80</f>
        <v>-695.88575999999978</v>
      </c>
      <c r="BH179" s="569">
        <f>-BH83*BH80</f>
        <v>-743.56192079999983</v>
      </c>
      <c r="BI179" s="569">
        <f>-BI83*BI80</f>
        <v>-735.56722079999986</v>
      </c>
      <c r="BJ179" s="235">
        <f>SUM(BF179:BI179)</f>
        <v>-2877.245661599999</v>
      </c>
      <c r="BK179" s="27"/>
      <c r="BL179" s="569">
        <f>-BL83*BL80</f>
        <v>-727.57252079999989</v>
      </c>
      <c r="BM179" s="569">
        <f>-BM83*BM80</f>
        <v>-719.57782080000004</v>
      </c>
      <c r="BN179" s="569">
        <f>-BN83*BN80</f>
        <v>-768.5097704640001</v>
      </c>
      <c r="BO179" s="569">
        <f>-BO83*BO80</f>
        <v>-759.87549446400021</v>
      </c>
      <c r="BP179" s="235">
        <f>SUM(BL179:BO179)</f>
        <v>-2975.5356065280002</v>
      </c>
      <c r="BQ179" s="27"/>
      <c r="BR179" s="569">
        <f>-BR83*BR80</f>
        <v>-751.24121846400021</v>
      </c>
      <c r="BS179" s="569">
        <f>-BS83*BS80</f>
        <v>-742.60694246400021</v>
      </c>
      <c r="BT179" s="569">
        <f>-BT83*BT80</f>
        <v>-791.35833434112033</v>
      </c>
      <c r="BU179" s="569">
        <f>-BU83*BU80</f>
        <v>-780.7011708211204</v>
      </c>
      <c r="BV179" s="235">
        <f>SUM(BR179:BU179)</f>
        <v>-3065.907666090241</v>
      </c>
      <c r="BW179" s="27"/>
      <c r="BX179" s="569">
        <f>-BX83*BX80</f>
        <v>-770.04400730112036</v>
      </c>
      <c r="BY179" s="569">
        <f>-BY83*BY80</f>
        <v>-759.38684378112043</v>
      </c>
      <c r="BZ179" s="569">
        <f>-BZ83*BZ80</f>
        <v>-808.62805468201009</v>
      </c>
      <c r="CA179" s="569">
        <f>-CA83*CA80</f>
        <v>-797.11831808041018</v>
      </c>
      <c r="CB179" s="235">
        <f>SUM(BX179:CA179)</f>
        <v>-3135.1772238446611</v>
      </c>
      <c r="CC179" s="27"/>
      <c r="CD179" s="569">
        <f>-CD83*CD80</f>
        <v>-785.60858147881015</v>
      </c>
      <c r="CE179" s="569">
        <f>-CE83*CE80</f>
        <v>-774.09884487721013</v>
      </c>
      <c r="CF179" s="569">
        <f>-CF83*CF80</f>
        <v>-820.4886080552269</v>
      </c>
      <c r="CG179" s="569">
        <f>-CG83*CG80</f>
        <v>-804.95046364306688</v>
      </c>
      <c r="CH179" s="235">
        <f>SUM(CD179:CG179)</f>
        <v>-3185.1464980543142</v>
      </c>
      <c r="CI179" s="27"/>
      <c r="CJ179" s="569">
        <f>-CJ83*CJ80</f>
        <v>-789.41231923090686</v>
      </c>
      <c r="CK179" s="569">
        <f>-CK83*CK80</f>
        <v>-773.87417481874684</v>
      </c>
      <c r="CL179" s="569">
        <f>-CL83*CL80</f>
        <v>-819.00291283911383</v>
      </c>
      <c r="CM179" s="569">
        <f>-CM83*CM80</f>
        <v>-802.22171687398099</v>
      </c>
      <c r="CN179" s="235">
        <f>SUM(CJ179:CM179)</f>
        <v>-3184.5111237627489</v>
      </c>
    </row>
    <row r="180" spans="1:92" ht="12.95" customHeight="1" x14ac:dyDescent="0.25">
      <c r="B180" s="2" t="s">
        <v>478</v>
      </c>
      <c r="D180" s="75">
        <v>-19</v>
      </c>
      <c r="E180" s="255">
        <v>102</v>
      </c>
      <c r="F180" s="75">
        <v>270</v>
      </c>
      <c r="G180" s="255">
        <v>213</v>
      </c>
      <c r="H180" s="235">
        <f t="shared" ref="H180:H187" si="1680">SUM(D180:G180)</f>
        <v>566</v>
      </c>
      <c r="I180" s="6"/>
      <c r="J180" s="75">
        <v>149</v>
      </c>
      <c r="K180" s="255">
        <v>107</v>
      </c>
      <c r="L180" s="75">
        <v>36</v>
      </c>
      <c r="M180" s="255">
        <v>21</v>
      </c>
      <c r="N180" s="235">
        <f t="shared" ref="N180:N187" si="1681">SUM(J180:M180)</f>
        <v>313</v>
      </c>
      <c r="O180" s="6"/>
      <c r="P180" s="75">
        <v>-5</v>
      </c>
      <c r="Q180" s="255">
        <v>44</v>
      </c>
      <c r="R180" s="75">
        <v>20</v>
      </c>
      <c r="S180" s="255">
        <v>179</v>
      </c>
      <c r="T180" s="235">
        <f t="shared" ref="T180:T187" si="1682">SUM(P180:S180)</f>
        <v>238</v>
      </c>
      <c r="U180" s="6"/>
      <c r="V180" s="75">
        <v>-23</v>
      </c>
      <c r="W180" s="255">
        <v>13</v>
      </c>
      <c r="X180" s="75">
        <v>120</v>
      </c>
      <c r="Y180" s="255">
        <v>119</v>
      </c>
      <c r="Z180" s="235">
        <f t="shared" ref="Z180:Z187" si="1683">SUM(V180:Y180)</f>
        <v>229</v>
      </c>
      <c r="AA180" s="6"/>
      <c r="AB180" s="75">
        <v>65</v>
      </c>
      <c r="AC180" s="255">
        <v>58</v>
      </c>
      <c r="AD180" s="75">
        <v>-1</v>
      </c>
      <c r="AE180" s="255">
        <v>13</v>
      </c>
      <c r="AF180" s="235">
        <f t="shared" ref="AF180:AF187" si="1684">SUM(AB180:AE180)</f>
        <v>135</v>
      </c>
      <c r="AG180" s="27"/>
      <c r="AH180" s="75">
        <v>-28</v>
      </c>
      <c r="AI180" s="255">
        <v>32</v>
      </c>
      <c r="AJ180" s="75">
        <v>-2</v>
      </c>
      <c r="AK180" s="255">
        <v>49</v>
      </c>
      <c r="AL180" s="235">
        <f t="shared" ref="AL180:AL187" si="1685">SUM(AH180:AK180)</f>
        <v>51</v>
      </c>
      <c r="AM180" s="27"/>
      <c r="AN180" s="75">
        <v>-25</v>
      </c>
      <c r="AO180" s="255">
        <v>3</v>
      </c>
      <c r="AP180" s="75">
        <v>58</v>
      </c>
      <c r="AQ180" s="255">
        <v>-24</v>
      </c>
      <c r="AR180" s="235">
        <f t="shared" ref="AR180:AR187" si="1686">SUM(AN180:AQ180)</f>
        <v>12</v>
      </c>
      <c r="AS180" s="27"/>
      <c r="AT180" s="75">
        <v>-8</v>
      </c>
      <c r="AU180" s="255">
        <v>16</v>
      </c>
      <c r="AV180" s="255">
        <v>7</v>
      </c>
      <c r="AW180" s="355">
        <v>0</v>
      </c>
      <c r="AX180" s="235">
        <f t="shared" ref="AX180:AX187" si="1687">SUM(AT180:AW180)</f>
        <v>15</v>
      </c>
      <c r="AY180" s="27"/>
      <c r="AZ180" s="27">
        <v>0</v>
      </c>
      <c r="BA180" s="27">
        <v>0</v>
      </c>
      <c r="BB180" s="27">
        <v>0</v>
      </c>
      <c r="BC180" s="27">
        <v>0</v>
      </c>
      <c r="BD180" s="235">
        <f t="shared" ref="BD180:BD187" si="1688">SUM(AZ180:BC180)</f>
        <v>0</v>
      </c>
      <c r="BE180" s="27"/>
      <c r="BF180" s="27">
        <v>0</v>
      </c>
      <c r="BG180" s="27">
        <v>0</v>
      </c>
      <c r="BH180" s="27">
        <v>0</v>
      </c>
      <c r="BI180" s="27">
        <v>0</v>
      </c>
      <c r="BJ180" s="235">
        <f t="shared" ref="BJ180:BJ185" si="1689">SUM(BF180:BI180)</f>
        <v>0</v>
      </c>
      <c r="BK180" s="27"/>
      <c r="BL180" s="27">
        <v>0</v>
      </c>
      <c r="BM180" s="27">
        <v>0</v>
      </c>
      <c r="BN180" s="27">
        <v>0</v>
      </c>
      <c r="BO180" s="27">
        <v>0</v>
      </c>
      <c r="BP180" s="235">
        <f t="shared" ref="BP180:BP185" si="1690">SUM(BL180:BO180)</f>
        <v>0</v>
      </c>
      <c r="BQ180" s="27"/>
      <c r="BR180" s="27">
        <v>0</v>
      </c>
      <c r="BS180" s="27">
        <v>0</v>
      </c>
      <c r="BT180" s="27">
        <v>0</v>
      </c>
      <c r="BU180" s="27">
        <v>0</v>
      </c>
      <c r="BV180" s="235">
        <f t="shared" ref="BV180:BV185" si="1691">SUM(BR180:BU180)</f>
        <v>0</v>
      </c>
      <c r="BW180" s="27"/>
      <c r="BX180" s="27">
        <v>0</v>
      </c>
      <c r="BY180" s="27">
        <v>0</v>
      </c>
      <c r="BZ180" s="27">
        <v>0</v>
      </c>
      <c r="CA180" s="27">
        <v>0</v>
      </c>
      <c r="CB180" s="235">
        <f t="shared" ref="CB180:CB185" si="1692">SUM(BX180:CA180)</f>
        <v>0</v>
      </c>
      <c r="CC180" s="27"/>
      <c r="CD180" s="27">
        <v>0</v>
      </c>
      <c r="CE180" s="27">
        <v>0</v>
      </c>
      <c r="CF180" s="27">
        <v>0</v>
      </c>
      <c r="CG180" s="27">
        <v>0</v>
      </c>
      <c r="CH180" s="235">
        <f t="shared" ref="CH180:CH185" si="1693">SUM(CD180:CG180)</f>
        <v>0</v>
      </c>
      <c r="CI180" s="27"/>
      <c r="CJ180" s="27">
        <v>0</v>
      </c>
      <c r="CK180" s="27">
        <v>0</v>
      </c>
      <c r="CL180" s="27">
        <v>0</v>
      </c>
      <c r="CM180" s="27">
        <v>0</v>
      </c>
      <c r="CN180" s="235">
        <f t="shared" ref="CN180:CN185" si="1694">SUM(CJ180:CM180)</f>
        <v>0</v>
      </c>
    </row>
    <row r="181" spans="1:92" ht="12.95" customHeight="1" x14ac:dyDescent="0.25">
      <c r="B181" s="26" t="s">
        <v>472</v>
      </c>
      <c r="C181" s="26"/>
      <c r="D181" s="477">
        <v>0</v>
      </c>
      <c r="E181" s="477">
        <v>0</v>
      </c>
      <c r="F181" s="477">
        <v>0</v>
      </c>
      <c r="G181" s="477">
        <v>0</v>
      </c>
      <c r="H181" s="28">
        <f t="shared" si="1680"/>
        <v>0</v>
      </c>
      <c r="I181" s="475"/>
      <c r="J181" s="477">
        <v>-500</v>
      </c>
      <c r="K181" s="477">
        <v>-750</v>
      </c>
      <c r="L181" s="477">
        <v>-750</v>
      </c>
      <c r="M181" s="477">
        <v>-1798</v>
      </c>
      <c r="N181" s="28">
        <f t="shared" si="1681"/>
        <v>-3798</v>
      </c>
      <c r="O181" s="475"/>
      <c r="P181" s="477">
        <v>-751</v>
      </c>
      <c r="Q181" s="477">
        <v>-1354</v>
      </c>
      <c r="R181" s="477">
        <v>-1178</v>
      </c>
      <c r="S181" s="477">
        <v>-764</v>
      </c>
      <c r="T181" s="28">
        <f t="shared" si="1682"/>
        <v>-4047</v>
      </c>
      <c r="U181" s="475"/>
      <c r="V181" s="477">
        <v>-1043</v>
      </c>
      <c r="W181" s="477">
        <v>-87</v>
      </c>
      <c r="X181" s="477">
        <v>0</v>
      </c>
      <c r="Y181" s="477">
        <v>0</v>
      </c>
      <c r="Z181" s="28">
        <f t="shared" si="1683"/>
        <v>-1130</v>
      </c>
      <c r="AA181" s="475"/>
      <c r="AB181" s="477">
        <v>0</v>
      </c>
      <c r="AC181" s="477">
        <v>-251</v>
      </c>
      <c r="AD181" s="477">
        <v>-1371</v>
      </c>
      <c r="AE181" s="477">
        <v>-1046</v>
      </c>
      <c r="AF181" s="28">
        <f t="shared" si="1684"/>
        <v>-2668</v>
      </c>
      <c r="AG181" s="28"/>
      <c r="AH181" s="477">
        <v>-820</v>
      </c>
      <c r="AI181" s="477">
        <v>-1104</v>
      </c>
      <c r="AJ181" s="477">
        <v>-1385</v>
      </c>
      <c r="AK181" s="477">
        <v>-921</v>
      </c>
      <c r="AL181" s="28">
        <f t="shared" si="1685"/>
        <v>-4230</v>
      </c>
      <c r="AM181" s="28"/>
      <c r="AN181" s="477">
        <v>-400</v>
      </c>
      <c r="AO181" s="477">
        <v>-1429</v>
      </c>
      <c r="AP181" s="477">
        <v>-380</v>
      </c>
      <c r="AQ181" s="477">
        <v>-2766</v>
      </c>
      <c r="AR181" s="28">
        <f t="shared" si="1686"/>
        <v>-4975</v>
      </c>
      <c r="AS181" s="28"/>
      <c r="AT181" s="477">
        <v>-4455</v>
      </c>
      <c r="AU181" s="477">
        <v>-1820</v>
      </c>
      <c r="AV181" s="477">
        <v>-782</v>
      </c>
      <c r="AW181" s="619">
        <f>AW372</f>
        <v>-800</v>
      </c>
      <c r="AX181" s="28">
        <f t="shared" si="1687"/>
        <v>-7857</v>
      </c>
      <c r="AY181" s="28"/>
      <c r="AZ181" s="569">
        <f>AZ372</f>
        <v>-1500</v>
      </c>
      <c r="BA181" s="569">
        <f t="shared" ref="BA181:BC181" si="1695">BA372</f>
        <v>-1500</v>
      </c>
      <c r="BB181" s="569">
        <f t="shared" si="1695"/>
        <v>-1500</v>
      </c>
      <c r="BC181" s="569">
        <f t="shared" si="1695"/>
        <v>-1500</v>
      </c>
      <c r="BD181" s="28">
        <f t="shared" si="1688"/>
        <v>-6000</v>
      </c>
      <c r="BE181" s="28"/>
      <c r="BF181" s="569">
        <f>BF372</f>
        <v>-1500</v>
      </c>
      <c r="BG181" s="569">
        <f t="shared" ref="BG181:BI181" si="1696">BG372</f>
        <v>-1500</v>
      </c>
      <c r="BH181" s="569">
        <f t="shared" si="1696"/>
        <v>-1750</v>
      </c>
      <c r="BI181" s="569">
        <f t="shared" si="1696"/>
        <v>-1750</v>
      </c>
      <c r="BJ181" s="28">
        <f t="shared" si="1689"/>
        <v>-6500</v>
      </c>
      <c r="BK181" s="28"/>
      <c r="BL181" s="569">
        <f>BL372</f>
        <v>-1750</v>
      </c>
      <c r="BM181" s="569">
        <f t="shared" ref="BM181:BO181" si="1697">BM372</f>
        <v>-1750</v>
      </c>
      <c r="BN181" s="569">
        <f t="shared" si="1697"/>
        <v>-1750</v>
      </c>
      <c r="BO181" s="569">
        <f t="shared" si="1697"/>
        <v>-1750</v>
      </c>
      <c r="BP181" s="28">
        <f t="shared" si="1690"/>
        <v>-7000</v>
      </c>
      <c r="BQ181" s="28"/>
      <c r="BR181" s="569">
        <f>BR372</f>
        <v>-1750</v>
      </c>
      <c r="BS181" s="569">
        <f t="shared" ref="BS181:BU181" si="1698">BS372</f>
        <v>-1750</v>
      </c>
      <c r="BT181" s="569">
        <f t="shared" si="1698"/>
        <v>-2000</v>
      </c>
      <c r="BU181" s="569">
        <f t="shared" si="1698"/>
        <v>-2000</v>
      </c>
      <c r="BV181" s="28">
        <f t="shared" si="1691"/>
        <v>-7500</v>
      </c>
      <c r="BW181" s="28"/>
      <c r="BX181" s="569">
        <f>BX372</f>
        <v>-2000</v>
      </c>
      <c r="BY181" s="569">
        <f t="shared" ref="BY181:CA181" si="1699">BY372</f>
        <v>-2000</v>
      </c>
      <c r="BZ181" s="569">
        <f t="shared" si="1699"/>
        <v>-2000</v>
      </c>
      <c r="CA181" s="569">
        <f t="shared" si="1699"/>
        <v>-2000</v>
      </c>
      <c r="CB181" s="28">
        <f t="shared" si="1692"/>
        <v>-8000</v>
      </c>
      <c r="CC181" s="28"/>
      <c r="CD181" s="569">
        <f>CD372</f>
        <v>-2000</v>
      </c>
      <c r="CE181" s="569">
        <f t="shared" ref="CE181:CG181" si="1700">CE372</f>
        <v>-2000</v>
      </c>
      <c r="CF181" s="569">
        <f t="shared" si="1700"/>
        <v>-2500</v>
      </c>
      <c r="CG181" s="569">
        <f t="shared" si="1700"/>
        <v>-2500</v>
      </c>
      <c r="CH181" s="28">
        <f t="shared" si="1693"/>
        <v>-9000</v>
      </c>
      <c r="CI181" s="28"/>
      <c r="CJ181" s="569">
        <f>CJ372</f>
        <v>-2500</v>
      </c>
      <c r="CK181" s="569">
        <f t="shared" ref="CK181:CM181" si="1701">CK372</f>
        <v>-2500</v>
      </c>
      <c r="CL181" s="569">
        <f t="shared" si="1701"/>
        <v>-2500</v>
      </c>
      <c r="CM181" s="569">
        <f t="shared" si="1701"/>
        <v>-2500</v>
      </c>
      <c r="CN181" s="28">
        <f t="shared" si="1694"/>
        <v>-10000</v>
      </c>
    </row>
    <row r="182" spans="1:92" ht="12.95" customHeight="1" x14ac:dyDescent="0.25">
      <c r="B182" s="2" t="s">
        <v>479</v>
      </c>
      <c r="D182" s="104">
        <f>SUM(D180:D181)</f>
        <v>-19</v>
      </c>
      <c r="E182" s="104">
        <f t="shared" ref="E182:G182" si="1702">SUM(E180:E181)</f>
        <v>102</v>
      </c>
      <c r="F182" s="104">
        <f t="shared" si="1702"/>
        <v>270</v>
      </c>
      <c r="G182" s="104">
        <f t="shared" si="1702"/>
        <v>213</v>
      </c>
      <c r="H182" s="235">
        <f t="shared" si="1680"/>
        <v>566</v>
      </c>
      <c r="I182" s="6"/>
      <c r="J182" s="104">
        <f>SUM(J180:J181)</f>
        <v>-351</v>
      </c>
      <c r="K182" s="104">
        <f t="shared" ref="K182" si="1703">SUM(K180:K181)</f>
        <v>-643</v>
      </c>
      <c r="L182" s="104">
        <f t="shared" ref="L182" si="1704">SUM(L180:L181)</f>
        <v>-714</v>
      </c>
      <c r="M182" s="104">
        <f t="shared" ref="M182" si="1705">SUM(M180:M181)</f>
        <v>-1777</v>
      </c>
      <c r="N182" s="235">
        <f t="shared" si="1681"/>
        <v>-3485</v>
      </c>
      <c r="O182" s="6"/>
      <c r="P182" s="104">
        <f>SUM(P180:P181)</f>
        <v>-756</v>
      </c>
      <c r="Q182" s="104">
        <f t="shared" ref="Q182" si="1706">SUM(Q180:Q181)</f>
        <v>-1310</v>
      </c>
      <c r="R182" s="104">
        <f t="shared" ref="R182" si="1707">SUM(R180:R181)</f>
        <v>-1158</v>
      </c>
      <c r="S182" s="104">
        <f t="shared" ref="S182" si="1708">SUM(S180:S181)</f>
        <v>-585</v>
      </c>
      <c r="T182" s="235">
        <f t="shared" si="1682"/>
        <v>-3809</v>
      </c>
      <c r="U182" s="6"/>
      <c r="V182" s="104">
        <f>SUM(V180:V181)</f>
        <v>-1066</v>
      </c>
      <c r="W182" s="104">
        <f t="shared" ref="W182" si="1709">SUM(W180:W181)</f>
        <v>-74</v>
      </c>
      <c r="X182" s="104">
        <f t="shared" ref="X182" si="1710">SUM(X180:X181)</f>
        <v>120</v>
      </c>
      <c r="Y182" s="104">
        <f t="shared" ref="Y182" si="1711">SUM(Y180:Y181)</f>
        <v>119</v>
      </c>
      <c r="Z182" s="235">
        <f t="shared" si="1683"/>
        <v>-901</v>
      </c>
      <c r="AA182" s="6"/>
      <c r="AB182" s="104">
        <f>SUM(AB180:AB181)</f>
        <v>65</v>
      </c>
      <c r="AC182" s="104">
        <f t="shared" ref="AC182" si="1712">SUM(AC180:AC181)</f>
        <v>-193</v>
      </c>
      <c r="AD182" s="104">
        <f t="shared" ref="AD182" si="1713">SUM(AD180:AD181)</f>
        <v>-1372</v>
      </c>
      <c r="AE182" s="104">
        <f t="shared" ref="AE182" si="1714">SUM(AE180:AE181)</f>
        <v>-1033</v>
      </c>
      <c r="AF182" s="235">
        <f t="shared" si="1684"/>
        <v>-2533</v>
      </c>
      <c r="AG182" s="27"/>
      <c r="AH182" s="104">
        <f>SUM(AH180:AH181)</f>
        <v>-848</v>
      </c>
      <c r="AI182" s="104">
        <f t="shared" ref="AI182" si="1715">SUM(AI180:AI181)</f>
        <v>-1072</v>
      </c>
      <c r="AJ182" s="104">
        <f t="shared" ref="AJ182" si="1716">SUM(AJ180:AJ181)</f>
        <v>-1387</v>
      </c>
      <c r="AK182" s="104">
        <f t="shared" ref="AK182" si="1717">SUM(AK180:AK181)</f>
        <v>-872</v>
      </c>
      <c r="AL182" s="235">
        <f t="shared" si="1685"/>
        <v>-4179</v>
      </c>
      <c r="AM182" s="27"/>
      <c r="AN182" s="104">
        <f>SUM(AN180:AN181)</f>
        <v>-425</v>
      </c>
      <c r="AO182" s="104">
        <f t="shared" ref="AO182" si="1718">SUM(AO180:AO181)</f>
        <v>-1426</v>
      </c>
      <c r="AP182" s="104">
        <f t="shared" ref="AP182" si="1719">SUM(AP180:AP181)</f>
        <v>-322</v>
      </c>
      <c r="AQ182" s="104">
        <f t="shared" ref="AQ182" si="1720">SUM(AQ180:AQ181)</f>
        <v>-2790</v>
      </c>
      <c r="AR182" s="235">
        <f t="shared" si="1686"/>
        <v>-4963</v>
      </c>
      <c r="AS182" s="27"/>
      <c r="AT182" s="104">
        <f>SUM(AT180:AT181)</f>
        <v>-4463</v>
      </c>
      <c r="AU182" s="104">
        <f t="shared" ref="AU182" si="1721">SUM(AU180:AU181)</f>
        <v>-1804</v>
      </c>
      <c r="AV182" s="246">
        <f t="shared" ref="AV182" si="1722">SUM(AV180:AV181)</f>
        <v>-775</v>
      </c>
      <c r="AW182" s="196">
        <f t="shared" ref="AW182" si="1723">SUM(AW180:AW181)</f>
        <v>-800</v>
      </c>
      <c r="AX182" s="235">
        <f t="shared" si="1687"/>
        <v>-7842</v>
      </c>
      <c r="AY182" s="27"/>
      <c r="AZ182" s="104">
        <f t="shared" ref="AZ182:BC182" si="1724">SUM(AZ180:AZ181)</f>
        <v>-1500</v>
      </c>
      <c r="BA182" s="104">
        <f t="shared" si="1724"/>
        <v>-1500</v>
      </c>
      <c r="BB182" s="104">
        <f t="shared" si="1724"/>
        <v>-1500</v>
      </c>
      <c r="BC182" s="104">
        <f t="shared" si="1724"/>
        <v>-1500</v>
      </c>
      <c r="BD182" s="235">
        <f t="shared" si="1688"/>
        <v>-6000</v>
      </c>
      <c r="BE182" s="27"/>
      <c r="BF182" s="104">
        <f>SUM(BF180:BF181)</f>
        <v>-1500</v>
      </c>
      <c r="BG182" s="104">
        <f t="shared" ref="BG182:BI182" si="1725">SUM(BG180:BG181)</f>
        <v>-1500</v>
      </c>
      <c r="BH182" s="104">
        <f t="shared" si="1725"/>
        <v>-1750</v>
      </c>
      <c r="BI182" s="104">
        <f t="shared" si="1725"/>
        <v>-1750</v>
      </c>
      <c r="BJ182" s="235">
        <f t="shared" si="1689"/>
        <v>-6500</v>
      </c>
      <c r="BK182" s="27"/>
      <c r="BL182" s="104">
        <f t="shared" ref="BL182:BO182" si="1726">SUM(BL180:BL181)</f>
        <v>-1750</v>
      </c>
      <c r="BM182" s="104">
        <f t="shared" si="1726"/>
        <v>-1750</v>
      </c>
      <c r="BN182" s="104">
        <f t="shared" si="1726"/>
        <v>-1750</v>
      </c>
      <c r="BO182" s="104">
        <f t="shared" si="1726"/>
        <v>-1750</v>
      </c>
      <c r="BP182" s="235">
        <f t="shared" si="1690"/>
        <v>-7000</v>
      </c>
      <c r="BQ182" s="27"/>
      <c r="BR182" s="104">
        <f t="shared" ref="BR182:BU182" si="1727">SUM(BR180:BR181)</f>
        <v>-1750</v>
      </c>
      <c r="BS182" s="104">
        <f t="shared" si="1727"/>
        <v>-1750</v>
      </c>
      <c r="BT182" s="104">
        <f t="shared" si="1727"/>
        <v>-2000</v>
      </c>
      <c r="BU182" s="104">
        <f t="shared" si="1727"/>
        <v>-2000</v>
      </c>
      <c r="BV182" s="235">
        <f t="shared" si="1691"/>
        <v>-7500</v>
      </c>
      <c r="BW182" s="27"/>
      <c r="BX182" s="104">
        <f t="shared" ref="BX182:CA182" si="1728">SUM(BX180:BX181)</f>
        <v>-2000</v>
      </c>
      <c r="BY182" s="104">
        <f t="shared" si="1728"/>
        <v>-2000</v>
      </c>
      <c r="BZ182" s="104">
        <f t="shared" si="1728"/>
        <v>-2000</v>
      </c>
      <c r="CA182" s="104">
        <f t="shared" si="1728"/>
        <v>-2000</v>
      </c>
      <c r="CB182" s="235">
        <f t="shared" si="1692"/>
        <v>-8000</v>
      </c>
      <c r="CC182" s="27"/>
      <c r="CD182" s="104">
        <f>SUM(CD180:CD181)</f>
        <v>-2000</v>
      </c>
      <c r="CE182" s="104">
        <f t="shared" ref="CE182:CG182" si="1729">SUM(CE180:CE181)</f>
        <v>-2000</v>
      </c>
      <c r="CF182" s="104">
        <f t="shared" si="1729"/>
        <v>-2500</v>
      </c>
      <c r="CG182" s="104">
        <f t="shared" si="1729"/>
        <v>-2500</v>
      </c>
      <c r="CH182" s="235">
        <f t="shared" si="1693"/>
        <v>-9000</v>
      </c>
      <c r="CI182" s="27"/>
      <c r="CJ182" s="104">
        <f t="shared" ref="CJ182:CM182" si="1730">SUM(CJ180:CJ181)</f>
        <v>-2500</v>
      </c>
      <c r="CK182" s="104">
        <f t="shared" si="1730"/>
        <v>-2500</v>
      </c>
      <c r="CL182" s="104">
        <f t="shared" si="1730"/>
        <v>-2500</v>
      </c>
      <c r="CM182" s="104">
        <f t="shared" si="1730"/>
        <v>-2500</v>
      </c>
      <c r="CN182" s="235">
        <f t="shared" si="1694"/>
        <v>-10000</v>
      </c>
    </row>
    <row r="183" spans="1:92" ht="12.95" customHeight="1" x14ac:dyDescent="0.25">
      <c r="B183" s="2" t="s">
        <v>473</v>
      </c>
      <c r="D183" s="75">
        <v>356</v>
      </c>
      <c r="E183" s="255">
        <v>-500</v>
      </c>
      <c r="F183" s="75">
        <v>0</v>
      </c>
      <c r="G183" s="255">
        <v>-960</v>
      </c>
      <c r="H183" s="235">
        <f t="shared" si="1680"/>
        <v>-1104</v>
      </c>
      <c r="I183" s="6"/>
      <c r="J183" s="75">
        <v>-1</v>
      </c>
      <c r="K183" s="255">
        <v>-2</v>
      </c>
      <c r="L183" s="75">
        <v>44</v>
      </c>
      <c r="M183" s="255">
        <v>9</v>
      </c>
      <c r="N183" s="235">
        <f t="shared" si="1681"/>
        <v>50</v>
      </c>
      <c r="O183" s="6"/>
      <c r="P183" s="75">
        <v>-2</v>
      </c>
      <c r="Q183" s="255">
        <v>-2</v>
      </c>
      <c r="R183" s="75">
        <v>1475</v>
      </c>
      <c r="S183" s="255">
        <v>-4</v>
      </c>
      <c r="T183" s="235">
        <f t="shared" si="1682"/>
        <v>1467</v>
      </c>
      <c r="U183" s="6"/>
      <c r="V183" s="75">
        <v>9</v>
      </c>
      <c r="W183" s="255">
        <v>1970</v>
      </c>
      <c r="X183" s="75">
        <v>-6</v>
      </c>
      <c r="Y183" s="255">
        <v>-8</v>
      </c>
      <c r="Z183" s="235">
        <f t="shared" si="1683"/>
        <v>1965</v>
      </c>
      <c r="AA183" s="6"/>
      <c r="AB183" s="75">
        <v>-150</v>
      </c>
      <c r="AC183" s="255">
        <v>-1258</v>
      </c>
      <c r="AD183" s="75">
        <v>-8</v>
      </c>
      <c r="AE183" s="255">
        <v>-9</v>
      </c>
      <c r="AF183" s="235">
        <f t="shared" si="1684"/>
        <v>-1425</v>
      </c>
      <c r="AG183" s="27"/>
      <c r="AH183" s="75">
        <v>-6</v>
      </c>
      <c r="AI183" s="255">
        <v>-7</v>
      </c>
      <c r="AJ183" s="75">
        <v>-7</v>
      </c>
      <c r="AK183" s="255">
        <v>-5</v>
      </c>
      <c r="AL183" s="235">
        <f t="shared" si="1685"/>
        <v>-25</v>
      </c>
      <c r="AM183" s="27"/>
      <c r="AN183" s="75">
        <v>-90</v>
      </c>
      <c r="AO183" s="255">
        <v>-5</v>
      </c>
      <c r="AP183" s="75">
        <v>-4</v>
      </c>
      <c r="AQ183" s="255">
        <v>-7</v>
      </c>
      <c r="AR183" s="235">
        <f t="shared" si="1686"/>
        <v>-106</v>
      </c>
      <c r="AS183" s="27"/>
      <c r="AT183" s="75">
        <v>-6</v>
      </c>
      <c r="AU183" s="255">
        <v>-1008</v>
      </c>
      <c r="AV183" s="255">
        <v>-7</v>
      </c>
      <c r="AW183" s="619">
        <f>AW364-AV364</f>
        <v>0</v>
      </c>
      <c r="AX183" s="235">
        <f t="shared" si="1687"/>
        <v>-1021</v>
      </c>
      <c r="AY183" s="27"/>
      <c r="AZ183" s="569">
        <f>AZ364-AX364</f>
        <v>-145</v>
      </c>
      <c r="BA183" s="569">
        <f>BA364-AZ364</f>
        <v>0</v>
      </c>
      <c r="BB183" s="569">
        <f t="shared" ref="BB183:BC183" si="1731">BB364-BA364</f>
        <v>0</v>
      </c>
      <c r="BC183" s="569">
        <f t="shared" si="1731"/>
        <v>0</v>
      </c>
      <c r="BD183" s="235">
        <f>SUM(AZ183:BC183)</f>
        <v>-145</v>
      </c>
      <c r="BE183" s="27"/>
      <c r="BF183" s="569">
        <f>BF364-BD364</f>
        <v>0</v>
      </c>
      <c r="BG183" s="569">
        <f>BG364-BF364</f>
        <v>0</v>
      </c>
      <c r="BH183" s="569">
        <f t="shared" ref="BH183:BI183" si="1732">BH364-BG364</f>
        <v>0</v>
      </c>
      <c r="BI183" s="569">
        <f t="shared" si="1732"/>
        <v>0</v>
      </c>
      <c r="BJ183" s="235">
        <f t="shared" si="1689"/>
        <v>0</v>
      </c>
      <c r="BK183" s="27"/>
      <c r="BL183" s="569">
        <f>BL364-BJ364</f>
        <v>0</v>
      </c>
      <c r="BM183" s="569">
        <f>BM364-BL364</f>
        <v>0</v>
      </c>
      <c r="BN183" s="569">
        <f t="shared" ref="BN183:BO183" si="1733">BN364-BM364</f>
        <v>0</v>
      </c>
      <c r="BO183" s="569">
        <f t="shared" si="1733"/>
        <v>0</v>
      </c>
      <c r="BP183" s="235">
        <f t="shared" si="1690"/>
        <v>0</v>
      </c>
      <c r="BQ183" s="27"/>
      <c r="BR183" s="569">
        <f>BR364-BP364</f>
        <v>0</v>
      </c>
      <c r="BS183" s="569">
        <f>BS364-BR364</f>
        <v>0</v>
      </c>
      <c r="BT183" s="569">
        <f t="shared" ref="BT183:BU183" si="1734">BT364-BS364</f>
        <v>0</v>
      </c>
      <c r="BU183" s="569">
        <f t="shared" si="1734"/>
        <v>0</v>
      </c>
      <c r="BV183" s="235">
        <f t="shared" si="1691"/>
        <v>0</v>
      </c>
      <c r="BW183" s="27"/>
      <c r="BX183" s="569">
        <f>BX364-BV364</f>
        <v>0</v>
      </c>
      <c r="BY183" s="569">
        <f>BY364-BX364</f>
        <v>-193</v>
      </c>
      <c r="BZ183" s="569">
        <f t="shared" ref="BZ183:CA183" si="1735">BZ364-BY364</f>
        <v>0</v>
      </c>
      <c r="CA183" s="569">
        <f t="shared" si="1735"/>
        <v>0</v>
      </c>
      <c r="CB183" s="235">
        <f t="shared" si="1692"/>
        <v>-193</v>
      </c>
      <c r="CC183" s="27"/>
      <c r="CD183" s="569">
        <f>CD364-CB364</f>
        <v>0</v>
      </c>
      <c r="CE183" s="569">
        <f>CE364-CD364</f>
        <v>0</v>
      </c>
      <c r="CF183" s="569">
        <f t="shared" ref="CF183:CG183" si="1736">CF364-CE364</f>
        <v>0</v>
      </c>
      <c r="CG183" s="569">
        <f t="shared" si="1736"/>
        <v>0</v>
      </c>
      <c r="CH183" s="235">
        <f t="shared" si="1693"/>
        <v>0</v>
      </c>
      <c r="CI183" s="27"/>
      <c r="CJ183" s="569">
        <f>CJ364-CH364</f>
        <v>-495</v>
      </c>
      <c r="CK183" s="569">
        <f>CK364-CJ364</f>
        <v>-241</v>
      </c>
      <c r="CL183" s="569">
        <f t="shared" ref="CL183:CM183" si="1737">CL364-CK364</f>
        <v>0</v>
      </c>
      <c r="CM183" s="569">
        <f t="shared" si="1737"/>
        <v>0</v>
      </c>
      <c r="CN183" s="235">
        <f t="shared" si="1694"/>
        <v>-736</v>
      </c>
    </row>
    <row r="184" spans="1:92" ht="12.95" customHeight="1" x14ac:dyDescent="0.25">
      <c r="B184" s="2" t="s">
        <v>474</v>
      </c>
      <c r="D184" s="75">
        <v>381</v>
      </c>
      <c r="E184" s="255">
        <v>403</v>
      </c>
      <c r="F184" s="75">
        <v>470</v>
      </c>
      <c r="G184" s="255">
        <v>525</v>
      </c>
      <c r="H184" s="235">
        <f t="shared" si="1680"/>
        <v>1779</v>
      </c>
      <c r="I184" s="6"/>
      <c r="J184" s="75">
        <v>-867</v>
      </c>
      <c r="K184" s="255">
        <v>741</v>
      </c>
      <c r="L184" s="75">
        <v>1516</v>
      </c>
      <c r="M184" s="255">
        <v>-362</v>
      </c>
      <c r="N184" s="235">
        <f t="shared" si="1681"/>
        <v>1028</v>
      </c>
      <c r="O184" s="6"/>
      <c r="P184" s="75">
        <v>100</v>
      </c>
      <c r="Q184" s="255">
        <v>343</v>
      </c>
      <c r="R184" s="75">
        <v>851</v>
      </c>
      <c r="S184" s="255">
        <v>-1217</v>
      </c>
      <c r="T184" s="235">
        <f t="shared" si="1682"/>
        <v>77</v>
      </c>
      <c r="U184" s="6"/>
      <c r="V184" s="75">
        <v>-334</v>
      </c>
      <c r="W184" s="255">
        <v>-115</v>
      </c>
      <c r="X184" s="75">
        <v>1105</v>
      </c>
      <c r="Y184" s="255">
        <v>-427</v>
      </c>
      <c r="Z184" s="235">
        <f t="shared" si="1683"/>
        <v>229</v>
      </c>
      <c r="AA184" s="6"/>
      <c r="AB184" s="75">
        <v>-464</v>
      </c>
      <c r="AC184" s="255">
        <v>812</v>
      </c>
      <c r="AD184" s="75">
        <v>-621</v>
      </c>
      <c r="AE184" s="255">
        <v>-1109</v>
      </c>
      <c r="AF184" s="235">
        <f t="shared" si="1684"/>
        <v>-1382</v>
      </c>
      <c r="AG184" s="27"/>
      <c r="AH184" s="75">
        <v>750</v>
      </c>
      <c r="AI184" s="255">
        <v>-968</v>
      </c>
      <c r="AJ184" s="75">
        <v>519</v>
      </c>
      <c r="AK184" s="255">
        <v>-1330</v>
      </c>
      <c r="AL184" s="235">
        <f t="shared" si="1685"/>
        <v>-1029</v>
      </c>
      <c r="AM184" s="27"/>
      <c r="AN184" s="75">
        <v>132</v>
      </c>
      <c r="AO184" s="255">
        <v>959</v>
      </c>
      <c r="AP184" s="75">
        <v>909</v>
      </c>
      <c r="AQ184" s="255">
        <v>45</v>
      </c>
      <c r="AR184" s="235">
        <f t="shared" si="1686"/>
        <v>2045</v>
      </c>
      <c r="AS184" s="27"/>
      <c r="AT184" s="75">
        <v>1167</v>
      </c>
      <c r="AU184" s="255">
        <v>-1219</v>
      </c>
      <c r="AV184" s="255">
        <v>1790</v>
      </c>
      <c r="AW184" s="620"/>
      <c r="AX184" s="235">
        <f t="shared" si="1687"/>
        <v>1738</v>
      </c>
      <c r="AY184" s="27"/>
      <c r="AZ184" s="27">
        <v>0</v>
      </c>
      <c r="BA184" s="27">
        <v>0</v>
      </c>
      <c r="BB184" s="27">
        <v>0</v>
      </c>
      <c r="BC184" s="27">
        <v>0</v>
      </c>
      <c r="BD184" s="235">
        <f t="shared" si="1688"/>
        <v>0</v>
      </c>
      <c r="BE184" s="27"/>
      <c r="BF184" s="27">
        <v>0</v>
      </c>
      <c r="BG184" s="27">
        <v>0</v>
      </c>
      <c r="BH184" s="27">
        <v>0</v>
      </c>
      <c r="BI184" s="27">
        <v>0</v>
      </c>
      <c r="BJ184" s="235">
        <f t="shared" si="1689"/>
        <v>0</v>
      </c>
      <c r="BK184" s="27"/>
      <c r="BL184" s="27">
        <v>0</v>
      </c>
      <c r="BM184" s="27">
        <v>0</v>
      </c>
      <c r="BN184" s="27">
        <v>0</v>
      </c>
      <c r="BO184" s="27">
        <v>0</v>
      </c>
      <c r="BP184" s="235">
        <f t="shared" si="1690"/>
        <v>0</v>
      </c>
      <c r="BQ184" s="27"/>
      <c r="BR184" s="27">
        <v>0</v>
      </c>
      <c r="BS184" s="27">
        <v>0</v>
      </c>
      <c r="BT184" s="27">
        <v>0</v>
      </c>
      <c r="BU184" s="27">
        <v>0</v>
      </c>
      <c r="BV184" s="235">
        <f t="shared" si="1691"/>
        <v>0</v>
      </c>
      <c r="BW184" s="27"/>
      <c r="BX184" s="27">
        <v>0</v>
      </c>
      <c r="BY184" s="27">
        <v>0</v>
      </c>
      <c r="BZ184" s="27">
        <v>0</v>
      </c>
      <c r="CA184" s="27">
        <v>0</v>
      </c>
      <c r="CB184" s="235">
        <f t="shared" si="1692"/>
        <v>0</v>
      </c>
      <c r="CC184" s="27"/>
      <c r="CD184" s="27">
        <v>0</v>
      </c>
      <c r="CE184" s="27">
        <v>0</v>
      </c>
      <c r="CF184" s="27">
        <v>0</v>
      </c>
      <c r="CG184" s="27">
        <v>0</v>
      </c>
      <c r="CH184" s="235">
        <f t="shared" si="1693"/>
        <v>0</v>
      </c>
      <c r="CI184" s="27"/>
      <c r="CJ184" s="27">
        <v>0</v>
      </c>
      <c r="CK184" s="27">
        <v>0</v>
      </c>
      <c r="CL184" s="27">
        <v>0</v>
      </c>
      <c r="CM184" s="27">
        <v>0</v>
      </c>
      <c r="CN184" s="235">
        <f t="shared" si="1694"/>
        <v>0</v>
      </c>
    </row>
    <row r="185" spans="1:92" ht="12.95" customHeight="1" x14ac:dyDescent="0.25">
      <c r="B185" s="26" t="s">
        <v>475</v>
      </c>
      <c r="C185" s="26"/>
      <c r="D185" s="477">
        <v>618</v>
      </c>
      <c r="E185" s="477">
        <v>-1123</v>
      </c>
      <c r="F185" s="477">
        <v>-1898</v>
      </c>
      <c r="G185" s="477">
        <v>-655</v>
      </c>
      <c r="H185" s="28">
        <f t="shared" si="1680"/>
        <v>-3058</v>
      </c>
      <c r="I185" s="475"/>
      <c r="J185" s="477">
        <v>1151</v>
      </c>
      <c r="K185" s="477">
        <v>336</v>
      </c>
      <c r="L185" s="477">
        <v>-1952</v>
      </c>
      <c r="M185" s="477">
        <v>1227</v>
      </c>
      <c r="N185" s="28">
        <f t="shared" si="1681"/>
        <v>762</v>
      </c>
      <c r="O185" s="475"/>
      <c r="P185" s="477">
        <v>-522</v>
      </c>
      <c r="Q185" s="477">
        <v>86</v>
      </c>
      <c r="R185" s="477">
        <v>-570</v>
      </c>
      <c r="S185" s="477">
        <v>868</v>
      </c>
      <c r="T185" s="28">
        <f t="shared" si="1682"/>
        <v>-138</v>
      </c>
      <c r="U185" s="475"/>
      <c r="V185" s="477">
        <v>-40</v>
      </c>
      <c r="W185" s="477">
        <v>-437</v>
      </c>
      <c r="X185" s="477">
        <v>-1661</v>
      </c>
      <c r="Y185" s="477">
        <v>-666</v>
      </c>
      <c r="Z185" s="28">
        <f t="shared" si="1683"/>
        <v>-2804</v>
      </c>
      <c r="AA185" s="475"/>
      <c r="AB185" s="477">
        <v>1659</v>
      </c>
      <c r="AC185" s="477">
        <v>-199</v>
      </c>
      <c r="AD185" s="477">
        <v>-136</v>
      </c>
      <c r="AE185" s="477">
        <v>2164</v>
      </c>
      <c r="AF185" s="28">
        <f t="shared" si="1684"/>
        <v>3488</v>
      </c>
      <c r="AG185" s="28"/>
      <c r="AH185" s="477">
        <v>-1016</v>
      </c>
      <c r="AI185" s="477">
        <v>463</v>
      </c>
      <c r="AJ185" s="477">
        <v>-758</v>
      </c>
      <c r="AK185" s="477">
        <v>1713</v>
      </c>
      <c r="AL185" s="28">
        <f t="shared" si="1685"/>
        <v>402</v>
      </c>
      <c r="AM185" s="28"/>
      <c r="AN185" s="477">
        <v>-103</v>
      </c>
      <c r="AO185" s="477">
        <v>-303</v>
      </c>
      <c r="AP185" s="477">
        <v>-1320</v>
      </c>
      <c r="AQ185" s="477">
        <v>381</v>
      </c>
      <c r="AR185" s="28">
        <f t="shared" si="1686"/>
        <v>-1345</v>
      </c>
      <c r="AS185" s="28"/>
      <c r="AT185" s="477">
        <v>-1050</v>
      </c>
      <c r="AU185" s="477">
        <v>1737</v>
      </c>
      <c r="AV185" s="477">
        <v>-1535</v>
      </c>
      <c r="AW185" s="621"/>
      <c r="AX185" s="28">
        <f t="shared" si="1687"/>
        <v>-848</v>
      </c>
      <c r="AY185" s="28"/>
      <c r="AZ185" s="28">
        <v>0</v>
      </c>
      <c r="BA185" s="28">
        <v>0</v>
      </c>
      <c r="BB185" s="28">
        <v>0</v>
      </c>
      <c r="BC185" s="28">
        <v>0</v>
      </c>
      <c r="BD185" s="28">
        <f t="shared" si="1688"/>
        <v>0</v>
      </c>
      <c r="BE185" s="28"/>
      <c r="BF185" s="28">
        <v>0</v>
      </c>
      <c r="BG185" s="28">
        <v>0</v>
      </c>
      <c r="BH185" s="28">
        <v>0</v>
      </c>
      <c r="BI185" s="28">
        <v>0</v>
      </c>
      <c r="BJ185" s="28">
        <f t="shared" si="1689"/>
        <v>0</v>
      </c>
      <c r="BK185" s="28"/>
      <c r="BL185" s="28">
        <v>0</v>
      </c>
      <c r="BM185" s="28">
        <v>0</v>
      </c>
      <c r="BN185" s="28">
        <v>0</v>
      </c>
      <c r="BO185" s="28">
        <v>0</v>
      </c>
      <c r="BP185" s="28">
        <f t="shared" si="1690"/>
        <v>0</v>
      </c>
      <c r="BQ185" s="28"/>
      <c r="BR185" s="28">
        <v>0</v>
      </c>
      <c r="BS185" s="28">
        <v>0</v>
      </c>
      <c r="BT185" s="28">
        <v>0</v>
      </c>
      <c r="BU185" s="28">
        <v>0</v>
      </c>
      <c r="BV185" s="28">
        <f t="shared" si="1691"/>
        <v>0</v>
      </c>
      <c r="BW185" s="28"/>
      <c r="BX185" s="28">
        <v>0</v>
      </c>
      <c r="BY185" s="28">
        <v>0</v>
      </c>
      <c r="BZ185" s="28">
        <v>0</v>
      </c>
      <c r="CA185" s="28">
        <v>0</v>
      </c>
      <c r="CB185" s="28">
        <f t="shared" si="1692"/>
        <v>0</v>
      </c>
      <c r="CC185" s="28"/>
      <c r="CD185" s="28">
        <v>0</v>
      </c>
      <c r="CE185" s="28">
        <v>0</v>
      </c>
      <c r="CF185" s="28">
        <v>0</v>
      </c>
      <c r="CG185" s="28">
        <v>0</v>
      </c>
      <c r="CH185" s="28">
        <f t="shared" si="1693"/>
        <v>0</v>
      </c>
      <c r="CI185" s="28"/>
      <c r="CJ185" s="28">
        <v>0</v>
      </c>
      <c r="CK185" s="28">
        <v>0</v>
      </c>
      <c r="CL185" s="28">
        <v>0</v>
      </c>
      <c r="CM185" s="28">
        <v>0</v>
      </c>
      <c r="CN185" s="28">
        <f t="shared" si="1694"/>
        <v>0</v>
      </c>
    </row>
    <row r="186" spans="1:92" ht="12.95" customHeight="1" x14ac:dyDescent="0.25">
      <c r="B186" s="2" t="s">
        <v>476</v>
      </c>
      <c r="D186" s="104">
        <f>SUM(D183:D185)</f>
        <v>1355</v>
      </c>
      <c r="E186" s="104">
        <f t="shared" ref="E186:H186" si="1738">SUM(E183:E185)</f>
        <v>-1220</v>
      </c>
      <c r="F186" s="104">
        <f t="shared" si="1738"/>
        <v>-1428</v>
      </c>
      <c r="G186" s="104">
        <f t="shared" si="1738"/>
        <v>-1090</v>
      </c>
      <c r="H186" s="104">
        <f t="shared" si="1738"/>
        <v>-2383</v>
      </c>
      <c r="I186" s="6"/>
      <c r="J186" s="104">
        <f>SUM(J183:J185)</f>
        <v>283</v>
      </c>
      <c r="K186" s="104">
        <f t="shared" ref="K186" si="1739">SUM(K183:K185)</f>
        <v>1075</v>
      </c>
      <c r="L186" s="104">
        <f t="shared" ref="L186" si="1740">SUM(L183:L185)</f>
        <v>-392</v>
      </c>
      <c r="M186" s="104">
        <f t="shared" ref="M186:N186" si="1741">SUM(M183:M185)</f>
        <v>874</v>
      </c>
      <c r="N186" s="104">
        <f t="shared" si="1741"/>
        <v>1840</v>
      </c>
      <c r="O186" s="6"/>
      <c r="P186" s="104">
        <f>SUM(P183:P185)</f>
        <v>-424</v>
      </c>
      <c r="Q186" s="104">
        <f t="shared" ref="Q186" si="1742">SUM(Q183:Q185)</f>
        <v>427</v>
      </c>
      <c r="R186" s="104">
        <f t="shared" ref="R186" si="1743">SUM(R183:R185)</f>
        <v>1756</v>
      </c>
      <c r="S186" s="104">
        <f t="shared" ref="S186:T186" si="1744">SUM(S183:S185)</f>
        <v>-353</v>
      </c>
      <c r="T186" s="104">
        <f t="shared" si="1744"/>
        <v>1406</v>
      </c>
      <c r="U186" s="6"/>
      <c r="V186" s="104">
        <f>SUM(V183:V185)</f>
        <v>-365</v>
      </c>
      <c r="W186" s="104">
        <f t="shared" ref="W186" si="1745">SUM(W183:W185)</f>
        <v>1418</v>
      </c>
      <c r="X186" s="104">
        <f t="shared" ref="X186" si="1746">SUM(X183:X185)</f>
        <v>-562</v>
      </c>
      <c r="Y186" s="104">
        <f t="shared" ref="Y186:Z186" si="1747">SUM(Y183:Y185)</f>
        <v>-1101</v>
      </c>
      <c r="Z186" s="104">
        <f t="shared" si="1747"/>
        <v>-610</v>
      </c>
      <c r="AA186" s="6"/>
      <c r="AB186" s="104">
        <f>SUM(AB183:AB185)</f>
        <v>1045</v>
      </c>
      <c r="AC186" s="104">
        <f t="shared" ref="AC186" si="1748">SUM(AC183:AC185)</f>
        <v>-645</v>
      </c>
      <c r="AD186" s="104">
        <f t="shared" ref="AD186" si="1749">SUM(AD183:AD185)</f>
        <v>-765</v>
      </c>
      <c r="AE186" s="104">
        <f t="shared" ref="AE186:AF186" si="1750">SUM(AE183:AE185)</f>
        <v>1046</v>
      </c>
      <c r="AF186" s="104">
        <f t="shared" si="1750"/>
        <v>681</v>
      </c>
      <c r="AG186" s="27"/>
      <c r="AH186" s="104">
        <f>SUM(AH183:AH185)</f>
        <v>-272</v>
      </c>
      <c r="AI186" s="104">
        <f t="shared" ref="AI186" si="1751">SUM(AI183:AI185)</f>
        <v>-512</v>
      </c>
      <c r="AJ186" s="104">
        <f t="shared" ref="AJ186" si="1752">SUM(AJ183:AJ185)</f>
        <v>-246</v>
      </c>
      <c r="AK186" s="104">
        <f t="shared" ref="AK186:AL186" si="1753">SUM(AK183:AK185)</f>
        <v>378</v>
      </c>
      <c r="AL186" s="104">
        <f t="shared" si="1753"/>
        <v>-652</v>
      </c>
      <c r="AM186" s="27"/>
      <c r="AN186" s="104">
        <f>SUM(AN183:AN185)</f>
        <v>-61</v>
      </c>
      <c r="AO186" s="104">
        <f t="shared" ref="AO186" si="1754">SUM(AO183:AO185)</f>
        <v>651</v>
      </c>
      <c r="AP186" s="104">
        <f t="shared" ref="AP186" si="1755">SUM(AP183:AP185)</f>
        <v>-415</v>
      </c>
      <c r="AQ186" s="104">
        <f t="shared" ref="AQ186:AR186" si="1756">SUM(AQ183:AQ185)</f>
        <v>419</v>
      </c>
      <c r="AR186" s="104">
        <f t="shared" si="1756"/>
        <v>594</v>
      </c>
      <c r="AS186" s="27"/>
      <c r="AT186" s="104">
        <f>SUM(AT183:AT185)</f>
        <v>111</v>
      </c>
      <c r="AU186" s="104">
        <f t="shared" ref="AU186:AX186" si="1757">SUM(AU183:AU185)</f>
        <v>-490</v>
      </c>
      <c r="AV186" s="246">
        <f t="shared" si="1757"/>
        <v>248</v>
      </c>
      <c r="AW186" s="196">
        <f t="shared" si="1757"/>
        <v>0</v>
      </c>
      <c r="AX186" s="104">
        <f t="shared" si="1757"/>
        <v>-131</v>
      </c>
      <c r="AY186" s="27"/>
      <c r="AZ186" s="27">
        <f>SUM(AZ183:AZ185)</f>
        <v>-145</v>
      </c>
      <c r="BA186" s="27">
        <f t="shared" ref="BA186:BD186" si="1758">SUM(BA183:BA185)</f>
        <v>0</v>
      </c>
      <c r="BB186" s="27">
        <f t="shared" si="1758"/>
        <v>0</v>
      </c>
      <c r="BC186" s="27">
        <f t="shared" si="1758"/>
        <v>0</v>
      </c>
      <c r="BD186" s="104">
        <f t="shared" si="1758"/>
        <v>-145</v>
      </c>
      <c r="BE186" s="27"/>
      <c r="BF186" s="27">
        <f>SUM(BF183:BF185)</f>
        <v>0</v>
      </c>
      <c r="BG186" s="27">
        <f t="shared" ref="BG186:BJ186" si="1759">SUM(BG183:BG185)</f>
        <v>0</v>
      </c>
      <c r="BH186" s="27">
        <f t="shared" si="1759"/>
        <v>0</v>
      </c>
      <c r="BI186" s="27">
        <f t="shared" si="1759"/>
        <v>0</v>
      </c>
      <c r="BJ186" s="104">
        <f t="shared" si="1759"/>
        <v>0</v>
      </c>
      <c r="BK186" s="27"/>
      <c r="BL186" s="27">
        <f>SUM(BL183:BL185)</f>
        <v>0</v>
      </c>
      <c r="BM186" s="27">
        <f t="shared" ref="BM186:BP186" si="1760">SUM(BM183:BM185)</f>
        <v>0</v>
      </c>
      <c r="BN186" s="27">
        <f t="shared" si="1760"/>
        <v>0</v>
      </c>
      <c r="BO186" s="27">
        <f t="shared" si="1760"/>
        <v>0</v>
      </c>
      <c r="BP186" s="104">
        <f t="shared" si="1760"/>
        <v>0</v>
      </c>
      <c r="BQ186" s="27"/>
      <c r="BR186" s="27">
        <f>SUM(BR183:BR185)</f>
        <v>0</v>
      </c>
      <c r="BS186" s="27">
        <f t="shared" ref="BS186:BV186" si="1761">SUM(BS183:BS185)</f>
        <v>0</v>
      </c>
      <c r="BT186" s="27">
        <f t="shared" si="1761"/>
        <v>0</v>
      </c>
      <c r="BU186" s="27">
        <f t="shared" si="1761"/>
        <v>0</v>
      </c>
      <c r="BV186" s="104">
        <f t="shared" si="1761"/>
        <v>0</v>
      </c>
      <c r="BW186" s="27"/>
      <c r="BX186" s="27">
        <f>SUM(BX183:BX185)</f>
        <v>0</v>
      </c>
      <c r="BY186" s="27">
        <f t="shared" ref="BY186:CB186" si="1762">SUM(BY183:BY185)</f>
        <v>-193</v>
      </c>
      <c r="BZ186" s="27">
        <f t="shared" si="1762"/>
        <v>0</v>
      </c>
      <c r="CA186" s="27">
        <f t="shared" si="1762"/>
        <v>0</v>
      </c>
      <c r="CB186" s="104">
        <f t="shared" si="1762"/>
        <v>-193</v>
      </c>
      <c r="CC186" s="27"/>
      <c r="CD186" s="27">
        <f>SUM(CD183:CD185)</f>
        <v>0</v>
      </c>
      <c r="CE186" s="27">
        <f t="shared" ref="CE186:CH186" si="1763">SUM(CE183:CE185)</f>
        <v>0</v>
      </c>
      <c r="CF186" s="27">
        <f t="shared" si="1763"/>
        <v>0</v>
      </c>
      <c r="CG186" s="27">
        <f t="shared" si="1763"/>
        <v>0</v>
      </c>
      <c r="CH186" s="104">
        <f t="shared" si="1763"/>
        <v>0</v>
      </c>
      <c r="CI186" s="27"/>
      <c r="CJ186" s="27">
        <f>SUM(CJ183:CJ185)</f>
        <v>-495</v>
      </c>
      <c r="CK186" s="27">
        <f t="shared" ref="CK186:CN186" si="1764">SUM(CK183:CK185)</f>
        <v>-241</v>
      </c>
      <c r="CL186" s="27">
        <f t="shared" si="1764"/>
        <v>0</v>
      </c>
      <c r="CM186" s="27">
        <f t="shared" si="1764"/>
        <v>0</v>
      </c>
      <c r="CN186" s="104">
        <f t="shared" si="1764"/>
        <v>-736</v>
      </c>
    </row>
    <row r="187" spans="1:92" ht="12.95" customHeight="1" x14ac:dyDescent="0.25">
      <c r="B187" s="2" t="s">
        <v>477</v>
      </c>
      <c r="D187" s="75">
        <v>-6</v>
      </c>
      <c r="E187" s="255">
        <v>0</v>
      </c>
      <c r="F187" s="75">
        <v>-1</v>
      </c>
      <c r="G187" s="255">
        <v>-2</v>
      </c>
      <c r="H187" s="28">
        <f t="shared" si="1680"/>
        <v>-9</v>
      </c>
      <c r="I187" s="6"/>
      <c r="J187" s="75">
        <v>-3</v>
      </c>
      <c r="K187" s="255">
        <v>-1</v>
      </c>
      <c r="L187" s="75">
        <v>-28</v>
      </c>
      <c r="M187" s="255">
        <v>-22</v>
      </c>
      <c r="N187" s="28">
        <f t="shared" si="1681"/>
        <v>-54</v>
      </c>
      <c r="O187" s="6"/>
      <c r="P187" s="75">
        <v>-1</v>
      </c>
      <c r="Q187" s="255">
        <v>-1</v>
      </c>
      <c r="R187" s="75">
        <v>0</v>
      </c>
      <c r="S187" s="255">
        <v>-1</v>
      </c>
      <c r="T187" s="28">
        <f t="shared" si="1682"/>
        <v>-3</v>
      </c>
      <c r="U187" s="6"/>
      <c r="V187" s="75">
        <v>-1</v>
      </c>
      <c r="W187" s="255">
        <v>0</v>
      </c>
      <c r="X187" s="75">
        <v>0</v>
      </c>
      <c r="Y187" s="255">
        <v>0</v>
      </c>
      <c r="Z187" s="28">
        <f t="shared" si="1683"/>
        <v>-1</v>
      </c>
      <c r="AA187" s="6"/>
      <c r="AB187" s="75">
        <v>-2</v>
      </c>
      <c r="AC187" s="255">
        <v>0</v>
      </c>
      <c r="AD187" s="75">
        <v>-2</v>
      </c>
      <c r="AE187" s="255">
        <v>0</v>
      </c>
      <c r="AF187" s="28">
        <f t="shared" si="1684"/>
        <v>-4</v>
      </c>
      <c r="AG187" s="27"/>
      <c r="AH187" s="75">
        <v>0</v>
      </c>
      <c r="AI187" s="255">
        <v>0</v>
      </c>
      <c r="AJ187" s="75">
        <v>-1</v>
      </c>
      <c r="AK187" s="255">
        <v>-9</v>
      </c>
      <c r="AL187" s="28">
        <f t="shared" si="1685"/>
        <v>-10</v>
      </c>
      <c r="AM187" s="27"/>
      <c r="AN187" s="75">
        <v>0</v>
      </c>
      <c r="AO187" s="255">
        <v>0</v>
      </c>
      <c r="AP187" s="75">
        <v>0</v>
      </c>
      <c r="AQ187" s="255">
        <v>0</v>
      </c>
      <c r="AR187" s="28">
        <f t="shared" si="1686"/>
        <v>0</v>
      </c>
      <c r="AS187" s="27"/>
      <c r="AT187" s="75">
        <v>0</v>
      </c>
      <c r="AU187" s="255">
        <v>0</v>
      </c>
      <c r="AV187" s="255">
        <v>0</v>
      </c>
      <c r="AW187" s="355">
        <v>0</v>
      </c>
      <c r="AX187" s="28">
        <f t="shared" si="1687"/>
        <v>0</v>
      </c>
      <c r="AY187" s="27"/>
      <c r="AZ187" s="27">
        <v>0</v>
      </c>
      <c r="BA187" s="27">
        <v>0</v>
      </c>
      <c r="BB187" s="27">
        <v>0</v>
      </c>
      <c r="BC187" s="27">
        <v>0</v>
      </c>
      <c r="BD187" s="28">
        <f t="shared" si="1688"/>
        <v>0</v>
      </c>
      <c r="BE187" s="27"/>
      <c r="BF187" s="27">
        <v>0</v>
      </c>
      <c r="BG187" s="27">
        <v>0</v>
      </c>
      <c r="BH187" s="27">
        <v>0</v>
      </c>
      <c r="BI187" s="27">
        <v>0</v>
      </c>
      <c r="BJ187" s="28">
        <f t="shared" ref="BJ187" si="1765">SUM(BF187:BI187)</f>
        <v>0</v>
      </c>
      <c r="BK187" s="27"/>
      <c r="BL187" s="27">
        <v>0</v>
      </c>
      <c r="BM187" s="27">
        <v>0</v>
      </c>
      <c r="BN187" s="27">
        <v>0</v>
      </c>
      <c r="BO187" s="27">
        <v>0</v>
      </c>
      <c r="BP187" s="28">
        <f t="shared" ref="BP187" si="1766">SUM(BL187:BO187)</f>
        <v>0</v>
      </c>
      <c r="BQ187" s="27"/>
      <c r="BR187" s="27">
        <v>0</v>
      </c>
      <c r="BS187" s="27">
        <v>0</v>
      </c>
      <c r="BT187" s="27">
        <v>0</v>
      </c>
      <c r="BU187" s="27">
        <v>0</v>
      </c>
      <c r="BV187" s="28">
        <f t="shared" ref="BV187" si="1767">SUM(BR187:BU187)</f>
        <v>0</v>
      </c>
      <c r="BW187" s="27"/>
      <c r="BX187" s="27">
        <v>0</v>
      </c>
      <c r="BY187" s="27">
        <v>0</v>
      </c>
      <c r="BZ187" s="27">
        <v>0</v>
      </c>
      <c r="CA187" s="27">
        <v>0</v>
      </c>
      <c r="CB187" s="28">
        <f t="shared" ref="CB187" si="1768">SUM(BX187:CA187)</f>
        <v>0</v>
      </c>
      <c r="CC187" s="27"/>
      <c r="CD187" s="27">
        <v>0</v>
      </c>
      <c r="CE187" s="27">
        <v>0</v>
      </c>
      <c r="CF187" s="27">
        <v>0</v>
      </c>
      <c r="CG187" s="27">
        <v>0</v>
      </c>
      <c r="CH187" s="28">
        <f t="shared" ref="CH187" si="1769">SUM(CD187:CG187)</f>
        <v>0</v>
      </c>
      <c r="CI187" s="27"/>
      <c r="CJ187" s="27">
        <v>0</v>
      </c>
      <c r="CK187" s="27">
        <v>0</v>
      </c>
      <c r="CL187" s="27">
        <v>0</v>
      </c>
      <c r="CM187" s="27">
        <v>0</v>
      </c>
      <c r="CN187" s="28">
        <f t="shared" ref="CN187" si="1770">SUM(CJ187:CM187)</f>
        <v>0</v>
      </c>
    </row>
    <row r="188" spans="1:92" ht="12.95" customHeight="1" x14ac:dyDescent="0.25">
      <c r="B188" s="19" t="s">
        <v>81</v>
      </c>
      <c r="C188" s="19"/>
      <c r="D188" s="77">
        <f>SUM(D186:D187,D182,D179)</f>
        <v>878</v>
      </c>
      <c r="E188" s="77">
        <f t="shared" ref="E188:H188" si="1771">SUM(E186:E187,E182,E179)</f>
        <v>-1572</v>
      </c>
      <c r="F188" s="77">
        <f t="shared" si="1771"/>
        <v>-1620</v>
      </c>
      <c r="G188" s="77">
        <f t="shared" si="1771"/>
        <v>-1343</v>
      </c>
      <c r="H188" s="77">
        <f t="shared" si="1771"/>
        <v>-3657</v>
      </c>
      <c r="I188" s="20"/>
      <c r="J188" s="77">
        <f>SUM(J186:J187,J182,J179)</f>
        <v>-538</v>
      </c>
      <c r="K188" s="77">
        <f t="shared" ref="K188" si="1772">SUM(K186:K187,K182,K179)</f>
        <v>-35</v>
      </c>
      <c r="L188" s="77">
        <f t="shared" ref="L188" si="1773">SUM(L186:L187,L182,L179)</f>
        <v>-1645</v>
      </c>
      <c r="M188" s="77">
        <f t="shared" ref="M188:N188" si="1774">SUM(M186:M187,M182,M179)</f>
        <v>-1432</v>
      </c>
      <c r="N188" s="77">
        <f t="shared" si="1774"/>
        <v>-3650</v>
      </c>
      <c r="O188" s="20"/>
      <c r="P188" s="77">
        <f>SUM(P186:P187,P182,P179)</f>
        <v>-1675</v>
      </c>
      <c r="Q188" s="77">
        <f t="shared" ref="Q188" si="1775">SUM(Q186:Q187,Q182,Q179)</f>
        <v>-1376</v>
      </c>
      <c r="R188" s="77">
        <f t="shared" ref="R188" si="1776">SUM(R186:R187,R182,R179)</f>
        <v>20</v>
      </c>
      <c r="S188" s="77">
        <f t="shared" ref="S188:T188" si="1777">SUM(S186:S187,S182,S179)</f>
        <v>-1507</v>
      </c>
      <c r="T188" s="77">
        <f t="shared" si="1777"/>
        <v>-4538</v>
      </c>
      <c r="U188" s="20"/>
      <c r="V188" s="77">
        <f>SUM(V186:V187,V182,V179)</f>
        <v>-1999</v>
      </c>
      <c r="W188" s="77">
        <f t="shared" ref="W188" si="1778">SUM(W186:W187,W182,W179)</f>
        <v>786</v>
      </c>
      <c r="X188" s="77">
        <f t="shared" ref="X188" si="1779">SUM(X186:X187,X182,X179)</f>
        <v>-1000</v>
      </c>
      <c r="Y188" s="77">
        <f t="shared" ref="Y188:Z188" si="1780">SUM(Y186:Y187,Y182,Y179)</f>
        <v>-1542</v>
      </c>
      <c r="Z188" s="77">
        <f t="shared" si="1780"/>
        <v>-3755</v>
      </c>
      <c r="AA188" s="20"/>
      <c r="AB188" s="77">
        <f>SUM(AB186:AB187,AB182,AB179)</f>
        <v>546</v>
      </c>
      <c r="AC188" s="77">
        <f t="shared" ref="AC188" si="1781">SUM(AC186:AC187,AC182,AC179)</f>
        <v>-1402</v>
      </c>
      <c r="AD188" s="77">
        <f t="shared" ref="AD188" si="1782">SUM(AD186:AD187,AD182,AD179)</f>
        <v>-2746</v>
      </c>
      <c r="AE188" s="77">
        <f t="shared" ref="AE188:AF188" si="1783">SUM(AE186:AE187,AE182,AE179)</f>
        <v>-586</v>
      </c>
      <c r="AF188" s="77">
        <f t="shared" si="1783"/>
        <v>-4188</v>
      </c>
      <c r="AG188" s="77"/>
      <c r="AH188" s="77">
        <f>SUM(AH186:AH187,AH182,AH179)</f>
        <v>-1715</v>
      </c>
      <c r="AI188" s="77">
        <f t="shared" ref="AI188" si="1784">SUM(AI186:AI187,AI182,AI179)</f>
        <v>-2176</v>
      </c>
      <c r="AJ188" s="77">
        <f t="shared" ref="AJ188" si="1785">SUM(AJ186:AJ187,AJ182,AJ179)</f>
        <v>-2267</v>
      </c>
      <c r="AK188" s="77">
        <f t="shared" ref="AK188:AL188" si="1786">SUM(AK186:AK187,AK182,AK179)</f>
        <v>-1123</v>
      </c>
      <c r="AL188" s="77">
        <f t="shared" si="1786"/>
        <v>-7281</v>
      </c>
      <c r="AM188" s="77"/>
      <c r="AN188" s="77">
        <f>SUM(AN186:AN187,AN182,AN179)</f>
        <v>-1106</v>
      </c>
      <c r="AO188" s="77">
        <f t="shared" ref="AO188" si="1787">SUM(AO186:AO187,AO182,AO179)</f>
        <v>-1393</v>
      </c>
      <c r="AP188" s="77">
        <f t="shared" ref="AP188" si="1788">SUM(AP186:AP187,AP182,AP179)</f>
        <v>-1400</v>
      </c>
      <c r="AQ188" s="77">
        <f t="shared" ref="AQ188:AR188" si="1789">SUM(AQ186:AQ187,AQ182,AQ179)</f>
        <v>-3033</v>
      </c>
      <c r="AR188" s="77">
        <f t="shared" si="1789"/>
        <v>-6932</v>
      </c>
      <c r="AS188" s="77"/>
      <c r="AT188" s="77">
        <f>SUM(AT186:AT187,AT182,AT179)</f>
        <v>-5000</v>
      </c>
      <c r="AU188" s="77">
        <f t="shared" ref="AU188" si="1790">SUM(AU186:AU187,AU182,AU179)</f>
        <v>-2929</v>
      </c>
      <c r="AV188" s="77">
        <f t="shared" ref="AV188" si="1791">SUM(AV186:AV187,AV182,AV179)</f>
        <v>-1210</v>
      </c>
      <c r="AW188" s="354">
        <f t="shared" ref="AW188:AX188" si="1792">SUM(AW186:AW187,AW182,AW179)</f>
        <v>-1479.5886666666665</v>
      </c>
      <c r="AX188" s="77">
        <f t="shared" si="1792"/>
        <v>-10618.588666666667</v>
      </c>
      <c r="AY188" s="77"/>
      <c r="AZ188" s="77">
        <f>SUM(AZ186:AZ187,AZ182,AZ179)</f>
        <v>-2318.7136666666665</v>
      </c>
      <c r="BA188" s="77">
        <f t="shared" ref="BA188:BD188" si="1793">SUM(BA186:BA187,BA182,BA179)</f>
        <v>-2167.8386666666665</v>
      </c>
      <c r="BB188" s="77">
        <f t="shared" si="1793"/>
        <v>-2214.92076</v>
      </c>
      <c r="BC188" s="77">
        <f t="shared" si="1793"/>
        <v>-2208.5757599999997</v>
      </c>
      <c r="BD188" s="77">
        <f t="shared" si="1793"/>
        <v>-8910.0488533333337</v>
      </c>
      <c r="BE188" s="77"/>
      <c r="BF188" s="77">
        <f>SUM(BF186:BF187,BF182,BF179)</f>
        <v>-2202.2307599999999</v>
      </c>
      <c r="BG188" s="77">
        <f t="shared" ref="BG188:BJ188" si="1794">SUM(BG186:BG187,BG182,BG179)</f>
        <v>-2195.8857599999997</v>
      </c>
      <c r="BH188" s="77">
        <f t="shared" si="1794"/>
        <v>-2493.5619207999998</v>
      </c>
      <c r="BI188" s="77">
        <f t="shared" si="1794"/>
        <v>-2485.5672207999996</v>
      </c>
      <c r="BJ188" s="77">
        <f t="shared" si="1794"/>
        <v>-9377.2456615999981</v>
      </c>
      <c r="BK188" s="77"/>
      <c r="BL188" s="77">
        <f>SUM(BL186:BL187,BL182,BL179)</f>
        <v>-2477.5725207999999</v>
      </c>
      <c r="BM188" s="77">
        <f t="shared" ref="BM188:BP188" si="1795">SUM(BM186:BM187,BM182,BM179)</f>
        <v>-2469.5778208000002</v>
      </c>
      <c r="BN188" s="77">
        <f t="shared" si="1795"/>
        <v>-2518.5097704640002</v>
      </c>
      <c r="BO188" s="77">
        <f t="shared" si="1795"/>
        <v>-2509.8754944640004</v>
      </c>
      <c r="BP188" s="77">
        <f t="shared" si="1795"/>
        <v>-9975.5356065279993</v>
      </c>
      <c r="BQ188" s="77"/>
      <c r="BR188" s="77">
        <f>SUM(BR186:BR187,BR182,BR179)</f>
        <v>-2501.2412184640002</v>
      </c>
      <c r="BS188" s="77">
        <f t="shared" ref="BS188:BV188" si="1796">SUM(BS186:BS187,BS182,BS179)</f>
        <v>-2492.606942464</v>
      </c>
      <c r="BT188" s="77">
        <f t="shared" si="1796"/>
        <v>-2791.3583343411201</v>
      </c>
      <c r="BU188" s="77">
        <f t="shared" si="1796"/>
        <v>-2780.7011708211203</v>
      </c>
      <c r="BV188" s="77">
        <f t="shared" si="1796"/>
        <v>-10565.907666090241</v>
      </c>
      <c r="BW188" s="77"/>
      <c r="BX188" s="77">
        <f>SUM(BX186:BX187,BX182,BX179)</f>
        <v>-2770.0440073011205</v>
      </c>
      <c r="BY188" s="77">
        <f t="shared" ref="BY188:CB188" si="1797">SUM(BY186:BY187,BY182,BY179)</f>
        <v>-2952.3868437811207</v>
      </c>
      <c r="BZ188" s="77">
        <f t="shared" si="1797"/>
        <v>-2808.6280546820099</v>
      </c>
      <c r="CA188" s="77">
        <f t="shared" si="1797"/>
        <v>-2797.1183180804101</v>
      </c>
      <c r="CB188" s="77">
        <f t="shared" si="1797"/>
        <v>-11328.177223844661</v>
      </c>
      <c r="CC188" s="77"/>
      <c r="CD188" s="77">
        <f>SUM(CD186:CD187,CD182,CD179)</f>
        <v>-2785.6085814788103</v>
      </c>
      <c r="CE188" s="77">
        <f t="shared" ref="CE188:CH188" si="1798">SUM(CE186:CE187,CE182,CE179)</f>
        <v>-2774.09884487721</v>
      </c>
      <c r="CF188" s="77">
        <f t="shared" si="1798"/>
        <v>-3320.4886080552269</v>
      </c>
      <c r="CG188" s="77">
        <f t="shared" si="1798"/>
        <v>-3304.950463643067</v>
      </c>
      <c r="CH188" s="77">
        <f t="shared" si="1798"/>
        <v>-12185.146498054313</v>
      </c>
      <c r="CI188" s="77"/>
      <c r="CJ188" s="77">
        <f>SUM(CJ186:CJ187,CJ182,CJ179)</f>
        <v>-3784.4123192309071</v>
      </c>
      <c r="CK188" s="77">
        <f t="shared" ref="CK188:CN188" si="1799">SUM(CK186:CK187,CK182,CK179)</f>
        <v>-3514.8741748187467</v>
      </c>
      <c r="CL188" s="77">
        <f t="shared" si="1799"/>
        <v>-3319.0029128391138</v>
      </c>
      <c r="CM188" s="77">
        <f t="shared" si="1799"/>
        <v>-3302.2217168739808</v>
      </c>
      <c r="CN188" s="77">
        <f t="shared" si="1799"/>
        <v>-13920.51112376275</v>
      </c>
    </row>
    <row r="189" spans="1:92" ht="12.95" customHeight="1" x14ac:dyDescent="0.25"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27"/>
      <c r="U189" s="6"/>
      <c r="V189" s="27"/>
      <c r="W189" s="27"/>
      <c r="X189" s="27"/>
      <c r="Y189" s="27"/>
      <c r="Z189" s="27"/>
      <c r="AA189" s="6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35"/>
      <c r="AP189" s="27"/>
      <c r="AQ189" s="235"/>
      <c r="AR189" s="235"/>
      <c r="AS189" s="27"/>
      <c r="AT189" s="27"/>
      <c r="AU189" s="235"/>
      <c r="AV189" s="235"/>
      <c r="AW189" s="158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</row>
    <row r="190" spans="1:92" ht="12.95" customHeight="1" x14ac:dyDescent="0.25">
      <c r="B190" s="2" t="s">
        <v>82</v>
      </c>
      <c r="D190" s="75">
        <v>9</v>
      </c>
      <c r="E190" s="255">
        <v>4</v>
      </c>
      <c r="F190" s="75">
        <v>27</v>
      </c>
      <c r="G190" s="255">
        <v>-2</v>
      </c>
      <c r="H190" s="235">
        <f>SUM(D190:G190)</f>
        <v>38</v>
      </c>
      <c r="I190" s="6"/>
      <c r="J190" s="75">
        <v>10</v>
      </c>
      <c r="K190" s="255">
        <v>-78</v>
      </c>
      <c r="L190" s="75">
        <v>-49</v>
      </c>
      <c r="M190" s="255">
        <v>-9</v>
      </c>
      <c r="N190" s="235">
        <f>SUM(J190:M190)</f>
        <v>-126</v>
      </c>
      <c r="O190" s="6"/>
      <c r="P190" s="75">
        <v>3</v>
      </c>
      <c r="Q190" s="255">
        <v>-13</v>
      </c>
      <c r="R190" s="75">
        <v>-37</v>
      </c>
      <c r="S190" s="255">
        <v>3</v>
      </c>
      <c r="T190" s="235">
        <f>SUM(P190:S190)</f>
        <v>-44</v>
      </c>
      <c r="U190" s="6"/>
      <c r="V190" s="75">
        <v>-80</v>
      </c>
      <c r="W190" s="255">
        <v>14</v>
      </c>
      <c r="X190" s="75">
        <v>10</v>
      </c>
      <c r="Y190" s="255">
        <v>43</v>
      </c>
      <c r="Z190" s="235">
        <f>SUM(V190:Y190)</f>
        <v>-13</v>
      </c>
      <c r="AA190" s="6"/>
      <c r="AB190" s="75">
        <v>-12</v>
      </c>
      <c r="AC190" s="255">
        <v>15</v>
      </c>
      <c r="AD190" s="75">
        <v>-12</v>
      </c>
      <c r="AE190" s="255">
        <v>-20</v>
      </c>
      <c r="AF190" s="235">
        <f>SUM(AB190:AE190)</f>
        <v>-29</v>
      </c>
      <c r="AG190" s="27"/>
      <c r="AH190" s="75">
        <v>-16</v>
      </c>
      <c r="AI190" s="255">
        <v>9</v>
      </c>
      <c r="AJ190" s="75">
        <v>-72</v>
      </c>
      <c r="AK190" s="255">
        <v>-115</v>
      </c>
      <c r="AL190" s="235">
        <f>SUM(AH190:AK190)</f>
        <v>-194</v>
      </c>
      <c r="AM190" s="27"/>
      <c r="AN190" s="75">
        <v>-1</v>
      </c>
      <c r="AO190" s="255">
        <v>-59</v>
      </c>
      <c r="AP190" s="75">
        <v>-59</v>
      </c>
      <c r="AQ190" s="255">
        <v>9</v>
      </c>
      <c r="AR190" s="235">
        <f>SUM(AN190:AQ190)</f>
        <v>-110</v>
      </c>
      <c r="AS190" s="27"/>
      <c r="AT190" s="75">
        <v>-30</v>
      </c>
      <c r="AU190" s="255">
        <v>13</v>
      </c>
      <c r="AV190" s="255">
        <v>-22</v>
      </c>
      <c r="AW190" s="604">
        <v>0</v>
      </c>
      <c r="AX190" s="235">
        <f>SUM(AT190:AW190)</f>
        <v>-39</v>
      </c>
      <c r="AY190" s="27"/>
      <c r="AZ190" s="561">
        <v>0</v>
      </c>
      <c r="BA190" s="561">
        <v>0</v>
      </c>
      <c r="BB190" s="561">
        <v>0</v>
      </c>
      <c r="BC190" s="561">
        <v>0</v>
      </c>
      <c r="BD190" s="27">
        <f>SUM(AZ190:BC190)</f>
        <v>0</v>
      </c>
      <c r="BE190" s="27"/>
      <c r="BF190" s="561">
        <v>0</v>
      </c>
      <c r="BG190" s="561">
        <v>0</v>
      </c>
      <c r="BH190" s="561">
        <v>0</v>
      </c>
      <c r="BI190" s="561">
        <v>0</v>
      </c>
      <c r="BJ190" s="27">
        <f>SUM(BF190:BI190)</f>
        <v>0</v>
      </c>
      <c r="BK190" s="27"/>
      <c r="BL190" s="561">
        <v>0</v>
      </c>
      <c r="BM190" s="561">
        <v>0</v>
      </c>
      <c r="BN190" s="561">
        <v>0</v>
      </c>
      <c r="BO190" s="561">
        <v>0</v>
      </c>
      <c r="BP190" s="27">
        <f>SUM(BL190:BO190)</f>
        <v>0</v>
      </c>
      <c r="BQ190" s="27"/>
      <c r="BR190" s="561">
        <v>0</v>
      </c>
      <c r="BS190" s="561">
        <v>0</v>
      </c>
      <c r="BT190" s="561">
        <v>0</v>
      </c>
      <c r="BU190" s="561">
        <v>0</v>
      </c>
      <c r="BV190" s="27">
        <f>SUM(BR190:BU190)</f>
        <v>0</v>
      </c>
      <c r="BW190" s="27"/>
      <c r="BX190" s="561">
        <v>0</v>
      </c>
      <c r="BY190" s="561">
        <v>0</v>
      </c>
      <c r="BZ190" s="561">
        <v>0</v>
      </c>
      <c r="CA190" s="561">
        <v>0</v>
      </c>
      <c r="CB190" s="27">
        <f>SUM(BX190:CA190)</f>
        <v>0</v>
      </c>
      <c r="CC190" s="27"/>
      <c r="CD190" s="561">
        <v>0</v>
      </c>
      <c r="CE190" s="561">
        <v>0</v>
      </c>
      <c r="CF190" s="561">
        <v>0</v>
      </c>
      <c r="CG190" s="561">
        <v>0</v>
      </c>
      <c r="CH190" s="27">
        <f>SUM(CD190:CG190)</f>
        <v>0</v>
      </c>
      <c r="CI190" s="27"/>
      <c r="CJ190" s="561">
        <v>0</v>
      </c>
      <c r="CK190" s="561">
        <v>0</v>
      </c>
      <c r="CL190" s="561">
        <v>0</v>
      </c>
      <c r="CM190" s="561">
        <v>0</v>
      </c>
      <c r="CN190" s="27">
        <f>SUM(CJ190:CM190)</f>
        <v>0</v>
      </c>
    </row>
    <row r="191" spans="1:92" ht="12.95" customHeight="1" x14ac:dyDescent="0.25"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27"/>
      <c r="W191" s="27"/>
      <c r="X191" s="27"/>
      <c r="Y191" s="27"/>
      <c r="Z191" s="27"/>
      <c r="AA191" s="6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35"/>
      <c r="AP191" s="27"/>
      <c r="AQ191" s="235"/>
      <c r="AR191" s="235"/>
      <c r="AS191" s="27"/>
      <c r="AT191" s="27"/>
      <c r="AU191" s="235"/>
      <c r="AV191" s="235"/>
      <c r="AW191" s="158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</row>
    <row r="192" spans="1:92" ht="12.95" customHeight="1" x14ac:dyDescent="0.25">
      <c r="B192" s="2" t="s">
        <v>83</v>
      </c>
      <c r="D192" s="6"/>
      <c r="E192" s="6"/>
      <c r="F192" s="6"/>
      <c r="G192" s="6"/>
      <c r="H192" s="6"/>
      <c r="I192" s="6"/>
      <c r="J192" s="27">
        <f>H99</f>
        <v>8261</v>
      </c>
      <c r="K192" s="27">
        <f>J99</f>
        <v>7888</v>
      </c>
      <c r="L192" s="27">
        <f>K99</f>
        <v>8654</v>
      </c>
      <c r="M192" s="27">
        <f>L99</f>
        <v>8007</v>
      </c>
      <c r="N192" s="27">
        <f>H99</f>
        <v>8261</v>
      </c>
      <c r="O192" s="6"/>
      <c r="P192" s="27">
        <f>N99</f>
        <v>7857</v>
      </c>
      <c r="Q192" s="27">
        <f>P99</f>
        <v>7128</v>
      </c>
      <c r="R192" s="27">
        <f>Q99</f>
        <v>7429</v>
      </c>
      <c r="S192" s="27">
        <f>R99</f>
        <v>7906</v>
      </c>
      <c r="T192" s="27">
        <f>N99</f>
        <v>7857</v>
      </c>
      <c r="U192" s="6"/>
      <c r="V192" s="27">
        <f>T99</f>
        <v>8284</v>
      </c>
      <c r="W192" s="27">
        <f>V99</f>
        <v>7123</v>
      </c>
      <c r="X192" s="27">
        <f>W99</f>
        <v>8784</v>
      </c>
      <c r="Y192" s="27">
        <f>X99</f>
        <v>9315</v>
      </c>
      <c r="Z192" s="27">
        <f>T99</f>
        <v>8284</v>
      </c>
      <c r="AA192" s="6"/>
      <c r="AB192" s="27">
        <f>Z99</f>
        <v>9352</v>
      </c>
      <c r="AC192" s="27">
        <f>AB99</f>
        <v>11342</v>
      </c>
      <c r="AD192" s="27">
        <f>AC99</f>
        <v>10831</v>
      </c>
      <c r="AE192" s="27">
        <f>AD99</f>
        <v>9446</v>
      </c>
      <c r="AF192" s="27">
        <f>Z99</f>
        <v>9352</v>
      </c>
      <c r="AG192" s="27"/>
      <c r="AH192" s="27">
        <f>AF99</f>
        <v>9254</v>
      </c>
      <c r="AI192" s="27">
        <f>AH99</f>
        <v>6526</v>
      </c>
      <c r="AJ192" s="27">
        <f>AI99</f>
        <v>6014</v>
      </c>
      <c r="AK192" s="27">
        <f>AJ99</f>
        <v>6346</v>
      </c>
      <c r="AL192" s="27">
        <f>AF99</f>
        <v>9254</v>
      </c>
      <c r="AM192" s="27"/>
      <c r="AN192" s="27">
        <f>AL99</f>
        <v>7004</v>
      </c>
      <c r="AO192" s="27">
        <f>AN99</f>
        <v>6789</v>
      </c>
      <c r="AP192" s="27">
        <f>AO99</f>
        <v>7387</v>
      </c>
      <c r="AQ192" s="27">
        <f>AP99</f>
        <v>6545</v>
      </c>
      <c r="AR192" s="27">
        <f>AL99</f>
        <v>7004</v>
      </c>
      <c r="AS192" s="27"/>
      <c r="AT192" s="27">
        <f>AR99</f>
        <v>6978</v>
      </c>
      <c r="AU192" s="27">
        <f>AT99</f>
        <v>4959</v>
      </c>
      <c r="AV192" s="235">
        <f>AU99</f>
        <v>4341</v>
      </c>
      <c r="AW192" s="158">
        <f>AV99</f>
        <v>5638</v>
      </c>
      <c r="AX192" s="27">
        <f>AR99</f>
        <v>6978</v>
      </c>
      <c r="AY192" s="27"/>
      <c r="AZ192" s="27">
        <f>AX99</f>
        <v>7627.0546821217149</v>
      </c>
      <c r="BA192" s="27">
        <f>AZ99</f>
        <v>5906.6664753610494</v>
      </c>
      <c r="BB192" s="235">
        <f>BA99</f>
        <v>6423.8433907215149</v>
      </c>
      <c r="BC192" s="27">
        <f>BB99</f>
        <v>7019.2077742397223</v>
      </c>
      <c r="BD192" s="27">
        <f>AX99</f>
        <v>7627.0546821217149</v>
      </c>
      <c r="BE192" s="27"/>
      <c r="BF192" s="27">
        <f>BD99</f>
        <v>8318.1652028620629</v>
      </c>
      <c r="BG192" s="27">
        <f>BF99</f>
        <v>6566.4594697638677</v>
      </c>
      <c r="BH192" s="235">
        <f>BG99</f>
        <v>7257.5426074869793</v>
      </c>
      <c r="BI192" s="27">
        <f>BH99</f>
        <v>7792.0474867872208</v>
      </c>
      <c r="BJ192" s="27">
        <f>BD99</f>
        <v>8318.1652028620629</v>
      </c>
      <c r="BK192" s="27"/>
      <c r="BL192" s="27">
        <f>BJ99</f>
        <v>9041.0535231054164</v>
      </c>
      <c r="BM192" s="27">
        <f>BL99</f>
        <v>7061.3446858793395</v>
      </c>
      <c r="BN192" s="235">
        <f>BM99</f>
        <v>7622.3851340619058</v>
      </c>
      <c r="BO192" s="27">
        <f>BN99</f>
        <v>8298.238007554557</v>
      </c>
      <c r="BP192" s="27">
        <f>BJ99</f>
        <v>9041.0535231054164</v>
      </c>
      <c r="BQ192" s="27"/>
      <c r="BR192" s="27">
        <f>BP99</f>
        <v>9699.0042121647766</v>
      </c>
      <c r="BS192" s="27">
        <f>BR99</f>
        <v>7761.1061231774538</v>
      </c>
      <c r="BT192" s="235">
        <f>BS99</f>
        <v>8433.1099538781309</v>
      </c>
      <c r="BU192" s="27">
        <f>BT99</f>
        <v>9013.185359641273</v>
      </c>
      <c r="BV192" s="27">
        <f>BP99</f>
        <v>9699.0042121647766</v>
      </c>
      <c r="BW192" s="27"/>
      <c r="BX192" s="27">
        <f>BV99</f>
        <v>10335.899481031291</v>
      </c>
      <c r="BY192" s="27">
        <f>BX99</f>
        <v>8176.9448763311293</v>
      </c>
      <c r="BZ192" s="235">
        <f>BY99</f>
        <v>8589.9201056975762</v>
      </c>
      <c r="CA192" s="27">
        <f>BZ99</f>
        <v>9360.3559029264798</v>
      </c>
      <c r="CB192" s="27">
        <f>BV99</f>
        <v>10335.899481031291</v>
      </c>
      <c r="CC192" s="27"/>
      <c r="CD192" s="27">
        <f>CB99</f>
        <v>10890.683716716772</v>
      </c>
      <c r="CE192" s="27">
        <f>CD99</f>
        <v>8788.0459856997895</v>
      </c>
      <c r="CF192" s="235">
        <f>CE99</f>
        <v>9566.4554840774217</v>
      </c>
      <c r="CG192" s="27">
        <f>CF99</f>
        <v>10039.031707752325</v>
      </c>
      <c r="CH192" s="27">
        <f>CB99</f>
        <v>10890.683716716772</v>
      </c>
      <c r="CI192" s="27"/>
      <c r="CJ192" s="27">
        <f>CH99</f>
        <v>11292.65668422077</v>
      </c>
      <c r="CK192" s="27">
        <f>CJ99</f>
        <v>8275.2032579539955</v>
      </c>
      <c r="CL192" s="235">
        <f>CK99</f>
        <v>8517.5938340589601</v>
      </c>
      <c r="CM192" s="27">
        <f>CL99</f>
        <v>9224.9522705175696</v>
      </c>
      <c r="CN192" s="27">
        <f>CH99</f>
        <v>11292.65668422077</v>
      </c>
    </row>
    <row r="193" spans="1:92" ht="12.95" customHeight="1" x14ac:dyDescent="0.25">
      <c r="B193" s="2" t="s">
        <v>84</v>
      </c>
      <c r="D193" s="6"/>
      <c r="E193" s="6"/>
      <c r="F193" s="6"/>
      <c r="G193" s="6"/>
      <c r="H193" s="6"/>
      <c r="I193" s="6"/>
      <c r="J193" s="27">
        <f>J162+J176+J188+J190</f>
        <v>-393.18000000000029</v>
      </c>
      <c r="K193" s="27">
        <f>K162+K176+K188+K190</f>
        <v>767.18000000000029</v>
      </c>
      <c r="L193" s="27">
        <f>L162+L176+L188+L190</f>
        <v>-648</v>
      </c>
      <c r="M193" s="27">
        <f>M162+M176+M188+M190</f>
        <v>-156</v>
      </c>
      <c r="N193" s="27">
        <f>N162+N176+N188+N190</f>
        <v>-430</v>
      </c>
      <c r="O193" s="6"/>
      <c r="P193" s="27">
        <f>P162+P176+P188+P190</f>
        <v>-732</v>
      </c>
      <c r="Q193" s="27">
        <f>Q162+Q176+Q188+Q190</f>
        <v>301</v>
      </c>
      <c r="R193" s="27">
        <f>R162+R176+R188+R190</f>
        <v>477</v>
      </c>
      <c r="S193" s="27">
        <f>S162+S176+S188+S190</f>
        <v>356</v>
      </c>
      <c r="T193" s="27">
        <f>T162+T176+T188+T190</f>
        <v>402</v>
      </c>
      <c r="U193" s="6"/>
      <c r="V193" s="27">
        <f>V162+V176+V188+V190</f>
        <v>-1162</v>
      </c>
      <c r="W193" s="27">
        <f>W162+W176+W188+W190</f>
        <v>1661</v>
      </c>
      <c r="X193" s="27">
        <f>X162+X176+X188+X190</f>
        <v>528</v>
      </c>
      <c r="Y193" s="27">
        <f>Y162+Y176+Y188+Y190</f>
        <v>47</v>
      </c>
      <c r="Z193" s="27">
        <f>Z162+Z176+Z188+Z190</f>
        <v>1074</v>
      </c>
      <c r="AA193" s="6"/>
      <c r="AB193" s="27">
        <f>AB162+AB176+AB188+AB190</f>
        <v>1985</v>
      </c>
      <c r="AC193" s="27">
        <f>AC162+AC176+AC188+AC190</f>
        <v>-509</v>
      </c>
      <c r="AD193" s="27">
        <f>AD162+AD176+AD188+AD190</f>
        <v>-1393</v>
      </c>
      <c r="AE193" s="27">
        <f>AE162+AE176+AE188+AE190</f>
        <v>-186</v>
      </c>
      <c r="AF193" s="27">
        <f>AF162+AF176+AF188+AF190</f>
        <v>-103</v>
      </c>
      <c r="AG193" s="27"/>
      <c r="AH193" s="27">
        <f>AH162+AH176+AH188+AH190</f>
        <v>-2731</v>
      </c>
      <c r="AI193" s="27">
        <f>AI162+AI176+AI188+AI190</f>
        <v>-509</v>
      </c>
      <c r="AJ193" s="27">
        <f>AJ162+AJ176+AJ188+AJ190</f>
        <v>332</v>
      </c>
      <c r="AK193" s="27">
        <f>AK162+AK176+AK188+AK190</f>
        <v>658</v>
      </c>
      <c r="AL193" s="27">
        <f>AL162+AL176+AL188+AL190</f>
        <v>-2250</v>
      </c>
      <c r="AM193" s="27"/>
      <c r="AN193" s="27">
        <f>AN162+AN176+AN188+AN190</f>
        <v>-217</v>
      </c>
      <c r="AO193" s="27">
        <f>AO162+AO176+AO188+AO190</f>
        <v>598</v>
      </c>
      <c r="AP193" s="27">
        <f>AP162+AP176+AP188+AP190</f>
        <v>-834</v>
      </c>
      <c r="AQ193" s="27">
        <f>AQ162+AQ176+AQ188+AQ190</f>
        <v>425</v>
      </c>
      <c r="AR193" s="27">
        <f>AR162+AR176+AR188+AR190</f>
        <v>-28</v>
      </c>
      <c r="AS193" s="27"/>
      <c r="AT193" s="27">
        <f>AT162+AT176+AT188+AT190</f>
        <v>-2020</v>
      </c>
      <c r="AU193" s="27">
        <f>AU162+AU176+AU188+AU190</f>
        <v>-617</v>
      </c>
      <c r="AV193" s="235">
        <f>AV162+AV176+AV188+AV190</f>
        <v>1297</v>
      </c>
      <c r="AW193" s="158">
        <f>AW162+AW176+AW188+AW190</f>
        <v>1989.0546821217149</v>
      </c>
      <c r="AX193" s="27">
        <f>AX162+AX176+AX188+AX190</f>
        <v>649.05468212171581</v>
      </c>
      <c r="AY193" s="27"/>
      <c r="AZ193" s="27">
        <f>AZ162+AZ176+AZ188+AZ190</f>
        <v>-1720.388206760666</v>
      </c>
      <c r="BA193" s="27">
        <f>BA162+BA176+BA188+BA190</f>
        <v>517.1769153604655</v>
      </c>
      <c r="BB193" s="28">
        <f>BB162+BB176+BB188+BB190</f>
        <v>595.36438351820743</v>
      </c>
      <c r="BC193" s="27">
        <f>BC162+BC176+BC188+BC190</f>
        <v>1298.9574286223406</v>
      </c>
      <c r="BD193" s="27">
        <f>BD162+BD176+BD188+BD190</f>
        <v>691.11052074034706</v>
      </c>
      <c r="BE193" s="27"/>
      <c r="BF193" s="27">
        <f>BF162+BF176+BF188+BF190</f>
        <v>-1751.7057330981947</v>
      </c>
      <c r="BG193" s="27">
        <f>BG162+BG176+BG188+BG190</f>
        <v>691.08313772311112</v>
      </c>
      <c r="BH193" s="28">
        <f>BH162+BH176+BH188+BH190</f>
        <v>534.50487930024156</v>
      </c>
      <c r="BI193" s="27">
        <f>BI162+BI176+BI188+BI190</f>
        <v>1249.0060363181951</v>
      </c>
      <c r="BJ193" s="27">
        <f>BJ162+BJ176+BJ188+BJ190</f>
        <v>722.88832024335352</v>
      </c>
      <c r="BK193" s="27"/>
      <c r="BL193" s="27">
        <f>BL162+BL176+BL188+BL190</f>
        <v>-1979.7088372260769</v>
      </c>
      <c r="BM193" s="27">
        <f>BM162+BM176+BM188+BM190</f>
        <v>561.04044818256671</v>
      </c>
      <c r="BN193" s="28">
        <f>BN162+BN176+BN188+BN190</f>
        <v>675.85287349265082</v>
      </c>
      <c r="BO193" s="27">
        <f>BO162+BO176+BO188+BO190</f>
        <v>1400.7662046102191</v>
      </c>
      <c r="BP193" s="27">
        <f>BP162+BP176+BP188+BP190</f>
        <v>657.95068905936205</v>
      </c>
      <c r="BQ193" s="27"/>
      <c r="BR193" s="27">
        <f>BR162+BR176+BR188+BR190</f>
        <v>-1937.8980889873228</v>
      </c>
      <c r="BS193" s="27">
        <f>BS162+BS176+BS188+BS190</f>
        <v>672.00383070067801</v>
      </c>
      <c r="BT193" s="28">
        <f>BT162+BT176+BT188+BT190</f>
        <v>580.0754057631425</v>
      </c>
      <c r="BU193" s="27">
        <f>BU162+BU176+BU188+BU190</f>
        <v>1322.7141213900168</v>
      </c>
      <c r="BV193" s="27">
        <f>BV162+BV176+BV188+BV190</f>
        <v>636.89526886651765</v>
      </c>
      <c r="BW193" s="27"/>
      <c r="BX193" s="27">
        <f>BX162+BX176+BX188+BX190</f>
        <v>-2158.9546047001613</v>
      </c>
      <c r="BY193" s="27">
        <f>BY162+BY176+BY188+BY190</f>
        <v>412.975229366446</v>
      </c>
      <c r="BZ193" s="28">
        <f>BZ162+BZ176+BZ188+BZ190</f>
        <v>770.43579722890399</v>
      </c>
      <c r="CA193" s="27">
        <f>CA162+CA176+CA188+CA190</f>
        <v>1530.3278137902935</v>
      </c>
      <c r="CB193" s="27">
        <f>CB162+CB176+CB188+CB190</f>
        <v>554.78423568548169</v>
      </c>
      <c r="CC193" s="27"/>
      <c r="CD193" s="27">
        <f>CD162+CD176+CD188+CD190</f>
        <v>-2102.6377310169828</v>
      </c>
      <c r="CE193" s="27">
        <f>CE162+CE176+CE188+CE190</f>
        <v>778.40949837763128</v>
      </c>
      <c r="CF193" s="28">
        <f>CF162+CF176+CF188+CF190</f>
        <v>472.57622367490376</v>
      </c>
      <c r="CG193" s="27">
        <f>CG162+CG176+CG188+CG190</f>
        <v>1253.6249764684458</v>
      </c>
      <c r="CH193" s="27">
        <f>CH162+CH176+CH188+CH190</f>
        <v>401.97296750399983</v>
      </c>
      <c r="CI193" s="27"/>
      <c r="CJ193" s="27">
        <f>CJ162+CJ176+CJ188+CJ190</f>
        <v>-3017.4534262667744</v>
      </c>
      <c r="CK193" s="27">
        <f>CK162+CK176+CK188+CK190</f>
        <v>242.39057610496366</v>
      </c>
      <c r="CL193" s="28">
        <f>CL162+CL176+CL188+CL190</f>
        <v>707.35843645861041</v>
      </c>
      <c r="CM193" s="27">
        <f>CM162+CM176+CM188+CM190</f>
        <v>1506.2863623429203</v>
      </c>
      <c r="CN193" s="27">
        <f>CN162+CN176+CN188+CN190</f>
        <v>-561.41805136028051</v>
      </c>
    </row>
    <row r="194" spans="1:92" ht="12.95" customHeight="1" x14ac:dyDescent="0.25">
      <c r="B194" s="19" t="s">
        <v>85</v>
      </c>
      <c r="C194" s="19"/>
      <c r="D194" s="20"/>
      <c r="E194" s="20"/>
      <c r="F194" s="20"/>
      <c r="G194" s="20"/>
      <c r="H194" s="20">
        <f>H99</f>
        <v>8261</v>
      </c>
      <c r="I194" s="20"/>
      <c r="J194" s="77">
        <f>SUM(J192:J193)</f>
        <v>7867.82</v>
      </c>
      <c r="K194" s="77">
        <f t="shared" ref="K194:N194" si="1800">SUM(K192:K193)</f>
        <v>8655.18</v>
      </c>
      <c r="L194" s="77">
        <f t="shared" si="1800"/>
        <v>8006</v>
      </c>
      <c r="M194" s="77">
        <f t="shared" si="1800"/>
        <v>7851</v>
      </c>
      <c r="N194" s="77">
        <f t="shared" si="1800"/>
        <v>7831</v>
      </c>
      <c r="O194" s="20"/>
      <c r="P194" s="77">
        <f>SUM(P192:P193)</f>
        <v>7125</v>
      </c>
      <c r="Q194" s="77">
        <f t="shared" ref="Q194" si="1801">SUM(Q192:Q193)</f>
        <v>7429</v>
      </c>
      <c r="R194" s="77">
        <f t="shared" ref="R194" si="1802">SUM(R192:R193)</f>
        <v>7906</v>
      </c>
      <c r="S194" s="77">
        <f t="shared" ref="S194" si="1803">SUM(S192:S193)</f>
        <v>8262</v>
      </c>
      <c r="T194" s="77">
        <f t="shared" ref="T194" si="1804">SUM(T192:T193)</f>
        <v>8259</v>
      </c>
      <c r="U194" s="20"/>
      <c r="V194" s="77">
        <f>SUM(V192:V193)</f>
        <v>7122</v>
      </c>
      <c r="W194" s="77">
        <f t="shared" ref="W194" si="1805">SUM(W192:W193)</f>
        <v>8784</v>
      </c>
      <c r="X194" s="77">
        <f t="shared" ref="X194" si="1806">SUM(X192:X193)</f>
        <v>9312</v>
      </c>
      <c r="Y194" s="77">
        <f t="shared" ref="Y194" si="1807">SUM(Y192:Y193)</f>
        <v>9362</v>
      </c>
      <c r="Z194" s="77">
        <f t="shared" ref="Z194" si="1808">SUM(Z192:Z193)</f>
        <v>9358</v>
      </c>
      <c r="AA194" s="20"/>
      <c r="AB194" s="77">
        <f>SUM(AB192:AB193)</f>
        <v>11337</v>
      </c>
      <c r="AC194" s="77">
        <f t="shared" ref="AC194" si="1809">SUM(AC192:AC193)</f>
        <v>10833</v>
      </c>
      <c r="AD194" s="77">
        <f t="shared" ref="AD194" si="1810">SUM(AD192:AD193)</f>
        <v>9438</v>
      </c>
      <c r="AE194" s="77">
        <f t="shared" ref="AE194" si="1811">SUM(AE192:AE193)</f>
        <v>9260</v>
      </c>
      <c r="AF194" s="77">
        <f t="shared" ref="AF194" si="1812">SUM(AF192:AF193)</f>
        <v>9249</v>
      </c>
      <c r="AG194" s="77"/>
      <c r="AH194" s="77">
        <f>SUM(AH192:AH193)</f>
        <v>6523</v>
      </c>
      <c r="AI194" s="77">
        <f t="shared" ref="AI194" si="1813">SUM(AI192:AI193)</f>
        <v>6017</v>
      </c>
      <c r="AJ194" s="77">
        <f t="shared" ref="AJ194" si="1814">SUM(AJ192:AJ193)</f>
        <v>6346</v>
      </c>
      <c r="AK194" s="77">
        <f t="shared" ref="AK194" si="1815">SUM(AK192:AK193)</f>
        <v>7004</v>
      </c>
      <c r="AL194" s="77">
        <f t="shared" ref="AL194" si="1816">SUM(AL192:AL193)</f>
        <v>7004</v>
      </c>
      <c r="AM194" s="77"/>
      <c r="AN194" s="77">
        <f>SUM(AN192:AN193)</f>
        <v>6787</v>
      </c>
      <c r="AO194" s="77">
        <f t="shared" ref="AO194" si="1817">SUM(AO192:AO193)</f>
        <v>7387</v>
      </c>
      <c r="AP194" s="77">
        <f t="shared" ref="AP194" si="1818">SUM(AP192:AP193)</f>
        <v>6553</v>
      </c>
      <c r="AQ194" s="77">
        <f t="shared" ref="AQ194" si="1819">SUM(AQ192:AQ193)</f>
        <v>6970</v>
      </c>
      <c r="AR194" s="77">
        <f t="shared" ref="AR194" si="1820">SUM(AR192:AR193)</f>
        <v>6976</v>
      </c>
      <c r="AS194" s="77"/>
      <c r="AT194" s="77">
        <f>SUM(AT192:AT193)</f>
        <v>4958</v>
      </c>
      <c r="AU194" s="77">
        <f t="shared" ref="AU194:AX194" si="1821">SUM(AU192:AU193)</f>
        <v>4342</v>
      </c>
      <c r="AV194" s="77">
        <f t="shared" ref="AV194" si="1822">SUM(AV192:AV193)</f>
        <v>5638</v>
      </c>
      <c r="AW194" s="354">
        <f t="shared" si="1821"/>
        <v>7627.0546821217149</v>
      </c>
      <c r="AX194" s="77">
        <f t="shared" si="1821"/>
        <v>7627.0546821217158</v>
      </c>
      <c r="AY194" s="77"/>
      <c r="AZ194" s="77">
        <f>SUM(AZ192:AZ193)</f>
        <v>5906.6664753610494</v>
      </c>
      <c r="BA194" s="77">
        <f t="shared" ref="BA194:BD194" si="1823">SUM(BA192:BA193)</f>
        <v>6423.8433907215149</v>
      </c>
      <c r="BB194" s="254">
        <f t="shared" si="1823"/>
        <v>7019.2077742397223</v>
      </c>
      <c r="BC194" s="77">
        <f t="shared" si="1823"/>
        <v>8318.1652028620629</v>
      </c>
      <c r="BD194" s="77">
        <f t="shared" si="1823"/>
        <v>8318.1652028620629</v>
      </c>
      <c r="BE194" s="77"/>
      <c r="BF194" s="77">
        <f>SUM(BF192:BF193)</f>
        <v>6566.4594697638677</v>
      </c>
      <c r="BG194" s="77">
        <f t="shared" ref="BG194:BJ194" si="1824">SUM(BG192:BG193)</f>
        <v>7257.5426074869793</v>
      </c>
      <c r="BH194" s="254">
        <f t="shared" si="1824"/>
        <v>7792.0474867872208</v>
      </c>
      <c r="BI194" s="77">
        <f t="shared" si="1824"/>
        <v>9041.0535231054164</v>
      </c>
      <c r="BJ194" s="77">
        <f t="shared" si="1824"/>
        <v>9041.0535231054164</v>
      </c>
      <c r="BK194" s="77"/>
      <c r="BL194" s="77">
        <f>SUM(BL192:BL193)</f>
        <v>7061.3446858793395</v>
      </c>
      <c r="BM194" s="77">
        <f t="shared" ref="BM194:BP194" si="1825">SUM(BM192:BM193)</f>
        <v>7622.3851340619058</v>
      </c>
      <c r="BN194" s="254">
        <f t="shared" si="1825"/>
        <v>8298.238007554557</v>
      </c>
      <c r="BO194" s="77">
        <f t="shared" si="1825"/>
        <v>9699.0042121647766</v>
      </c>
      <c r="BP194" s="77">
        <f t="shared" si="1825"/>
        <v>9699.0042121647784</v>
      </c>
      <c r="BQ194" s="77"/>
      <c r="BR194" s="77">
        <f>SUM(BR192:BR193)</f>
        <v>7761.1061231774538</v>
      </c>
      <c r="BS194" s="77">
        <f t="shared" ref="BS194:BV194" si="1826">SUM(BS192:BS193)</f>
        <v>8433.1099538781309</v>
      </c>
      <c r="BT194" s="254">
        <f t="shared" si="1826"/>
        <v>9013.185359641273</v>
      </c>
      <c r="BU194" s="77">
        <f t="shared" si="1826"/>
        <v>10335.899481031291</v>
      </c>
      <c r="BV194" s="77">
        <f t="shared" si="1826"/>
        <v>10335.899481031294</v>
      </c>
      <c r="BW194" s="77"/>
      <c r="BX194" s="77">
        <f>SUM(BX192:BX193)</f>
        <v>8176.9448763311293</v>
      </c>
      <c r="BY194" s="77">
        <f t="shared" ref="BY194:CB194" si="1827">SUM(BY192:BY193)</f>
        <v>8589.9201056975762</v>
      </c>
      <c r="BZ194" s="254">
        <f t="shared" si="1827"/>
        <v>9360.3559029264798</v>
      </c>
      <c r="CA194" s="77">
        <f t="shared" si="1827"/>
        <v>10890.683716716772</v>
      </c>
      <c r="CB194" s="77">
        <f t="shared" si="1827"/>
        <v>10890.683716716772</v>
      </c>
      <c r="CC194" s="77"/>
      <c r="CD194" s="77">
        <f>SUM(CD192:CD193)</f>
        <v>8788.0459856997895</v>
      </c>
      <c r="CE194" s="77">
        <f t="shared" ref="CE194:CH194" si="1828">SUM(CE192:CE193)</f>
        <v>9566.4554840774217</v>
      </c>
      <c r="CF194" s="254">
        <f t="shared" si="1828"/>
        <v>10039.031707752325</v>
      </c>
      <c r="CG194" s="77">
        <f t="shared" si="1828"/>
        <v>11292.65668422077</v>
      </c>
      <c r="CH194" s="77">
        <f t="shared" si="1828"/>
        <v>11292.656684220772</v>
      </c>
      <c r="CI194" s="77"/>
      <c r="CJ194" s="77">
        <f>SUM(CJ192:CJ193)</f>
        <v>8275.2032579539955</v>
      </c>
      <c r="CK194" s="77">
        <f t="shared" ref="CK194:CN194" si="1829">SUM(CK192:CK193)</f>
        <v>8517.5938340589601</v>
      </c>
      <c r="CL194" s="254">
        <f t="shared" si="1829"/>
        <v>9224.9522705175696</v>
      </c>
      <c r="CM194" s="77">
        <f t="shared" si="1829"/>
        <v>10731.23863286049</v>
      </c>
      <c r="CN194" s="77">
        <f t="shared" si="1829"/>
        <v>10731.23863286049</v>
      </c>
    </row>
    <row r="195" spans="1:92" ht="12.95" customHeight="1" x14ac:dyDescent="0.25">
      <c r="B195" s="467" t="s">
        <v>480</v>
      </c>
      <c r="C195" s="458"/>
      <c r="D195" s="478"/>
      <c r="E195" s="478"/>
      <c r="F195" s="478"/>
      <c r="G195" s="478"/>
      <c r="H195" s="478"/>
      <c r="I195" s="478"/>
      <c r="J195" s="479">
        <f>IF(ABS(J194-J99)&lt;10,"OK",J194-J99)</f>
        <v>-20.180000000000291</v>
      </c>
      <c r="K195" s="479" t="str">
        <f>IF(ABS(K194-K99)&lt;10,"OK",K194-K99)</f>
        <v>OK</v>
      </c>
      <c r="L195" s="479" t="str">
        <f>IF(ABS(L194-L99)&lt;10,"OK",L194-L99)</f>
        <v>OK</v>
      </c>
      <c r="M195" s="479" t="str">
        <f>IF(ABS(M194-M99)&lt;10,"OK",M194-M99)</f>
        <v>OK</v>
      </c>
      <c r="N195" s="479">
        <f>IF(ABS(N194-N99)&lt;10,"OK",N194-N99)</f>
        <v>-26</v>
      </c>
      <c r="O195" s="478"/>
      <c r="P195" s="479" t="str">
        <f>IF(ABS(P194-P99)&lt;10,"OK",P194-P99)</f>
        <v>OK</v>
      </c>
      <c r="Q195" s="479" t="str">
        <f>IF(ABS(Q194-Q99)&lt;10,"OK",Q194-Q99)</f>
        <v>OK</v>
      </c>
      <c r="R195" s="479" t="str">
        <f>IF(ABS(R194-R99)&lt;10,"OK",R194-R99)</f>
        <v>OK</v>
      </c>
      <c r="S195" s="479">
        <f>IF(ABS(S194-S99)&lt;10,"OK",S194-S99)</f>
        <v>-22</v>
      </c>
      <c r="T195" s="479">
        <f>IF(ABS(T194-T99)&lt;10,"OK",T194-T99)</f>
        <v>-25</v>
      </c>
      <c r="U195" s="478"/>
      <c r="V195" s="479" t="str">
        <f>IF(ABS(V194-V99)&lt;10,"OK",V194-V99)</f>
        <v>OK</v>
      </c>
      <c r="W195" s="479" t="str">
        <f>IF(ABS(W194-W99)&lt;10,"OK",W194-W99)</f>
        <v>OK</v>
      </c>
      <c r="X195" s="479" t="str">
        <f>IF(ABS(X194-X99)&lt;10,"OK",X194-X99)</f>
        <v>OK</v>
      </c>
      <c r="Y195" s="479">
        <f>IF(ABS(Y194-Y99)&lt;10,"OK",Y194-Y99)</f>
        <v>10</v>
      </c>
      <c r="Z195" s="479" t="str">
        <f>IF(ABS(Z194-Z99)&lt;10,"OK",Z194-Z99)</f>
        <v>OK</v>
      </c>
      <c r="AA195" s="478"/>
      <c r="AB195" s="479" t="str">
        <f>IF(ABS(AB194-AB99)&lt;10,"OK",AB194-AB99)</f>
        <v>OK</v>
      </c>
      <c r="AC195" s="479" t="str">
        <f>IF(ABS(AC194-AC99)&lt;10,"OK",AC194-AC99)</f>
        <v>OK</v>
      </c>
      <c r="AD195" s="479" t="str">
        <f>IF(ABS(AD194-AD99)&lt;10,"OK",AD194-AD99)</f>
        <v>OK</v>
      </c>
      <c r="AE195" s="479" t="str">
        <f>IF(ABS(AE194-AE99)&lt;10,"OK",AE194-AE99)</f>
        <v>OK</v>
      </c>
      <c r="AF195" s="479" t="str">
        <f>IF(ABS(AF194-AF99)&lt;10,"OK",AF194-AF99)</f>
        <v>OK</v>
      </c>
      <c r="AG195" s="254"/>
      <c r="AH195" s="479" t="str">
        <f>IF(ABS(AH194-AH99)&lt;10,"OK",AH194-AH99)</f>
        <v>OK</v>
      </c>
      <c r="AI195" s="479" t="str">
        <f>IF(ABS(AI194-AI99)&lt;10,"OK",AI194-AI99)</f>
        <v>OK</v>
      </c>
      <c r="AJ195" s="479" t="str">
        <f>IF(ABS(AJ194-AJ99)&lt;10,"OK",AJ194-AJ99)</f>
        <v>OK</v>
      </c>
      <c r="AK195" s="479" t="str">
        <f>IF(ABS(AK194-AK99)&lt;10,"OK",AK194-AK99)</f>
        <v>OK</v>
      </c>
      <c r="AL195" s="479" t="str">
        <f>IF(ABS(AL194-AL99)&lt;10,"OK",AL194-AL99)</f>
        <v>OK</v>
      </c>
      <c r="AM195" s="254"/>
      <c r="AN195" s="479" t="str">
        <f>IF(ABS(AN194-AN99)&lt;10,"OK",AN194-AN99)</f>
        <v>OK</v>
      </c>
      <c r="AO195" s="479" t="str">
        <f>IF(ABS(AO194-AO99)&lt;10,"OK",AO194-AO99)</f>
        <v>OK</v>
      </c>
      <c r="AP195" s="479" t="str">
        <f>IF(ABS(AP194-AP99)&lt;10,"OK",AP194-AP99)</f>
        <v>OK</v>
      </c>
      <c r="AQ195" s="479" t="str">
        <f>IF(ABS(AQ194-AQ99)&lt;10,"OK",AQ194-AQ99)</f>
        <v>OK</v>
      </c>
      <c r="AR195" s="479" t="str">
        <f>IF(ABS(AR194-AR99)&lt;10,"OK",AR194-AR99)</f>
        <v>OK</v>
      </c>
      <c r="AS195" s="254"/>
      <c r="AT195" s="479" t="str">
        <f>IF(ABS(AT194-AT99)&lt;10,"OK",AT194-AT99)</f>
        <v>OK</v>
      </c>
      <c r="AU195" s="479" t="str">
        <f>IF(ABS(AU194-AU99)&lt;10,"OK",AU194-AU99)</f>
        <v>OK</v>
      </c>
      <c r="AV195" s="570" t="str">
        <f>IF(ABS(AV194-AV99)&lt;10,"OK",AV194-AV99)</f>
        <v>OK</v>
      </c>
      <c r="AW195" s="622" t="str">
        <f>IF(ABS(AW194-AW99)&lt;10,"OK",AW194-AW99)</f>
        <v>OK</v>
      </c>
      <c r="AX195" s="479" t="str">
        <f>IF(ABS(AX194-AX99)&lt;10,"OK",AX194-AX99)</f>
        <v>OK</v>
      </c>
      <c r="AY195" s="254"/>
      <c r="AZ195" s="479" t="str">
        <f>IF(ABS(AZ194-AZ99)&lt;10,"OK",AZ194-AZ99)</f>
        <v>OK</v>
      </c>
      <c r="BA195" s="479" t="str">
        <f>IF(ABS(BA194-BA99)&lt;10,"OK",BA194-BA99)</f>
        <v>OK</v>
      </c>
      <c r="BB195" s="570" t="str">
        <f>IF(ABS(BB194-BB99)&lt;10,"OK",BB194-BB99)</f>
        <v>OK</v>
      </c>
      <c r="BC195" s="479" t="str">
        <f>IF(ABS(BC194-BC99)&lt;10,"OK",BC194-BC99)</f>
        <v>OK</v>
      </c>
      <c r="BD195" s="479" t="str">
        <f>IF(ABS(BD194-BD99)&lt;10,"OK",BD194-BD99)</f>
        <v>OK</v>
      </c>
      <c r="BE195" s="254"/>
      <c r="BF195" s="479" t="str">
        <f>IF(ABS(BF194-BF99)&lt;10,"OK",BF194-BF99)</f>
        <v>OK</v>
      </c>
      <c r="BG195" s="479" t="str">
        <f>IF(ABS(BG194-BG99)&lt;10,"OK",BG194-BG99)</f>
        <v>OK</v>
      </c>
      <c r="BH195" s="570" t="str">
        <f>IF(ABS(BH194-BH99)&lt;10,"OK",BH194-BH99)</f>
        <v>OK</v>
      </c>
      <c r="BI195" s="479" t="str">
        <f>IF(ABS(BI194-BI99)&lt;10,"OK",BI194-BI99)</f>
        <v>OK</v>
      </c>
      <c r="BJ195" s="479" t="str">
        <f>IF(ABS(BJ194-BJ99)&lt;10,"OK",BJ194-BJ99)</f>
        <v>OK</v>
      </c>
      <c r="BK195" s="254"/>
      <c r="BL195" s="479" t="str">
        <f>IF(ABS(BL194-BL99)&lt;10,"OK",BL194-BL99)</f>
        <v>OK</v>
      </c>
      <c r="BM195" s="479" t="str">
        <f>IF(ABS(BM194-BM99)&lt;10,"OK",BM194-BM99)</f>
        <v>OK</v>
      </c>
      <c r="BN195" s="570" t="str">
        <f>IF(ABS(BN194-BN99)&lt;10,"OK",BN194-BN99)</f>
        <v>OK</v>
      </c>
      <c r="BO195" s="479" t="str">
        <f>IF(ABS(BO194-BO99)&lt;10,"OK",BO194-BO99)</f>
        <v>OK</v>
      </c>
      <c r="BP195" s="479" t="str">
        <f>IF(ABS(BP194-BP99)&lt;10,"OK",BP194-BP99)</f>
        <v>OK</v>
      </c>
      <c r="BQ195" s="254"/>
      <c r="BR195" s="479" t="str">
        <f>IF(ABS(BR194-BR99)&lt;10,"OK",BR194-BR99)</f>
        <v>OK</v>
      </c>
      <c r="BS195" s="479" t="str">
        <f>IF(ABS(BS194-BS99)&lt;10,"OK",BS194-BS99)</f>
        <v>OK</v>
      </c>
      <c r="BT195" s="570" t="str">
        <f>IF(ABS(BT194-BT99)&lt;10,"OK",BT194-BT99)</f>
        <v>OK</v>
      </c>
      <c r="BU195" s="479" t="str">
        <f>IF(ABS(BU194-BU99)&lt;10,"OK",BU194-BU99)</f>
        <v>OK</v>
      </c>
      <c r="BV195" s="479" t="str">
        <f>IF(ABS(BV194-BV99)&lt;10,"OK",BV194-BV99)</f>
        <v>OK</v>
      </c>
      <c r="BW195" s="254"/>
      <c r="BX195" s="479" t="str">
        <f>IF(ABS(BX194-BX99)&lt;10,"OK",BX194-BX99)</f>
        <v>OK</v>
      </c>
      <c r="BY195" s="479" t="str">
        <f>IF(ABS(BY194-BY99)&lt;10,"OK",BY194-BY99)</f>
        <v>OK</v>
      </c>
      <c r="BZ195" s="570" t="str">
        <f>IF(ABS(BZ194-BZ99)&lt;10,"OK",BZ194-BZ99)</f>
        <v>OK</v>
      </c>
      <c r="CA195" s="479" t="str">
        <f>IF(ABS(CA194-CA99)&lt;10,"OK",CA194-CA99)</f>
        <v>OK</v>
      </c>
      <c r="CB195" s="479" t="str">
        <f>IF(ABS(CB194-CB99)&lt;10,"OK",CB194-CB99)</f>
        <v>OK</v>
      </c>
      <c r="CC195" s="254"/>
      <c r="CD195" s="479" t="str">
        <f>IF(ABS(CD194-CD99)&lt;10,"OK",CD194-CD99)</f>
        <v>OK</v>
      </c>
      <c r="CE195" s="479" t="str">
        <f>IF(ABS(CE194-CE99)&lt;10,"OK",CE194-CE99)</f>
        <v>OK</v>
      </c>
      <c r="CF195" s="570" t="str">
        <f>IF(ABS(CF194-CF99)&lt;10,"OK",CF194-CF99)</f>
        <v>OK</v>
      </c>
      <c r="CG195" s="479" t="str">
        <f>IF(ABS(CG194-CG99)&lt;10,"OK",CG194-CG99)</f>
        <v>OK</v>
      </c>
      <c r="CH195" s="479" t="str">
        <f>IF(ABS(CH194-CH99)&lt;10,"OK",CH194-CH99)</f>
        <v>OK</v>
      </c>
      <c r="CI195" s="254"/>
      <c r="CJ195" s="479" t="str">
        <f>IF(ABS(CJ194-CJ99)&lt;10,"OK",CJ194-CJ99)</f>
        <v>OK</v>
      </c>
      <c r="CK195" s="479" t="str">
        <f>IF(ABS(CK194-CK99)&lt;10,"OK",CK194-CK99)</f>
        <v>OK</v>
      </c>
      <c r="CL195" s="570" t="str">
        <f>IF(ABS(CL194-CL99)&lt;10,"OK",CL194-CL99)</f>
        <v>OK</v>
      </c>
      <c r="CM195" s="479" t="str">
        <f>IF(ABS(CM194-CM99)&lt;10,"OK",CM194-CM99)</f>
        <v>OK</v>
      </c>
      <c r="CN195" s="479" t="str">
        <f>IF(ABS(CN194-CN99)&lt;10,"OK",CN194-CN99)</f>
        <v>OK</v>
      </c>
    </row>
    <row r="196" spans="1:92" ht="12.95" customHeight="1" x14ac:dyDescent="0.25"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243"/>
      <c r="AP196" s="6"/>
      <c r="AQ196" s="243"/>
      <c r="AR196" s="243"/>
      <c r="AS196" s="6"/>
      <c r="AT196" s="6"/>
      <c r="AU196" s="243"/>
      <c r="AV196" s="243"/>
      <c r="AW196" s="164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</row>
    <row r="197" spans="1:92" ht="12.95" customHeight="1" x14ac:dyDescent="0.25">
      <c r="A197" s="1" t="s">
        <v>4</v>
      </c>
      <c r="B197" s="29" t="s">
        <v>38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243"/>
      <c r="AP197" s="6"/>
      <c r="AQ197" s="243"/>
      <c r="AR197" s="243"/>
      <c r="AS197" s="6"/>
      <c r="AT197" s="6"/>
      <c r="AU197" s="243"/>
      <c r="AV197" s="243"/>
      <c r="AW197" s="164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</row>
    <row r="198" spans="1:92" ht="12.95" customHeight="1" x14ac:dyDescent="0.25">
      <c r="B198" s="29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243"/>
      <c r="AP198" s="6"/>
      <c r="AQ198" s="243"/>
      <c r="AR198" s="243"/>
      <c r="AS198" s="6"/>
      <c r="AT198" s="6"/>
      <c r="AU198" s="243"/>
      <c r="AV198" s="243"/>
      <c r="AW198" s="164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</row>
    <row r="199" spans="1:92" ht="12.95" hidden="1" customHeight="1" outlineLevel="1" x14ac:dyDescent="0.25">
      <c r="B199" s="24" t="s">
        <v>566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243"/>
      <c r="AP199" s="6"/>
      <c r="AQ199" s="243"/>
      <c r="AR199" s="243"/>
      <c r="AS199" s="6"/>
      <c r="AT199" s="6"/>
      <c r="AU199" s="243"/>
      <c r="AV199" s="243"/>
      <c r="AW199" s="164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</row>
    <row r="200" spans="1:92" ht="12.95" hidden="1" customHeight="1" outlineLevel="1" x14ac:dyDescent="0.25">
      <c r="B200" s="2" t="s">
        <v>567</v>
      </c>
      <c r="D200" s="75">
        <v>436</v>
      </c>
      <c r="E200" s="75">
        <v>1505</v>
      </c>
      <c r="F200" s="75">
        <v>1011</v>
      </c>
      <c r="G200" s="75">
        <v>1</v>
      </c>
      <c r="H200" s="75"/>
      <c r="I200" s="75"/>
      <c r="J200" s="75">
        <v>7</v>
      </c>
      <c r="K200" s="75">
        <v>35</v>
      </c>
      <c r="L200" s="75">
        <v>59</v>
      </c>
      <c r="M200" s="75">
        <v>0</v>
      </c>
      <c r="N200" s="75"/>
      <c r="O200" s="75"/>
      <c r="P200" s="75">
        <v>4</v>
      </c>
      <c r="Q200" s="75">
        <v>0</v>
      </c>
      <c r="R200" s="75">
        <v>0</v>
      </c>
      <c r="S200" s="75">
        <v>0</v>
      </c>
      <c r="T200" s="75"/>
      <c r="U200" s="75"/>
      <c r="V200" s="75">
        <v>0</v>
      </c>
      <c r="W200" s="75">
        <v>0</v>
      </c>
      <c r="X200" s="75">
        <v>0</v>
      </c>
      <c r="Y200" s="75">
        <v>10</v>
      </c>
      <c r="Z200" s="75"/>
      <c r="AA200" s="75"/>
      <c r="AB200" s="75">
        <v>0</v>
      </c>
      <c r="AC200" s="75">
        <v>4</v>
      </c>
      <c r="AD200" s="75">
        <v>0</v>
      </c>
      <c r="AE200" s="75">
        <v>9</v>
      </c>
      <c r="AF200" s="75"/>
      <c r="AG200" s="75"/>
      <c r="AH200" s="75">
        <v>0</v>
      </c>
      <c r="AI200" s="75">
        <v>0</v>
      </c>
      <c r="AJ200" s="75">
        <v>3</v>
      </c>
      <c r="AK200" s="75">
        <v>3</v>
      </c>
      <c r="AL200" s="75"/>
      <c r="AM200" s="75"/>
      <c r="AN200" s="75">
        <v>0</v>
      </c>
      <c r="AO200" s="75">
        <v>0</v>
      </c>
      <c r="AP200" s="75">
        <v>0</v>
      </c>
      <c r="AQ200" s="75">
        <v>0</v>
      </c>
      <c r="AR200" s="75"/>
      <c r="AS200" s="75"/>
      <c r="AT200" s="75">
        <v>0</v>
      </c>
      <c r="AU200" s="75">
        <v>0</v>
      </c>
      <c r="AV200" s="75">
        <v>0</v>
      </c>
      <c r="AW200" s="355">
        <v>0</v>
      </c>
      <c r="AX200" s="75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</row>
    <row r="201" spans="1:92" ht="12.95" hidden="1" customHeight="1" outlineLevel="1" x14ac:dyDescent="0.25">
      <c r="B201" s="2" t="s">
        <v>434</v>
      </c>
      <c r="D201" s="75">
        <v>505</v>
      </c>
      <c r="E201" s="75">
        <v>5</v>
      </c>
      <c r="F201" s="75">
        <v>5</v>
      </c>
      <c r="G201" s="75">
        <v>6</v>
      </c>
      <c r="H201" s="75"/>
      <c r="I201" s="75"/>
      <c r="J201" s="75">
        <v>8</v>
      </c>
      <c r="K201" s="75">
        <v>9</v>
      </c>
      <c r="L201" s="75">
        <v>10</v>
      </c>
      <c r="M201" s="75">
        <v>10</v>
      </c>
      <c r="N201" s="75"/>
      <c r="O201" s="75"/>
      <c r="P201" s="75">
        <v>13</v>
      </c>
      <c r="Q201" s="75">
        <v>13</v>
      </c>
      <c r="R201" s="75">
        <v>25</v>
      </c>
      <c r="S201" s="75">
        <v>16</v>
      </c>
      <c r="T201" s="75"/>
      <c r="U201" s="75"/>
      <c r="V201" s="75">
        <v>143</v>
      </c>
      <c r="W201" s="75">
        <v>1395</v>
      </c>
      <c r="X201" s="75">
        <v>1397</v>
      </c>
      <c r="Y201" s="75">
        <v>1420</v>
      </c>
      <c r="Z201" s="75"/>
      <c r="AA201" s="75"/>
      <c r="AB201" s="75">
        <v>1301</v>
      </c>
      <c r="AC201" s="75">
        <v>50</v>
      </c>
      <c r="AD201" s="75">
        <v>48</v>
      </c>
      <c r="AE201" s="75">
        <v>45</v>
      </c>
      <c r="AF201" s="75"/>
      <c r="AG201" s="75"/>
      <c r="AH201" s="75">
        <v>127</v>
      </c>
      <c r="AI201" s="75">
        <v>124</v>
      </c>
      <c r="AJ201" s="75">
        <v>120</v>
      </c>
      <c r="AK201" s="75">
        <v>120</v>
      </c>
      <c r="AL201" s="75"/>
      <c r="AM201" s="75"/>
      <c r="AN201" s="75">
        <v>37</v>
      </c>
      <c r="AO201" s="75">
        <v>1043</v>
      </c>
      <c r="AP201" s="75">
        <v>1043</v>
      </c>
      <c r="AQ201" s="75">
        <v>1044</v>
      </c>
      <c r="AR201" s="75"/>
      <c r="AS201" s="75"/>
      <c r="AT201" s="75">
        <v>1045</v>
      </c>
      <c r="AU201" s="75">
        <v>45</v>
      </c>
      <c r="AV201" s="75">
        <v>46</v>
      </c>
      <c r="AW201" s="355">
        <v>46</v>
      </c>
      <c r="AX201" s="75"/>
      <c r="AY201" s="6"/>
      <c r="AZ201" s="6">
        <v>0</v>
      </c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</row>
    <row r="202" spans="1:92" ht="12.95" hidden="1" customHeight="1" outlineLevel="1" x14ac:dyDescent="0.25">
      <c r="B202" s="2" t="s">
        <v>436</v>
      </c>
      <c r="D202" s="75">
        <v>10334</v>
      </c>
      <c r="E202" s="75">
        <v>8844</v>
      </c>
      <c r="F202" s="75">
        <v>8850</v>
      </c>
      <c r="G202" s="75">
        <v>7958</v>
      </c>
      <c r="H202" s="75"/>
      <c r="I202" s="75"/>
      <c r="J202" s="75">
        <v>8009</v>
      </c>
      <c r="K202" s="75">
        <v>8021</v>
      </c>
      <c r="L202" s="75">
        <v>8030</v>
      </c>
      <c r="M202" s="75">
        <v>8015</v>
      </c>
      <c r="N202" s="75"/>
      <c r="O202" s="75"/>
      <c r="P202" s="75">
        <v>7659</v>
      </c>
      <c r="Q202" s="75">
        <v>7665</v>
      </c>
      <c r="R202" s="75">
        <v>9145</v>
      </c>
      <c r="S202" s="75">
        <v>9151</v>
      </c>
      <c r="T202" s="75"/>
      <c r="U202" s="75"/>
      <c r="V202" s="75">
        <v>9009</v>
      </c>
      <c r="W202" s="75">
        <v>9743</v>
      </c>
      <c r="X202" s="75">
        <v>9757</v>
      </c>
      <c r="Y202" s="75">
        <v>9764</v>
      </c>
      <c r="Z202" s="75"/>
      <c r="AA202" s="75"/>
      <c r="AB202" s="75">
        <v>9776</v>
      </c>
      <c r="AC202" s="75">
        <v>9780</v>
      </c>
      <c r="AD202" s="75">
        <v>9786</v>
      </c>
      <c r="AE202" s="75">
        <v>9772</v>
      </c>
      <c r="AF202" s="75"/>
      <c r="AG202" s="75"/>
      <c r="AH202" s="75">
        <v>9664</v>
      </c>
      <c r="AI202" s="75">
        <v>9619</v>
      </c>
      <c r="AJ202" s="75">
        <v>9511</v>
      </c>
      <c r="AK202" s="75">
        <v>9529</v>
      </c>
      <c r="AL202" s="75"/>
      <c r="AM202" s="75"/>
      <c r="AN202" s="75">
        <v>9589</v>
      </c>
      <c r="AO202" s="75">
        <v>8574</v>
      </c>
      <c r="AP202" s="75">
        <v>8510</v>
      </c>
      <c r="AQ202" s="75">
        <v>8626</v>
      </c>
      <c r="AR202" s="75"/>
      <c r="AS202" s="75"/>
      <c r="AT202" s="75">
        <v>8594</v>
      </c>
      <c r="AU202" s="75">
        <v>8605</v>
      </c>
      <c r="AV202" s="75">
        <v>8738</v>
      </c>
      <c r="AW202" s="355">
        <v>8738</v>
      </c>
      <c r="AX202" s="75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</row>
    <row r="203" spans="1:92" ht="12.95" hidden="1" customHeight="1" outlineLevel="1" x14ac:dyDescent="0.25">
      <c r="B203" s="17" t="s">
        <v>568</v>
      </c>
      <c r="D203" s="77">
        <f>SUM(D200:D202)</f>
        <v>11275</v>
      </c>
      <c r="E203" s="77">
        <f t="shared" ref="E203:G203" si="1830">SUM(E200:E202)</f>
        <v>10354</v>
      </c>
      <c r="F203" s="77">
        <f t="shared" si="1830"/>
        <v>9866</v>
      </c>
      <c r="G203" s="77">
        <f t="shared" si="1830"/>
        <v>7965</v>
      </c>
      <c r="H203" s="6"/>
      <c r="I203" s="6"/>
      <c r="J203" s="77">
        <f>SUM(J200:J202)</f>
        <v>8024</v>
      </c>
      <c r="K203" s="77">
        <f t="shared" ref="K203" si="1831">SUM(K200:K202)</f>
        <v>8065</v>
      </c>
      <c r="L203" s="77">
        <f t="shared" ref="L203" si="1832">SUM(L200:L202)</f>
        <v>8099</v>
      </c>
      <c r="M203" s="77">
        <f t="shared" ref="M203" si="1833">SUM(M200:M202)</f>
        <v>8025</v>
      </c>
      <c r="N203" s="6"/>
      <c r="O203" s="6"/>
      <c r="P203" s="77">
        <f>SUM(P200:P202)</f>
        <v>7676</v>
      </c>
      <c r="Q203" s="77">
        <f t="shared" ref="Q203" si="1834">SUM(Q200:Q202)</f>
        <v>7678</v>
      </c>
      <c r="R203" s="77">
        <f t="shared" ref="R203" si="1835">SUM(R200:R202)</f>
        <v>9170</v>
      </c>
      <c r="S203" s="77">
        <f t="shared" ref="S203" si="1836">SUM(S200:S202)</f>
        <v>9167</v>
      </c>
      <c r="T203" s="6"/>
      <c r="U203" s="6"/>
      <c r="V203" s="77">
        <f>SUM(V200:V202)</f>
        <v>9152</v>
      </c>
      <c r="W203" s="77">
        <f t="shared" ref="W203" si="1837">SUM(W200:W202)</f>
        <v>11138</v>
      </c>
      <c r="X203" s="77">
        <f t="shared" ref="X203" si="1838">SUM(X200:X202)</f>
        <v>11154</v>
      </c>
      <c r="Y203" s="77">
        <f t="shared" ref="Y203" si="1839">SUM(Y200:Y202)</f>
        <v>11194</v>
      </c>
      <c r="Z203" s="6"/>
      <c r="AA203" s="6"/>
      <c r="AB203" s="77">
        <f>SUM(AB200:AB202)</f>
        <v>11077</v>
      </c>
      <c r="AC203" s="77">
        <f t="shared" ref="AC203" si="1840">SUM(AC200:AC202)</f>
        <v>9834</v>
      </c>
      <c r="AD203" s="77">
        <f t="shared" ref="AD203" si="1841">SUM(AD200:AD202)</f>
        <v>9834</v>
      </c>
      <c r="AE203" s="77">
        <f t="shared" ref="AE203" si="1842">SUM(AE200:AE202)</f>
        <v>9826</v>
      </c>
      <c r="AF203" s="6"/>
      <c r="AG203" s="6"/>
      <c r="AH203" s="77">
        <f>SUM(AH200:AH202)</f>
        <v>9791</v>
      </c>
      <c r="AI203" s="77">
        <f t="shared" ref="AI203" si="1843">SUM(AI200:AI202)</f>
        <v>9743</v>
      </c>
      <c r="AJ203" s="77">
        <f t="shared" ref="AJ203" si="1844">SUM(AJ200:AJ202)</f>
        <v>9634</v>
      </c>
      <c r="AK203" s="77">
        <f t="shared" ref="AK203" si="1845">SUM(AK200:AK202)</f>
        <v>9652</v>
      </c>
      <c r="AL203" s="6"/>
      <c r="AM203" s="6"/>
      <c r="AN203" s="77">
        <f>SUM(AN200:AN202)</f>
        <v>9626</v>
      </c>
      <c r="AO203" s="77">
        <f t="shared" ref="AO203" si="1846">SUM(AO200:AO202)</f>
        <v>9617</v>
      </c>
      <c r="AP203" s="77">
        <f t="shared" ref="AP203" si="1847">SUM(AP200:AP202)</f>
        <v>9553</v>
      </c>
      <c r="AQ203" s="77">
        <f t="shared" ref="AQ203" si="1848">SUM(AQ200:AQ202)</f>
        <v>9670</v>
      </c>
      <c r="AR203" s="243"/>
      <c r="AS203" s="6"/>
      <c r="AT203" s="77">
        <f>SUM(AT200:AT202)</f>
        <v>9639</v>
      </c>
      <c r="AU203" s="77">
        <f t="shared" ref="AU203" si="1849">SUM(AU200:AU202)</f>
        <v>8650</v>
      </c>
      <c r="AV203" s="77">
        <f t="shared" ref="AV203" si="1850">SUM(AV200:AV202)</f>
        <v>8784</v>
      </c>
      <c r="AW203" s="354">
        <f t="shared" ref="AW203" si="1851">SUM(AW200:AW202)</f>
        <v>8784</v>
      </c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</row>
    <row r="204" spans="1:92" ht="12.95" hidden="1" customHeight="1" outlineLevel="1" x14ac:dyDescent="0.25">
      <c r="B204" s="29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243"/>
      <c r="AP204" s="6"/>
      <c r="AQ204" s="243"/>
      <c r="AR204" s="243"/>
      <c r="AS204" s="6"/>
      <c r="AT204" s="6"/>
      <c r="AU204" s="243"/>
      <c r="AV204" s="243"/>
      <c r="AW204" s="164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</row>
    <row r="205" spans="1:92" ht="12.95" hidden="1" customHeight="1" outlineLevel="1" x14ac:dyDescent="0.25">
      <c r="B205" s="24" t="s">
        <v>39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243"/>
      <c r="AP205" s="6"/>
      <c r="AQ205" s="243"/>
      <c r="AR205" s="243"/>
      <c r="AS205" s="6"/>
      <c r="AT205" s="6"/>
      <c r="AU205" s="243"/>
      <c r="AV205" s="243"/>
      <c r="AW205" s="164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</row>
    <row r="206" spans="1:92" ht="12.95" hidden="1" customHeight="1" outlineLevel="1" x14ac:dyDescent="0.25">
      <c r="B206" s="2" t="s">
        <v>11</v>
      </c>
      <c r="AB206" s="6">
        <v>0</v>
      </c>
      <c r="AC206" s="6">
        <v>0</v>
      </c>
      <c r="AD206" s="6">
        <f>AC206</f>
        <v>0</v>
      </c>
      <c r="AE206" s="6">
        <f>AD206</f>
        <v>0</v>
      </c>
      <c r="AF206" s="6">
        <f>AE206</f>
        <v>0</v>
      </c>
      <c r="AG206" s="6"/>
      <c r="AH206" s="6">
        <f>AF206</f>
        <v>0</v>
      </c>
      <c r="AI206" s="6">
        <f>AH206</f>
        <v>0</v>
      </c>
      <c r="AJ206" s="6">
        <f>AI206</f>
        <v>0</v>
      </c>
      <c r="AK206" s="6">
        <f>AJ206</f>
        <v>0</v>
      </c>
      <c r="AL206" s="6">
        <f>AK206</f>
        <v>0</v>
      </c>
      <c r="AM206" s="6"/>
      <c r="AN206" s="6">
        <f>AL206</f>
        <v>0</v>
      </c>
      <c r="AO206" s="243">
        <f>AN206</f>
        <v>0</v>
      </c>
      <c r="AP206" s="6">
        <f>AO206</f>
        <v>0</v>
      </c>
      <c r="AQ206" s="243">
        <f>AP206</f>
        <v>0</v>
      </c>
      <c r="AR206" s="243">
        <f>AQ206</f>
        <v>0</v>
      </c>
      <c r="AS206" s="6"/>
      <c r="AT206" s="6">
        <f>AR206</f>
        <v>0</v>
      </c>
      <c r="AU206" s="243">
        <f>AT206</f>
        <v>0</v>
      </c>
      <c r="AV206" s="243">
        <f>AU206</f>
        <v>0</v>
      </c>
      <c r="AW206" s="164">
        <f>AV206</f>
        <v>0</v>
      </c>
      <c r="AX206" s="6">
        <f>AW206</f>
        <v>0</v>
      </c>
      <c r="AY206" s="6"/>
      <c r="AZ206" s="6">
        <f>DD206</f>
        <v>0</v>
      </c>
      <c r="BA206" s="6">
        <f>AZ206</f>
        <v>0</v>
      </c>
      <c r="BB206" s="6">
        <f>BA206</f>
        <v>0</v>
      </c>
      <c r="BC206" s="6">
        <f>BB206</f>
        <v>0</v>
      </c>
      <c r="BD206" s="6">
        <f>BC206</f>
        <v>0</v>
      </c>
      <c r="BE206" s="6"/>
      <c r="BF206" s="6">
        <f>BD206</f>
        <v>0</v>
      </c>
      <c r="BG206" s="6">
        <f>BF206</f>
        <v>0</v>
      </c>
      <c r="BH206" s="6">
        <f>BG206</f>
        <v>0</v>
      </c>
      <c r="BI206" s="6">
        <f>BH206</f>
        <v>0</v>
      </c>
      <c r="BJ206" s="6">
        <f>BI206</f>
        <v>0</v>
      </c>
      <c r="BK206" s="6"/>
      <c r="BL206" s="6">
        <f>BJ206</f>
        <v>0</v>
      </c>
      <c r="BM206" s="6">
        <f>BL206</f>
        <v>0</v>
      </c>
      <c r="BN206" s="6">
        <f>BM206</f>
        <v>0</v>
      </c>
      <c r="BO206" s="6">
        <f>BN206</f>
        <v>0</v>
      </c>
      <c r="BP206" s="6">
        <f>BO206</f>
        <v>0</v>
      </c>
      <c r="BQ206" s="6"/>
      <c r="BR206" s="6">
        <f>BP206</f>
        <v>0</v>
      </c>
      <c r="BS206" s="6">
        <f>BR206</f>
        <v>0</v>
      </c>
      <c r="BT206" s="6">
        <f>BS206</f>
        <v>0</v>
      </c>
      <c r="BU206" s="6">
        <f>BT206</f>
        <v>0</v>
      </c>
      <c r="BV206" s="6">
        <f>BU206</f>
        <v>0</v>
      </c>
      <c r="BW206" s="6"/>
      <c r="BX206" s="6">
        <f>BV206</f>
        <v>0</v>
      </c>
      <c r="BY206" s="6">
        <f>BX206</f>
        <v>0</v>
      </c>
      <c r="BZ206" s="6">
        <f>BY206</f>
        <v>0</v>
      </c>
      <c r="CA206" s="6">
        <f>BZ206</f>
        <v>0</v>
      </c>
      <c r="CB206" s="6">
        <f>CA206</f>
        <v>0</v>
      </c>
      <c r="CC206" s="6"/>
      <c r="CD206" s="6">
        <f>CB206</f>
        <v>0</v>
      </c>
      <c r="CE206" s="6">
        <f>CD206</f>
        <v>0</v>
      </c>
      <c r="CF206" s="6">
        <f>CE206</f>
        <v>0</v>
      </c>
      <c r="CG206" s="6">
        <f>CF206</f>
        <v>0</v>
      </c>
      <c r="CH206" s="6">
        <f>CG206</f>
        <v>0</v>
      </c>
      <c r="CI206" s="6"/>
      <c r="CJ206" s="6">
        <f>CH206</f>
        <v>0</v>
      </c>
      <c r="CK206" s="6">
        <f>CJ206</f>
        <v>0</v>
      </c>
      <c r="CL206" s="6">
        <f>CK206</f>
        <v>0</v>
      </c>
      <c r="CM206" s="6">
        <f>CL206</f>
        <v>0</v>
      </c>
      <c r="CN206" s="6">
        <f>CM206</f>
        <v>0</v>
      </c>
    </row>
    <row r="207" spans="1:92" ht="12.95" hidden="1" customHeight="1" outlineLevel="1" x14ac:dyDescent="0.25">
      <c r="B207" s="2" t="s">
        <v>40</v>
      </c>
      <c r="AB207" s="25">
        <v>0.02</v>
      </c>
      <c r="AC207" s="25">
        <f>AB207</f>
        <v>0.02</v>
      </c>
      <c r="AD207" s="25">
        <f t="shared" ref="AD207:AF207" si="1852">AC207</f>
        <v>0.02</v>
      </c>
      <c r="AE207" s="25">
        <f t="shared" si="1852"/>
        <v>0.02</v>
      </c>
      <c r="AF207" s="25">
        <f t="shared" si="1852"/>
        <v>0.02</v>
      </c>
      <c r="AG207" s="10"/>
      <c r="AH207" s="25">
        <f>AF207</f>
        <v>0.02</v>
      </c>
      <c r="AI207" s="25">
        <f>AH207</f>
        <v>0.02</v>
      </c>
      <c r="AJ207" s="25">
        <f t="shared" ref="AJ207:AL207" si="1853">AI207</f>
        <v>0.02</v>
      </c>
      <c r="AK207" s="25">
        <f t="shared" si="1853"/>
        <v>0.02</v>
      </c>
      <c r="AL207" s="25">
        <f t="shared" si="1853"/>
        <v>0.02</v>
      </c>
      <c r="AM207" s="10"/>
      <c r="AN207" s="25">
        <f>AL207</f>
        <v>0.02</v>
      </c>
      <c r="AO207" s="261">
        <f>AN207</f>
        <v>0.02</v>
      </c>
      <c r="AP207" s="25">
        <f t="shared" ref="AP207:AR207" si="1854">AO207</f>
        <v>0.02</v>
      </c>
      <c r="AQ207" s="261">
        <f t="shared" si="1854"/>
        <v>0.02</v>
      </c>
      <c r="AR207" s="261">
        <f t="shared" si="1854"/>
        <v>0.02</v>
      </c>
      <c r="AS207" s="10"/>
      <c r="AT207" s="25">
        <f>AR207</f>
        <v>0.02</v>
      </c>
      <c r="AU207" s="261">
        <f>AT207</f>
        <v>0.02</v>
      </c>
      <c r="AV207" s="261">
        <f t="shared" ref="AV207:AX207" si="1855">AU207</f>
        <v>0.02</v>
      </c>
      <c r="AW207" s="363">
        <f t="shared" si="1855"/>
        <v>0.02</v>
      </c>
      <c r="AX207" s="25">
        <f t="shared" si="1855"/>
        <v>0.02</v>
      </c>
      <c r="AY207" s="10"/>
      <c r="AZ207" s="25">
        <f>DD207</f>
        <v>0</v>
      </c>
      <c r="BA207" s="25">
        <f>AZ207</f>
        <v>0</v>
      </c>
      <c r="BB207" s="25">
        <f t="shared" ref="BB207" si="1856">BA207</f>
        <v>0</v>
      </c>
      <c r="BC207" s="25">
        <f t="shared" ref="BC207" si="1857">BB207</f>
        <v>0</v>
      </c>
      <c r="BD207" s="25">
        <f t="shared" ref="BD207" si="1858">BC207</f>
        <v>0</v>
      </c>
      <c r="BE207" s="10"/>
      <c r="BF207" s="25">
        <f>BD207</f>
        <v>0</v>
      </c>
      <c r="BG207" s="25">
        <f>BF207</f>
        <v>0</v>
      </c>
      <c r="BH207" s="25">
        <f t="shared" ref="BH207" si="1859">BG207</f>
        <v>0</v>
      </c>
      <c r="BI207" s="25">
        <f t="shared" ref="BI207" si="1860">BH207</f>
        <v>0</v>
      </c>
      <c r="BJ207" s="25">
        <f t="shared" ref="BJ207" si="1861">BI207</f>
        <v>0</v>
      </c>
      <c r="BK207" s="10"/>
      <c r="BL207" s="25">
        <f>BJ207</f>
        <v>0</v>
      </c>
      <c r="BM207" s="25">
        <f>BL207</f>
        <v>0</v>
      </c>
      <c r="BN207" s="25">
        <f t="shared" ref="BN207" si="1862">BM207</f>
        <v>0</v>
      </c>
      <c r="BO207" s="25">
        <f t="shared" ref="BO207" si="1863">BN207</f>
        <v>0</v>
      </c>
      <c r="BP207" s="25">
        <f t="shared" ref="BP207" si="1864">BO207</f>
        <v>0</v>
      </c>
      <c r="BQ207" s="10"/>
      <c r="BR207" s="25">
        <f>BP207</f>
        <v>0</v>
      </c>
      <c r="BS207" s="25">
        <f>BR207</f>
        <v>0</v>
      </c>
      <c r="BT207" s="25">
        <f t="shared" ref="BT207" si="1865">BS207</f>
        <v>0</v>
      </c>
      <c r="BU207" s="25">
        <f t="shared" ref="BU207" si="1866">BT207</f>
        <v>0</v>
      </c>
      <c r="BV207" s="25">
        <f t="shared" ref="BV207" si="1867">BU207</f>
        <v>0</v>
      </c>
      <c r="BW207" s="10"/>
      <c r="BX207" s="25">
        <f>BV207</f>
        <v>0</v>
      </c>
      <c r="BY207" s="25">
        <f>BX207</f>
        <v>0</v>
      </c>
      <c r="BZ207" s="25">
        <f t="shared" ref="BZ207" si="1868">BY207</f>
        <v>0</v>
      </c>
      <c r="CA207" s="25">
        <f t="shared" ref="CA207" si="1869">BZ207</f>
        <v>0</v>
      </c>
      <c r="CB207" s="25">
        <f t="shared" ref="CB207" si="1870">CA207</f>
        <v>0</v>
      </c>
      <c r="CC207" s="10"/>
      <c r="CD207" s="25">
        <f>CB207</f>
        <v>0</v>
      </c>
      <c r="CE207" s="25">
        <f>CD207</f>
        <v>0</v>
      </c>
      <c r="CF207" s="25">
        <f t="shared" ref="CF207" si="1871">CE207</f>
        <v>0</v>
      </c>
      <c r="CG207" s="25">
        <f t="shared" ref="CG207" si="1872">CF207</f>
        <v>0</v>
      </c>
      <c r="CH207" s="25">
        <f t="shared" ref="CH207" si="1873">CG207</f>
        <v>0</v>
      </c>
      <c r="CI207" s="10"/>
      <c r="CJ207" s="25">
        <f>CH207</f>
        <v>0</v>
      </c>
      <c r="CK207" s="25">
        <f>CJ207</f>
        <v>0</v>
      </c>
      <c r="CL207" s="25">
        <f t="shared" ref="CL207" si="1874">CK207</f>
        <v>0</v>
      </c>
      <c r="CM207" s="25">
        <f t="shared" ref="CM207" si="1875">CL207</f>
        <v>0</v>
      </c>
      <c r="CN207" s="25">
        <f t="shared" ref="CN207" si="1876">CM207</f>
        <v>0</v>
      </c>
    </row>
    <row r="208" spans="1:92" ht="12.95" hidden="1" customHeight="1" outlineLevel="1" x14ac:dyDescent="0.25">
      <c r="AO208" s="251"/>
      <c r="AQ208" s="251"/>
      <c r="AR208" s="251"/>
      <c r="AU208" s="251"/>
      <c r="AV208" s="251"/>
      <c r="AW208" s="220"/>
    </row>
    <row r="209" spans="2:94" ht="12.95" hidden="1" customHeight="1" outlineLevel="1" x14ac:dyDescent="0.25">
      <c r="B209" s="2" t="s">
        <v>569</v>
      </c>
      <c r="D209" s="2">
        <v>899</v>
      </c>
      <c r="E209" s="2">
        <v>899</v>
      </c>
      <c r="F209" s="2">
        <v>899</v>
      </c>
      <c r="G209" s="2">
        <v>0</v>
      </c>
      <c r="H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/>
      <c r="AH209" s="6">
        <v>0</v>
      </c>
      <c r="AI209" s="40">
        <v>0</v>
      </c>
      <c r="AJ209" s="40">
        <v>0</v>
      </c>
      <c r="AK209" s="40">
        <v>0</v>
      </c>
      <c r="AL209" s="6">
        <v>0</v>
      </c>
      <c r="AM209" s="6"/>
      <c r="AN209" s="40">
        <v>0</v>
      </c>
      <c r="AO209" s="260">
        <v>0</v>
      </c>
      <c r="AP209" s="40">
        <v>0</v>
      </c>
      <c r="AQ209" s="260">
        <v>0</v>
      </c>
      <c r="AR209" s="243">
        <v>0</v>
      </c>
      <c r="AS209" s="6"/>
      <c r="AT209" s="40">
        <v>0</v>
      </c>
      <c r="AU209" s="260">
        <v>0</v>
      </c>
      <c r="AV209" s="260">
        <v>0</v>
      </c>
      <c r="AW209" s="362">
        <v>0</v>
      </c>
      <c r="AX209" s="6">
        <v>0</v>
      </c>
      <c r="AY209" s="6"/>
      <c r="AZ209" s="6">
        <v>0</v>
      </c>
      <c r="BA209" s="6">
        <v>0</v>
      </c>
      <c r="BB209" s="6">
        <v>0</v>
      </c>
      <c r="BC209" s="6">
        <v>0</v>
      </c>
      <c r="BD209" s="6">
        <v>0</v>
      </c>
      <c r="BE209" s="6"/>
      <c r="BF209" s="6">
        <v>0</v>
      </c>
      <c r="BG209" s="6">
        <v>0</v>
      </c>
      <c r="BH209" s="6">
        <v>0</v>
      </c>
      <c r="BI209" s="6">
        <v>0</v>
      </c>
      <c r="BJ209" s="6">
        <v>0</v>
      </c>
      <c r="BK209" s="6"/>
      <c r="BL209" s="6">
        <v>0</v>
      </c>
      <c r="BM209" s="6">
        <v>0</v>
      </c>
      <c r="BN209" s="6">
        <v>0</v>
      </c>
      <c r="BO209" s="6">
        <v>0</v>
      </c>
      <c r="BP209" s="6">
        <v>0</v>
      </c>
      <c r="BQ209" s="6"/>
      <c r="BR209" s="6">
        <v>0</v>
      </c>
      <c r="BS209" s="6">
        <v>0</v>
      </c>
      <c r="BT209" s="6">
        <v>0</v>
      </c>
      <c r="BU209" s="6">
        <v>0</v>
      </c>
      <c r="BV209" s="6">
        <v>0</v>
      </c>
      <c r="BW209" s="6"/>
      <c r="BX209" s="6">
        <v>0</v>
      </c>
      <c r="BY209" s="6">
        <v>0</v>
      </c>
      <c r="BZ209" s="6">
        <v>0</v>
      </c>
      <c r="CA209" s="6">
        <v>0</v>
      </c>
      <c r="CB209" s="6">
        <v>0</v>
      </c>
      <c r="CC209" s="6"/>
      <c r="CD209" s="6">
        <v>0</v>
      </c>
      <c r="CE209" s="6">
        <v>0</v>
      </c>
      <c r="CF209" s="6">
        <v>0</v>
      </c>
      <c r="CG209" s="6">
        <v>0</v>
      </c>
      <c r="CH209" s="6">
        <v>0</v>
      </c>
      <c r="CI209" s="6"/>
      <c r="CJ209" s="6">
        <v>0</v>
      </c>
      <c r="CK209" s="6">
        <v>0</v>
      </c>
      <c r="CL209" s="6">
        <v>0</v>
      </c>
      <c r="CM209" s="6">
        <v>0</v>
      </c>
      <c r="CN209" s="6">
        <v>0</v>
      </c>
    </row>
    <row r="210" spans="2:94" ht="12.95" hidden="1" customHeight="1" outlineLevel="1" x14ac:dyDescent="0.25">
      <c r="B210" s="2" t="s">
        <v>40</v>
      </c>
      <c r="D210" s="573">
        <f>LEFT($B209, SEARCH("%",$B209,1)-1)/100</f>
        <v>7.9000000000000001E-2</v>
      </c>
      <c r="E210" s="573">
        <f t="shared" ref="E210" si="1877">LEFT($B209, SEARCH("%",$B209,1)-1)/100</f>
        <v>7.9000000000000001E-2</v>
      </c>
      <c r="F210" s="573">
        <f t="shared" ref="F210" si="1878">LEFT($B209, SEARCH("%",$B209,1)-1)/100</f>
        <v>7.9000000000000001E-2</v>
      </c>
      <c r="G210" s="573">
        <f t="shared" ref="G210" si="1879">LEFT($B209, SEARCH("%",$B209,1)-1)/100</f>
        <v>7.9000000000000001E-2</v>
      </c>
      <c r="H210" s="573">
        <f t="shared" ref="H210" si="1880">LEFT($B209, SEARCH("%",$B209,1)-1)/100</f>
        <v>7.9000000000000001E-2</v>
      </c>
      <c r="I210" s="573"/>
      <c r="J210" s="573">
        <f t="shared" ref="J210" si="1881">LEFT($B209, SEARCH("%",$B209,1)-1)/100</f>
        <v>7.9000000000000001E-2</v>
      </c>
      <c r="K210" s="573">
        <f t="shared" ref="K210" si="1882">LEFT($B209, SEARCH("%",$B209,1)-1)/100</f>
        <v>7.9000000000000001E-2</v>
      </c>
      <c r="L210" s="573">
        <f t="shared" ref="L210" si="1883">LEFT($B209, SEARCH("%",$B209,1)-1)/100</f>
        <v>7.9000000000000001E-2</v>
      </c>
      <c r="M210" s="573">
        <f t="shared" ref="M210" si="1884">LEFT($B209, SEARCH("%",$B209,1)-1)/100</f>
        <v>7.9000000000000001E-2</v>
      </c>
      <c r="N210" s="573">
        <f t="shared" ref="N210" si="1885">LEFT($B209, SEARCH("%",$B209,1)-1)/100</f>
        <v>7.9000000000000001E-2</v>
      </c>
      <c r="O210" s="573"/>
      <c r="P210" s="573">
        <f t="shared" ref="P210" si="1886">LEFT($B209, SEARCH("%",$B209,1)-1)/100</f>
        <v>7.9000000000000001E-2</v>
      </c>
      <c r="Q210" s="573">
        <f t="shared" ref="Q210" si="1887">LEFT($B209, SEARCH("%",$B209,1)-1)/100</f>
        <v>7.9000000000000001E-2</v>
      </c>
      <c r="R210" s="573">
        <f t="shared" ref="R210" si="1888">LEFT($B209, SEARCH("%",$B209,1)-1)/100</f>
        <v>7.9000000000000001E-2</v>
      </c>
      <c r="S210" s="573">
        <f t="shared" ref="S210" si="1889">LEFT($B209, SEARCH("%",$B209,1)-1)/100</f>
        <v>7.9000000000000001E-2</v>
      </c>
      <c r="T210" s="573">
        <f t="shared" ref="T210" si="1890">LEFT($B209, SEARCH("%",$B209,1)-1)/100</f>
        <v>7.9000000000000001E-2</v>
      </c>
      <c r="U210" s="573"/>
      <c r="V210" s="573">
        <f t="shared" ref="V210" si="1891">LEFT($B209, SEARCH("%",$B209,1)-1)/100</f>
        <v>7.9000000000000001E-2</v>
      </c>
      <c r="W210" s="573">
        <f t="shared" ref="W210" si="1892">LEFT($B209, SEARCH("%",$B209,1)-1)/100</f>
        <v>7.9000000000000001E-2</v>
      </c>
      <c r="X210" s="573">
        <f t="shared" ref="X210" si="1893">LEFT($B209, SEARCH("%",$B209,1)-1)/100</f>
        <v>7.9000000000000001E-2</v>
      </c>
      <c r="Y210" s="573">
        <f t="shared" ref="Y210" si="1894">LEFT($B209, SEARCH("%",$B209,1)-1)/100</f>
        <v>7.9000000000000001E-2</v>
      </c>
      <c r="Z210" s="573">
        <f t="shared" ref="Z210" si="1895">LEFT($B209, SEARCH("%",$B209,1)-1)/100</f>
        <v>7.9000000000000001E-2</v>
      </c>
      <c r="AA210" s="573"/>
      <c r="AB210" s="573">
        <f t="shared" ref="AB210" si="1896">LEFT($B209, SEARCH("%",$B209,1)-1)/100</f>
        <v>7.9000000000000001E-2</v>
      </c>
      <c r="AC210" s="573">
        <f t="shared" ref="AC210" si="1897">LEFT($B209, SEARCH("%",$B209,1)-1)/100</f>
        <v>7.9000000000000001E-2</v>
      </c>
      <c r="AD210" s="573">
        <f t="shared" ref="AD210" si="1898">LEFT($B209, SEARCH("%",$B209,1)-1)/100</f>
        <v>7.9000000000000001E-2</v>
      </c>
      <c r="AE210" s="573">
        <f t="shared" ref="AE210" si="1899">LEFT($B209, SEARCH("%",$B209,1)-1)/100</f>
        <v>7.9000000000000001E-2</v>
      </c>
      <c r="AF210" s="573">
        <f t="shared" ref="AF210" si="1900">LEFT($B209, SEARCH("%",$B209,1)-1)/100</f>
        <v>7.9000000000000001E-2</v>
      </c>
      <c r="AG210" s="573"/>
      <c r="AH210" s="573">
        <f t="shared" ref="AH210" si="1901">LEFT($B209, SEARCH("%",$B209,1)-1)/100</f>
        <v>7.9000000000000001E-2</v>
      </c>
      <c r="AI210" s="573">
        <f t="shared" ref="AI210" si="1902">LEFT($B209, SEARCH("%",$B209,1)-1)/100</f>
        <v>7.9000000000000001E-2</v>
      </c>
      <c r="AJ210" s="573">
        <f t="shared" ref="AJ210" si="1903">LEFT($B209, SEARCH("%",$B209,1)-1)/100</f>
        <v>7.9000000000000001E-2</v>
      </c>
      <c r="AK210" s="573">
        <f t="shared" ref="AK210" si="1904">LEFT($B209, SEARCH("%",$B209,1)-1)/100</f>
        <v>7.9000000000000001E-2</v>
      </c>
      <c r="AL210" s="573">
        <f t="shared" ref="AL210" si="1905">LEFT($B209, SEARCH("%",$B209,1)-1)/100</f>
        <v>7.9000000000000001E-2</v>
      </c>
      <c r="AM210" s="573"/>
      <c r="AN210" s="573">
        <f t="shared" ref="AN210" si="1906">LEFT($B209, SEARCH("%",$B209,1)-1)/100</f>
        <v>7.9000000000000001E-2</v>
      </c>
      <c r="AO210" s="573">
        <f t="shared" ref="AO210" si="1907">LEFT($B209, SEARCH("%",$B209,1)-1)/100</f>
        <v>7.9000000000000001E-2</v>
      </c>
      <c r="AP210" s="573">
        <f t="shared" ref="AP210" si="1908">LEFT($B209, SEARCH("%",$B209,1)-1)/100</f>
        <v>7.9000000000000001E-2</v>
      </c>
      <c r="AQ210" s="573">
        <f t="shared" ref="AQ210" si="1909">LEFT($B209, SEARCH("%",$B209,1)-1)/100</f>
        <v>7.9000000000000001E-2</v>
      </c>
      <c r="AR210" s="573">
        <f t="shared" ref="AR210" si="1910">LEFT($B209, SEARCH("%",$B209,1)-1)/100</f>
        <v>7.9000000000000001E-2</v>
      </c>
      <c r="AS210" s="573"/>
      <c r="AT210" s="573">
        <f t="shared" ref="AT210" si="1911">LEFT($B209, SEARCH("%",$B209,1)-1)/100</f>
        <v>7.9000000000000001E-2</v>
      </c>
      <c r="AU210" s="573">
        <f t="shared" ref="AU210" si="1912">LEFT($B209, SEARCH("%",$B209,1)-1)/100</f>
        <v>7.9000000000000001E-2</v>
      </c>
      <c r="AV210" s="573">
        <f t="shared" ref="AV210" si="1913">LEFT($B209, SEARCH("%",$B209,1)-1)/100</f>
        <v>7.9000000000000001E-2</v>
      </c>
      <c r="AW210" s="623">
        <f t="shared" ref="AW210" si="1914">LEFT($B209, SEARCH("%",$B209,1)-1)/100</f>
        <v>7.9000000000000001E-2</v>
      </c>
      <c r="AX210" s="573">
        <f t="shared" ref="AX210" si="1915">LEFT($B209, SEARCH("%",$B209,1)-1)/100</f>
        <v>7.9000000000000001E-2</v>
      </c>
      <c r="AY210" s="573"/>
      <c r="AZ210" s="573">
        <f t="shared" ref="AZ210" si="1916">LEFT($B209, SEARCH("%",$B209,1)-1)/100</f>
        <v>7.9000000000000001E-2</v>
      </c>
      <c r="BA210" s="573">
        <f t="shared" ref="BA210" si="1917">LEFT($B209, SEARCH("%",$B209,1)-1)/100</f>
        <v>7.9000000000000001E-2</v>
      </c>
      <c r="BB210" s="573">
        <f t="shared" ref="BB210" si="1918">LEFT($B209, SEARCH("%",$B209,1)-1)/100</f>
        <v>7.9000000000000001E-2</v>
      </c>
      <c r="BC210" s="573">
        <f t="shared" ref="BC210" si="1919">LEFT($B209, SEARCH("%",$B209,1)-1)/100</f>
        <v>7.9000000000000001E-2</v>
      </c>
      <c r="BD210" s="573">
        <f t="shared" ref="BD210" si="1920">LEFT($B209, SEARCH("%",$B209,1)-1)/100</f>
        <v>7.9000000000000001E-2</v>
      </c>
      <c r="BE210" s="573"/>
      <c r="BF210" s="573">
        <f t="shared" ref="BF210" si="1921">LEFT($B209, SEARCH("%",$B209,1)-1)/100</f>
        <v>7.9000000000000001E-2</v>
      </c>
      <c r="BG210" s="573">
        <f t="shared" ref="BG210" si="1922">LEFT($B209, SEARCH("%",$B209,1)-1)/100</f>
        <v>7.9000000000000001E-2</v>
      </c>
      <c r="BH210" s="573">
        <f t="shared" ref="BH210" si="1923">LEFT($B209, SEARCH("%",$B209,1)-1)/100</f>
        <v>7.9000000000000001E-2</v>
      </c>
      <c r="BI210" s="573">
        <f t="shared" ref="BI210" si="1924">LEFT($B209, SEARCH("%",$B209,1)-1)/100</f>
        <v>7.9000000000000001E-2</v>
      </c>
      <c r="BJ210" s="573">
        <f t="shared" ref="BJ210" si="1925">LEFT($B209, SEARCH("%",$B209,1)-1)/100</f>
        <v>7.9000000000000001E-2</v>
      </c>
      <c r="BK210" s="573"/>
      <c r="BL210" s="573">
        <f t="shared" ref="BL210" si="1926">LEFT($B209, SEARCH("%",$B209,1)-1)/100</f>
        <v>7.9000000000000001E-2</v>
      </c>
      <c r="BM210" s="573">
        <f t="shared" ref="BM210" si="1927">LEFT($B209, SEARCH("%",$B209,1)-1)/100</f>
        <v>7.9000000000000001E-2</v>
      </c>
      <c r="BN210" s="573">
        <f t="shared" ref="BN210" si="1928">LEFT($B209, SEARCH("%",$B209,1)-1)/100</f>
        <v>7.9000000000000001E-2</v>
      </c>
      <c r="BO210" s="573">
        <f t="shared" ref="BO210" si="1929">LEFT($B209, SEARCH("%",$B209,1)-1)/100</f>
        <v>7.9000000000000001E-2</v>
      </c>
      <c r="BP210" s="573">
        <f t="shared" ref="BP210" si="1930">LEFT($B209, SEARCH("%",$B209,1)-1)/100</f>
        <v>7.9000000000000001E-2</v>
      </c>
      <c r="BQ210" s="573"/>
      <c r="BR210" s="573">
        <f t="shared" ref="BR210" si="1931">LEFT($B209, SEARCH("%",$B209,1)-1)/100</f>
        <v>7.9000000000000001E-2</v>
      </c>
      <c r="BS210" s="573">
        <f t="shared" ref="BS210" si="1932">LEFT($B209, SEARCH("%",$B209,1)-1)/100</f>
        <v>7.9000000000000001E-2</v>
      </c>
      <c r="BT210" s="573">
        <f t="shared" ref="BT210" si="1933">LEFT($B209, SEARCH("%",$B209,1)-1)/100</f>
        <v>7.9000000000000001E-2</v>
      </c>
      <c r="BU210" s="573">
        <f t="shared" ref="BU210" si="1934">LEFT($B209, SEARCH("%",$B209,1)-1)/100</f>
        <v>7.9000000000000001E-2</v>
      </c>
      <c r="BV210" s="573">
        <f t="shared" ref="BV210" si="1935">LEFT($B209, SEARCH("%",$B209,1)-1)/100</f>
        <v>7.9000000000000001E-2</v>
      </c>
      <c r="BW210" s="573"/>
      <c r="BX210" s="573">
        <f t="shared" ref="BX210" si="1936">LEFT($B209, SEARCH("%",$B209,1)-1)/100</f>
        <v>7.9000000000000001E-2</v>
      </c>
      <c r="BY210" s="573">
        <f t="shared" ref="BY210" si="1937">LEFT($B209, SEARCH("%",$B209,1)-1)/100</f>
        <v>7.9000000000000001E-2</v>
      </c>
      <c r="BZ210" s="573">
        <f t="shared" ref="BZ210" si="1938">LEFT($B209, SEARCH("%",$B209,1)-1)/100</f>
        <v>7.9000000000000001E-2</v>
      </c>
      <c r="CA210" s="573">
        <f t="shared" ref="CA210" si="1939">LEFT($B209, SEARCH("%",$B209,1)-1)/100</f>
        <v>7.9000000000000001E-2</v>
      </c>
      <c r="CB210" s="573">
        <f t="shared" ref="CB210" si="1940">LEFT($B209, SEARCH("%",$B209,1)-1)/100</f>
        <v>7.9000000000000001E-2</v>
      </c>
      <c r="CC210" s="573"/>
      <c r="CD210" s="573">
        <f t="shared" ref="CD210" si="1941">LEFT($B209, SEARCH("%",$B209,1)-1)/100</f>
        <v>7.9000000000000001E-2</v>
      </c>
      <c r="CE210" s="573">
        <f t="shared" ref="CE210" si="1942">LEFT($B209, SEARCH("%",$B209,1)-1)/100</f>
        <v>7.9000000000000001E-2</v>
      </c>
      <c r="CF210" s="573">
        <f t="shared" ref="CF210" si="1943">LEFT($B209, SEARCH("%",$B209,1)-1)/100</f>
        <v>7.9000000000000001E-2</v>
      </c>
      <c r="CG210" s="573">
        <f t="shared" ref="CG210" si="1944">LEFT($B209, SEARCH("%",$B209,1)-1)/100</f>
        <v>7.9000000000000001E-2</v>
      </c>
      <c r="CH210" s="573">
        <f t="shared" ref="CH210" si="1945">LEFT($B209, SEARCH("%",$B209,1)-1)/100</f>
        <v>7.9000000000000001E-2</v>
      </c>
      <c r="CI210" s="573"/>
      <c r="CJ210" s="573">
        <f t="shared" ref="CJ210" si="1946">LEFT($B209, SEARCH("%",$B209,1)-1)/100</f>
        <v>7.9000000000000001E-2</v>
      </c>
      <c r="CK210" s="573">
        <f t="shared" ref="CK210" si="1947">LEFT($B209, SEARCH("%",$B209,1)-1)/100</f>
        <v>7.9000000000000001E-2</v>
      </c>
      <c r="CL210" s="573">
        <f t="shared" ref="CL210" si="1948">LEFT($B209, SEARCH("%",$B209,1)-1)/100</f>
        <v>7.9000000000000001E-2</v>
      </c>
      <c r="CM210" s="573">
        <f t="shared" ref="CM210" si="1949">LEFT($B209, SEARCH("%",$B209,1)-1)/100</f>
        <v>7.9000000000000001E-2</v>
      </c>
      <c r="CN210" s="573">
        <f t="shared" ref="CN210" si="1950">LEFT($B209, SEARCH("%",$B209,1)-1)/100</f>
        <v>7.9000000000000001E-2</v>
      </c>
      <c r="CO210" s="573"/>
      <c r="CP210" s="573"/>
    </row>
    <row r="211" spans="2:94" ht="12.95" hidden="1" customHeight="1" outlineLevel="1" x14ac:dyDescent="0.25">
      <c r="B211" s="2" t="s">
        <v>570</v>
      </c>
      <c r="D211" s="2">
        <v>120</v>
      </c>
      <c r="E211" s="2">
        <v>120</v>
      </c>
      <c r="F211" s="2">
        <v>120</v>
      </c>
      <c r="G211" s="2">
        <v>120</v>
      </c>
      <c r="H211" s="2">
        <v>120</v>
      </c>
      <c r="J211" s="2">
        <v>120</v>
      </c>
      <c r="K211" s="2">
        <v>120</v>
      </c>
      <c r="L211" s="2">
        <v>120</v>
      </c>
      <c r="M211" s="2">
        <v>120</v>
      </c>
      <c r="N211" s="2">
        <v>120</v>
      </c>
      <c r="P211" s="2">
        <v>120</v>
      </c>
      <c r="Q211" s="2">
        <v>120</v>
      </c>
      <c r="R211" s="2">
        <v>120</v>
      </c>
      <c r="S211" s="2">
        <v>120</v>
      </c>
      <c r="T211" s="2">
        <v>120</v>
      </c>
      <c r="V211" s="2">
        <v>120</v>
      </c>
      <c r="W211" s="2">
        <v>120</v>
      </c>
      <c r="X211" s="2">
        <v>120</v>
      </c>
      <c r="Y211" s="2">
        <v>120</v>
      </c>
      <c r="Z211" s="2">
        <v>120</v>
      </c>
      <c r="AB211" s="6">
        <v>120</v>
      </c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243"/>
      <c r="AP211" s="6"/>
      <c r="AQ211" s="243"/>
      <c r="AR211" s="243"/>
      <c r="AS211" s="6"/>
      <c r="AT211" s="6"/>
      <c r="AU211" s="282"/>
      <c r="AV211" s="243"/>
      <c r="AW211" s="164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40"/>
      <c r="BJ211" s="6"/>
      <c r="BK211" s="6"/>
      <c r="BL211" s="6"/>
      <c r="BM211" s="6"/>
      <c r="BN211" s="6"/>
      <c r="BO211" s="40"/>
      <c r="BP211" s="6"/>
      <c r="BQ211" s="6"/>
      <c r="BR211" s="6"/>
      <c r="BS211" s="6"/>
      <c r="BT211" s="6"/>
      <c r="BU211" s="40"/>
      <c r="BV211" s="6"/>
      <c r="BW211" s="6"/>
      <c r="BX211" s="6"/>
      <c r="BY211" s="6"/>
      <c r="BZ211" s="6"/>
      <c r="CA211" s="40"/>
      <c r="CB211" s="6"/>
      <c r="CC211" s="6"/>
      <c r="CD211" s="6"/>
      <c r="CE211" s="6"/>
      <c r="CF211" s="6"/>
      <c r="CG211" s="40"/>
      <c r="CH211" s="6"/>
      <c r="CI211" s="6"/>
      <c r="CJ211" s="6"/>
      <c r="CK211" s="6"/>
      <c r="CL211" s="6"/>
      <c r="CM211" s="40"/>
      <c r="CN211" s="6"/>
    </row>
    <row r="212" spans="2:94" ht="12.95" hidden="1" customHeight="1" outlineLevel="1" x14ac:dyDescent="0.25">
      <c r="B212" s="2" t="s">
        <v>40</v>
      </c>
      <c r="D212" s="573">
        <f>LEFT($B211, SEARCH("%",$B211,1)-1)/100</f>
        <v>9.375E-2</v>
      </c>
      <c r="E212" s="573">
        <f t="shared" ref="E212" si="1951">LEFT($B211, SEARCH("%",$B211,1)-1)/100</f>
        <v>9.375E-2</v>
      </c>
      <c r="F212" s="573">
        <f t="shared" ref="F212" si="1952">LEFT($B211, SEARCH("%",$B211,1)-1)/100</f>
        <v>9.375E-2</v>
      </c>
      <c r="G212" s="573">
        <f t="shared" ref="G212" si="1953">LEFT($B211, SEARCH("%",$B211,1)-1)/100</f>
        <v>9.375E-2</v>
      </c>
      <c r="H212" s="573">
        <f t="shared" ref="H212" si="1954">LEFT($B211, SEARCH("%",$B211,1)-1)/100</f>
        <v>9.375E-2</v>
      </c>
      <c r="I212" s="573"/>
      <c r="J212" s="573">
        <f t="shared" ref="J212" si="1955">LEFT($B211, SEARCH("%",$B211,1)-1)/100</f>
        <v>9.375E-2</v>
      </c>
      <c r="K212" s="573">
        <f t="shared" ref="K212" si="1956">LEFT($B211, SEARCH("%",$B211,1)-1)/100</f>
        <v>9.375E-2</v>
      </c>
      <c r="L212" s="573">
        <f t="shared" ref="L212" si="1957">LEFT($B211, SEARCH("%",$B211,1)-1)/100</f>
        <v>9.375E-2</v>
      </c>
      <c r="M212" s="573">
        <f t="shared" ref="M212" si="1958">LEFT($B211, SEARCH("%",$B211,1)-1)/100</f>
        <v>9.375E-2</v>
      </c>
      <c r="N212" s="573">
        <f t="shared" ref="N212" si="1959">LEFT($B211, SEARCH("%",$B211,1)-1)/100</f>
        <v>9.375E-2</v>
      </c>
      <c r="O212" s="573"/>
      <c r="P212" s="573">
        <f t="shared" ref="P212" si="1960">LEFT($B211, SEARCH("%",$B211,1)-1)/100</f>
        <v>9.375E-2</v>
      </c>
      <c r="Q212" s="573">
        <f t="shared" ref="Q212" si="1961">LEFT($B211, SEARCH("%",$B211,1)-1)/100</f>
        <v>9.375E-2</v>
      </c>
      <c r="R212" s="573">
        <f t="shared" ref="R212" si="1962">LEFT($B211, SEARCH("%",$B211,1)-1)/100</f>
        <v>9.375E-2</v>
      </c>
      <c r="S212" s="573">
        <f t="shared" ref="S212" si="1963">LEFT($B211, SEARCH("%",$B211,1)-1)/100</f>
        <v>9.375E-2</v>
      </c>
      <c r="T212" s="573">
        <f t="shared" ref="T212" si="1964">LEFT($B211, SEARCH("%",$B211,1)-1)/100</f>
        <v>9.375E-2</v>
      </c>
      <c r="U212" s="573"/>
      <c r="V212" s="573">
        <f t="shared" ref="V212" si="1965">LEFT($B211, SEARCH("%",$B211,1)-1)/100</f>
        <v>9.375E-2</v>
      </c>
      <c r="W212" s="573">
        <f t="shared" ref="W212" si="1966">LEFT($B211, SEARCH("%",$B211,1)-1)/100</f>
        <v>9.375E-2</v>
      </c>
      <c r="X212" s="573">
        <f t="shared" ref="X212" si="1967">LEFT($B211, SEARCH("%",$B211,1)-1)/100</f>
        <v>9.375E-2</v>
      </c>
      <c r="Y212" s="573">
        <f t="shared" ref="Y212" si="1968">LEFT($B211, SEARCH("%",$B211,1)-1)/100</f>
        <v>9.375E-2</v>
      </c>
      <c r="Z212" s="573">
        <f t="shared" ref="Z212" si="1969">LEFT($B211, SEARCH("%",$B211,1)-1)/100</f>
        <v>9.375E-2</v>
      </c>
      <c r="AA212" s="573"/>
      <c r="AB212" s="573">
        <f t="shared" ref="AB212" si="1970">LEFT($B211, SEARCH("%",$B211,1)-1)/100</f>
        <v>9.375E-2</v>
      </c>
      <c r="AC212" s="573">
        <f t="shared" ref="AC212" si="1971">LEFT($B211, SEARCH("%",$B211,1)-1)/100</f>
        <v>9.375E-2</v>
      </c>
      <c r="AD212" s="573">
        <f t="shared" ref="AD212" si="1972">LEFT($B211, SEARCH("%",$B211,1)-1)/100</f>
        <v>9.375E-2</v>
      </c>
      <c r="AE212" s="573">
        <f t="shared" ref="AE212" si="1973">LEFT($B211, SEARCH("%",$B211,1)-1)/100</f>
        <v>9.375E-2</v>
      </c>
      <c r="AF212" s="573">
        <f t="shared" ref="AF212" si="1974">LEFT($B211, SEARCH("%",$B211,1)-1)/100</f>
        <v>9.375E-2</v>
      </c>
      <c r="AG212" s="573"/>
      <c r="AH212" s="573">
        <f t="shared" ref="AH212" si="1975">LEFT($B211, SEARCH("%",$B211,1)-1)/100</f>
        <v>9.375E-2</v>
      </c>
      <c r="AI212" s="573">
        <f t="shared" ref="AI212" si="1976">LEFT($B211, SEARCH("%",$B211,1)-1)/100</f>
        <v>9.375E-2</v>
      </c>
      <c r="AJ212" s="573">
        <f t="shared" ref="AJ212" si="1977">LEFT($B211, SEARCH("%",$B211,1)-1)/100</f>
        <v>9.375E-2</v>
      </c>
      <c r="AK212" s="573">
        <f t="shared" ref="AK212" si="1978">LEFT($B211, SEARCH("%",$B211,1)-1)/100</f>
        <v>9.375E-2</v>
      </c>
      <c r="AL212" s="573">
        <f t="shared" ref="AL212" si="1979">LEFT($B211, SEARCH("%",$B211,1)-1)/100</f>
        <v>9.375E-2</v>
      </c>
      <c r="AM212" s="573"/>
      <c r="AN212" s="573">
        <f t="shared" ref="AN212" si="1980">LEFT($B211, SEARCH("%",$B211,1)-1)/100</f>
        <v>9.375E-2</v>
      </c>
      <c r="AO212" s="573">
        <f t="shared" ref="AO212" si="1981">LEFT($B211, SEARCH("%",$B211,1)-1)/100</f>
        <v>9.375E-2</v>
      </c>
      <c r="AP212" s="573">
        <f t="shared" ref="AP212" si="1982">LEFT($B211, SEARCH("%",$B211,1)-1)/100</f>
        <v>9.375E-2</v>
      </c>
      <c r="AQ212" s="573">
        <f t="shared" ref="AQ212" si="1983">LEFT($B211, SEARCH("%",$B211,1)-1)/100</f>
        <v>9.375E-2</v>
      </c>
      <c r="AR212" s="573">
        <f t="shared" ref="AR212" si="1984">LEFT($B211, SEARCH("%",$B211,1)-1)/100</f>
        <v>9.375E-2</v>
      </c>
      <c r="AS212" s="573"/>
      <c r="AT212" s="573">
        <f t="shared" ref="AT212" si="1985">LEFT($B211, SEARCH("%",$B211,1)-1)/100</f>
        <v>9.375E-2</v>
      </c>
      <c r="AU212" s="573">
        <f t="shared" ref="AU212" si="1986">LEFT($B211, SEARCH("%",$B211,1)-1)/100</f>
        <v>9.375E-2</v>
      </c>
      <c r="AV212" s="573">
        <f t="shared" ref="AV212" si="1987">LEFT($B211, SEARCH("%",$B211,1)-1)/100</f>
        <v>9.375E-2</v>
      </c>
      <c r="AW212" s="623">
        <f t="shared" ref="AW212" si="1988">LEFT($B211, SEARCH("%",$B211,1)-1)/100</f>
        <v>9.375E-2</v>
      </c>
      <c r="AX212" s="573">
        <f t="shared" ref="AX212" si="1989">LEFT($B211, SEARCH("%",$B211,1)-1)/100</f>
        <v>9.375E-2</v>
      </c>
      <c r="AY212" s="573"/>
      <c r="AZ212" s="573">
        <f t="shared" ref="AZ212" si="1990">LEFT($B211, SEARCH("%",$B211,1)-1)/100</f>
        <v>9.375E-2</v>
      </c>
      <c r="BA212" s="573">
        <f t="shared" ref="BA212" si="1991">LEFT($B211, SEARCH("%",$B211,1)-1)/100</f>
        <v>9.375E-2</v>
      </c>
      <c r="BB212" s="573">
        <f t="shared" ref="BB212" si="1992">LEFT($B211, SEARCH("%",$B211,1)-1)/100</f>
        <v>9.375E-2</v>
      </c>
      <c r="BC212" s="573">
        <f t="shared" ref="BC212" si="1993">LEFT($B211, SEARCH("%",$B211,1)-1)/100</f>
        <v>9.375E-2</v>
      </c>
      <c r="BD212" s="573">
        <f t="shared" ref="BD212" si="1994">LEFT($B211, SEARCH("%",$B211,1)-1)/100</f>
        <v>9.375E-2</v>
      </c>
      <c r="BE212" s="573"/>
      <c r="BF212" s="573">
        <f t="shared" ref="BF212" si="1995">LEFT($B211, SEARCH("%",$B211,1)-1)/100</f>
        <v>9.375E-2</v>
      </c>
      <c r="BG212" s="573">
        <f t="shared" ref="BG212" si="1996">LEFT($B211, SEARCH("%",$B211,1)-1)/100</f>
        <v>9.375E-2</v>
      </c>
      <c r="BH212" s="573">
        <f t="shared" ref="BH212" si="1997">LEFT($B211, SEARCH("%",$B211,1)-1)/100</f>
        <v>9.375E-2</v>
      </c>
      <c r="BI212" s="573">
        <f t="shared" ref="BI212" si="1998">LEFT($B211, SEARCH("%",$B211,1)-1)/100</f>
        <v>9.375E-2</v>
      </c>
      <c r="BJ212" s="573">
        <f t="shared" ref="BJ212" si="1999">LEFT($B211, SEARCH("%",$B211,1)-1)/100</f>
        <v>9.375E-2</v>
      </c>
      <c r="BK212" s="573"/>
      <c r="BL212" s="573">
        <f t="shared" ref="BL212" si="2000">LEFT($B211, SEARCH("%",$B211,1)-1)/100</f>
        <v>9.375E-2</v>
      </c>
      <c r="BM212" s="573">
        <f t="shared" ref="BM212" si="2001">LEFT($B211, SEARCH("%",$B211,1)-1)/100</f>
        <v>9.375E-2</v>
      </c>
      <c r="BN212" s="573">
        <f t="shared" ref="BN212" si="2002">LEFT($B211, SEARCH("%",$B211,1)-1)/100</f>
        <v>9.375E-2</v>
      </c>
      <c r="BO212" s="573">
        <f t="shared" ref="BO212" si="2003">LEFT($B211, SEARCH("%",$B211,1)-1)/100</f>
        <v>9.375E-2</v>
      </c>
      <c r="BP212" s="573">
        <f t="shared" ref="BP212" si="2004">LEFT($B211, SEARCH("%",$B211,1)-1)/100</f>
        <v>9.375E-2</v>
      </c>
      <c r="BQ212" s="573"/>
      <c r="BR212" s="573">
        <f t="shared" ref="BR212" si="2005">LEFT($B211, SEARCH("%",$B211,1)-1)/100</f>
        <v>9.375E-2</v>
      </c>
      <c r="BS212" s="573">
        <f t="shared" ref="BS212" si="2006">LEFT($B211, SEARCH("%",$B211,1)-1)/100</f>
        <v>9.375E-2</v>
      </c>
      <c r="BT212" s="573">
        <f t="shared" ref="BT212" si="2007">LEFT($B211, SEARCH("%",$B211,1)-1)/100</f>
        <v>9.375E-2</v>
      </c>
      <c r="BU212" s="573">
        <f t="shared" ref="BU212" si="2008">LEFT($B211, SEARCH("%",$B211,1)-1)/100</f>
        <v>9.375E-2</v>
      </c>
      <c r="BV212" s="573">
        <f t="shared" ref="BV212" si="2009">LEFT($B211, SEARCH("%",$B211,1)-1)/100</f>
        <v>9.375E-2</v>
      </c>
      <c r="BW212" s="573"/>
      <c r="BX212" s="573">
        <f t="shared" ref="BX212" si="2010">LEFT($B211, SEARCH("%",$B211,1)-1)/100</f>
        <v>9.375E-2</v>
      </c>
      <c r="BY212" s="573">
        <f t="shared" ref="BY212" si="2011">LEFT($B211, SEARCH("%",$B211,1)-1)/100</f>
        <v>9.375E-2</v>
      </c>
      <c r="BZ212" s="573">
        <f t="shared" ref="BZ212" si="2012">LEFT($B211, SEARCH("%",$B211,1)-1)/100</f>
        <v>9.375E-2</v>
      </c>
      <c r="CA212" s="573">
        <f t="shared" ref="CA212" si="2013">LEFT($B211, SEARCH("%",$B211,1)-1)/100</f>
        <v>9.375E-2</v>
      </c>
      <c r="CB212" s="573">
        <f t="shared" ref="CB212" si="2014">LEFT($B211, SEARCH("%",$B211,1)-1)/100</f>
        <v>9.375E-2</v>
      </c>
      <c r="CC212" s="573"/>
      <c r="CD212" s="573">
        <f t="shared" ref="CD212" si="2015">LEFT($B211, SEARCH("%",$B211,1)-1)/100</f>
        <v>9.375E-2</v>
      </c>
      <c r="CE212" s="573">
        <f t="shared" ref="CE212" si="2016">LEFT($B211, SEARCH("%",$B211,1)-1)/100</f>
        <v>9.375E-2</v>
      </c>
      <c r="CF212" s="573">
        <f t="shared" ref="CF212" si="2017">LEFT($B211, SEARCH("%",$B211,1)-1)/100</f>
        <v>9.375E-2</v>
      </c>
      <c r="CG212" s="573">
        <f t="shared" ref="CG212" si="2018">LEFT($B211, SEARCH("%",$B211,1)-1)/100</f>
        <v>9.375E-2</v>
      </c>
      <c r="CH212" s="573">
        <f t="shared" ref="CH212" si="2019">LEFT($B211, SEARCH("%",$B211,1)-1)/100</f>
        <v>9.375E-2</v>
      </c>
      <c r="CI212" s="573"/>
      <c r="CJ212" s="573">
        <f t="shared" ref="CJ212" si="2020">LEFT($B211, SEARCH("%",$B211,1)-1)/100</f>
        <v>9.375E-2</v>
      </c>
      <c r="CK212" s="573">
        <f t="shared" ref="CK212" si="2021">LEFT($B211, SEARCH("%",$B211,1)-1)/100</f>
        <v>9.375E-2</v>
      </c>
      <c r="CL212" s="573">
        <f t="shared" ref="CL212" si="2022">LEFT($B211, SEARCH("%",$B211,1)-1)/100</f>
        <v>9.375E-2</v>
      </c>
      <c r="CM212" s="573">
        <f t="shared" ref="CM212" si="2023">LEFT($B211, SEARCH("%",$B211,1)-1)/100</f>
        <v>9.375E-2</v>
      </c>
      <c r="CN212" s="573">
        <f t="shared" ref="CN212" si="2024">LEFT($B211, SEARCH("%",$B211,1)-1)/100</f>
        <v>9.375E-2</v>
      </c>
      <c r="CO212" s="573"/>
      <c r="CP212" s="573"/>
    </row>
    <row r="213" spans="2:94" ht="12.95" hidden="1" customHeight="1" outlineLevel="1" x14ac:dyDescent="0.25">
      <c r="B213" s="2" t="s">
        <v>571</v>
      </c>
      <c r="D213" s="2">
        <v>498</v>
      </c>
      <c r="E213" s="2">
        <v>498</v>
      </c>
      <c r="F213" s="2">
        <v>498</v>
      </c>
      <c r="G213" s="2">
        <v>498</v>
      </c>
      <c r="H213" s="2">
        <v>498</v>
      </c>
      <c r="J213" s="2">
        <v>498</v>
      </c>
      <c r="K213" s="2">
        <v>498</v>
      </c>
      <c r="L213" s="2">
        <v>498</v>
      </c>
      <c r="M213" s="2">
        <v>498</v>
      </c>
      <c r="N213" s="2">
        <v>498</v>
      </c>
      <c r="P213" s="2">
        <v>498</v>
      </c>
      <c r="Q213" s="2">
        <v>498</v>
      </c>
      <c r="R213" s="2">
        <v>498</v>
      </c>
      <c r="S213" s="2">
        <v>499</v>
      </c>
      <c r="T213" s="2">
        <v>499</v>
      </c>
      <c r="V213" s="2">
        <v>499</v>
      </c>
      <c r="W213" s="2">
        <v>499</v>
      </c>
      <c r="X213" s="2">
        <v>499</v>
      </c>
      <c r="Y213" s="2">
        <v>499</v>
      </c>
      <c r="Z213" s="2">
        <v>499</v>
      </c>
      <c r="AB213" s="6">
        <v>499</v>
      </c>
      <c r="AC213" s="6">
        <v>499</v>
      </c>
      <c r="AD213" s="6">
        <v>499</v>
      </c>
      <c r="AE213" s="6">
        <v>0</v>
      </c>
      <c r="AF213" s="6">
        <v>0</v>
      </c>
      <c r="AG213" s="6"/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/>
      <c r="AN213" s="6">
        <v>0</v>
      </c>
      <c r="AO213" s="243">
        <v>0</v>
      </c>
      <c r="AP213" s="6">
        <v>0</v>
      </c>
      <c r="AQ213" s="243">
        <v>0</v>
      </c>
      <c r="AR213" s="243">
        <v>0</v>
      </c>
      <c r="AS213" s="6"/>
      <c r="AT213" s="6">
        <v>0</v>
      </c>
      <c r="AU213" s="243">
        <v>0</v>
      </c>
      <c r="AV213" s="243">
        <v>0</v>
      </c>
      <c r="AW213" s="164">
        <v>0</v>
      </c>
      <c r="AX213" s="6">
        <v>0</v>
      </c>
      <c r="AY213" s="6"/>
      <c r="AZ213" s="6">
        <v>0</v>
      </c>
      <c r="BA213" s="6">
        <v>0</v>
      </c>
      <c r="BB213" s="6">
        <v>0</v>
      </c>
      <c r="BC213" s="6">
        <v>0</v>
      </c>
      <c r="BD213" s="6">
        <v>0</v>
      </c>
      <c r="BE213" s="6"/>
      <c r="BF213" s="6">
        <v>0</v>
      </c>
      <c r="BG213" s="6">
        <v>0</v>
      </c>
      <c r="BH213" s="6">
        <v>0</v>
      </c>
      <c r="BI213" s="6">
        <v>0</v>
      </c>
      <c r="BJ213" s="6">
        <v>0</v>
      </c>
      <c r="BK213" s="6"/>
      <c r="BL213" s="6">
        <v>0</v>
      </c>
      <c r="BM213" s="6">
        <v>0</v>
      </c>
      <c r="BN213" s="6">
        <v>0</v>
      </c>
      <c r="BO213" s="6">
        <v>0</v>
      </c>
      <c r="BP213" s="6">
        <v>0</v>
      </c>
      <c r="BQ213" s="6"/>
      <c r="BR213" s="6">
        <v>0</v>
      </c>
      <c r="BS213" s="6">
        <v>0</v>
      </c>
      <c r="BT213" s="6">
        <v>0</v>
      </c>
      <c r="BU213" s="6">
        <v>0</v>
      </c>
      <c r="BV213" s="6">
        <v>0</v>
      </c>
      <c r="BW213" s="6"/>
      <c r="BX213" s="6">
        <v>0</v>
      </c>
      <c r="BY213" s="6">
        <v>0</v>
      </c>
      <c r="BZ213" s="6">
        <v>0</v>
      </c>
      <c r="CA213" s="6">
        <v>0</v>
      </c>
      <c r="CB213" s="6">
        <v>0</v>
      </c>
      <c r="CC213" s="6"/>
      <c r="CD213" s="6">
        <v>0</v>
      </c>
      <c r="CE213" s="6">
        <v>0</v>
      </c>
      <c r="CF213" s="6">
        <v>0</v>
      </c>
      <c r="CG213" s="6">
        <v>0</v>
      </c>
      <c r="CH213" s="6">
        <v>0</v>
      </c>
      <c r="CI213" s="6"/>
      <c r="CJ213" s="6">
        <v>0</v>
      </c>
      <c r="CK213" s="6">
        <v>0</v>
      </c>
      <c r="CL213" s="6">
        <v>0</v>
      </c>
      <c r="CM213" s="6">
        <v>0</v>
      </c>
      <c r="CN213" s="6">
        <v>0</v>
      </c>
    </row>
    <row r="214" spans="2:94" ht="12.95" hidden="1" customHeight="1" outlineLevel="1" x14ac:dyDescent="0.25">
      <c r="B214" s="2" t="s">
        <v>40</v>
      </c>
      <c r="D214" s="573">
        <f>LEFT($B213, SEARCH("%",$B213,1)-1)/100</f>
        <v>2.6000000000000002E-2</v>
      </c>
      <c r="E214" s="573">
        <f t="shared" ref="E214" si="2025">LEFT($B213, SEARCH("%",$B213,1)-1)/100</f>
        <v>2.6000000000000002E-2</v>
      </c>
      <c r="F214" s="573">
        <f t="shared" ref="F214" si="2026">LEFT($B213, SEARCH("%",$B213,1)-1)/100</f>
        <v>2.6000000000000002E-2</v>
      </c>
      <c r="G214" s="573">
        <f t="shared" ref="G214" si="2027">LEFT($B213, SEARCH("%",$B213,1)-1)/100</f>
        <v>2.6000000000000002E-2</v>
      </c>
      <c r="H214" s="573">
        <f t="shared" ref="H214" si="2028">LEFT($B213, SEARCH("%",$B213,1)-1)/100</f>
        <v>2.6000000000000002E-2</v>
      </c>
      <c r="I214" s="573"/>
      <c r="J214" s="573">
        <f t="shared" ref="J214" si="2029">LEFT($B213, SEARCH("%",$B213,1)-1)/100</f>
        <v>2.6000000000000002E-2</v>
      </c>
      <c r="K214" s="573">
        <f t="shared" ref="K214" si="2030">LEFT($B213, SEARCH("%",$B213,1)-1)/100</f>
        <v>2.6000000000000002E-2</v>
      </c>
      <c r="L214" s="573">
        <f t="shared" ref="L214" si="2031">LEFT($B213, SEARCH("%",$B213,1)-1)/100</f>
        <v>2.6000000000000002E-2</v>
      </c>
      <c r="M214" s="573">
        <f t="shared" ref="M214" si="2032">LEFT($B213, SEARCH("%",$B213,1)-1)/100</f>
        <v>2.6000000000000002E-2</v>
      </c>
      <c r="N214" s="573">
        <f t="shared" ref="N214" si="2033">LEFT($B213, SEARCH("%",$B213,1)-1)/100</f>
        <v>2.6000000000000002E-2</v>
      </c>
      <c r="O214" s="573"/>
      <c r="P214" s="573">
        <f t="shared" ref="P214" si="2034">LEFT($B213, SEARCH("%",$B213,1)-1)/100</f>
        <v>2.6000000000000002E-2</v>
      </c>
      <c r="Q214" s="573">
        <f t="shared" ref="Q214" si="2035">LEFT($B213, SEARCH("%",$B213,1)-1)/100</f>
        <v>2.6000000000000002E-2</v>
      </c>
      <c r="R214" s="573">
        <f t="shared" ref="R214" si="2036">LEFT($B213, SEARCH("%",$B213,1)-1)/100</f>
        <v>2.6000000000000002E-2</v>
      </c>
      <c r="S214" s="573">
        <f t="shared" ref="S214" si="2037">LEFT($B213, SEARCH("%",$B213,1)-1)/100</f>
        <v>2.6000000000000002E-2</v>
      </c>
      <c r="T214" s="573">
        <f t="shared" ref="T214" si="2038">LEFT($B213, SEARCH("%",$B213,1)-1)/100</f>
        <v>2.6000000000000002E-2</v>
      </c>
      <c r="U214" s="573"/>
      <c r="V214" s="573">
        <f t="shared" ref="V214" si="2039">LEFT($B213, SEARCH("%",$B213,1)-1)/100</f>
        <v>2.6000000000000002E-2</v>
      </c>
      <c r="W214" s="573">
        <f t="shared" ref="W214" si="2040">LEFT($B213, SEARCH("%",$B213,1)-1)/100</f>
        <v>2.6000000000000002E-2</v>
      </c>
      <c r="X214" s="573">
        <f t="shared" ref="X214" si="2041">LEFT($B213, SEARCH("%",$B213,1)-1)/100</f>
        <v>2.6000000000000002E-2</v>
      </c>
      <c r="Y214" s="573">
        <f t="shared" ref="Y214" si="2042">LEFT($B213, SEARCH("%",$B213,1)-1)/100</f>
        <v>2.6000000000000002E-2</v>
      </c>
      <c r="Z214" s="573">
        <f t="shared" ref="Z214" si="2043">LEFT($B213, SEARCH("%",$B213,1)-1)/100</f>
        <v>2.6000000000000002E-2</v>
      </c>
      <c r="AA214" s="573"/>
      <c r="AB214" s="573">
        <f t="shared" ref="AB214" si="2044">LEFT($B213, SEARCH("%",$B213,1)-1)/100</f>
        <v>2.6000000000000002E-2</v>
      </c>
      <c r="AC214" s="573">
        <f t="shared" ref="AC214" si="2045">LEFT($B213, SEARCH("%",$B213,1)-1)/100</f>
        <v>2.6000000000000002E-2</v>
      </c>
      <c r="AD214" s="573">
        <f t="shared" ref="AD214" si="2046">LEFT($B213, SEARCH("%",$B213,1)-1)/100</f>
        <v>2.6000000000000002E-2</v>
      </c>
      <c r="AE214" s="573">
        <f t="shared" ref="AE214" si="2047">LEFT($B213, SEARCH("%",$B213,1)-1)/100</f>
        <v>2.6000000000000002E-2</v>
      </c>
      <c r="AF214" s="573">
        <f t="shared" ref="AF214" si="2048">LEFT($B213, SEARCH("%",$B213,1)-1)/100</f>
        <v>2.6000000000000002E-2</v>
      </c>
      <c r="AG214" s="573"/>
      <c r="AH214" s="573">
        <f t="shared" ref="AH214" si="2049">LEFT($B213, SEARCH("%",$B213,1)-1)/100</f>
        <v>2.6000000000000002E-2</v>
      </c>
      <c r="AI214" s="573">
        <f t="shared" ref="AI214" si="2050">LEFT($B213, SEARCH("%",$B213,1)-1)/100</f>
        <v>2.6000000000000002E-2</v>
      </c>
      <c r="AJ214" s="573">
        <f t="shared" ref="AJ214" si="2051">LEFT($B213, SEARCH("%",$B213,1)-1)/100</f>
        <v>2.6000000000000002E-2</v>
      </c>
      <c r="AK214" s="573">
        <f t="shared" ref="AK214" si="2052">LEFT($B213, SEARCH("%",$B213,1)-1)/100</f>
        <v>2.6000000000000002E-2</v>
      </c>
      <c r="AL214" s="573">
        <f t="shared" ref="AL214" si="2053">LEFT($B213, SEARCH("%",$B213,1)-1)/100</f>
        <v>2.6000000000000002E-2</v>
      </c>
      <c r="AM214" s="573"/>
      <c r="AN214" s="573">
        <f t="shared" ref="AN214" si="2054">LEFT($B213, SEARCH("%",$B213,1)-1)/100</f>
        <v>2.6000000000000002E-2</v>
      </c>
      <c r="AO214" s="573">
        <f t="shared" ref="AO214" si="2055">LEFT($B213, SEARCH("%",$B213,1)-1)/100</f>
        <v>2.6000000000000002E-2</v>
      </c>
      <c r="AP214" s="573">
        <f t="shared" ref="AP214" si="2056">LEFT($B213, SEARCH("%",$B213,1)-1)/100</f>
        <v>2.6000000000000002E-2</v>
      </c>
      <c r="AQ214" s="573">
        <f t="shared" ref="AQ214" si="2057">LEFT($B213, SEARCH("%",$B213,1)-1)/100</f>
        <v>2.6000000000000002E-2</v>
      </c>
      <c r="AR214" s="573">
        <f t="shared" ref="AR214" si="2058">LEFT($B213, SEARCH("%",$B213,1)-1)/100</f>
        <v>2.6000000000000002E-2</v>
      </c>
      <c r="AS214" s="573"/>
      <c r="AT214" s="573">
        <f t="shared" ref="AT214" si="2059">LEFT($B213, SEARCH("%",$B213,1)-1)/100</f>
        <v>2.6000000000000002E-2</v>
      </c>
      <c r="AU214" s="573">
        <f t="shared" ref="AU214" si="2060">LEFT($B213, SEARCH("%",$B213,1)-1)/100</f>
        <v>2.6000000000000002E-2</v>
      </c>
      <c r="AV214" s="573">
        <f t="shared" ref="AV214" si="2061">LEFT($B213, SEARCH("%",$B213,1)-1)/100</f>
        <v>2.6000000000000002E-2</v>
      </c>
      <c r="AW214" s="623">
        <f t="shared" ref="AW214" si="2062">LEFT($B213, SEARCH("%",$B213,1)-1)/100</f>
        <v>2.6000000000000002E-2</v>
      </c>
      <c r="AX214" s="573">
        <f t="shared" ref="AX214" si="2063">LEFT($B213, SEARCH("%",$B213,1)-1)/100</f>
        <v>2.6000000000000002E-2</v>
      </c>
      <c r="AY214" s="573"/>
      <c r="AZ214" s="573">
        <f t="shared" ref="AZ214" si="2064">LEFT($B213, SEARCH("%",$B213,1)-1)/100</f>
        <v>2.6000000000000002E-2</v>
      </c>
      <c r="BA214" s="573">
        <f t="shared" ref="BA214" si="2065">LEFT($B213, SEARCH("%",$B213,1)-1)/100</f>
        <v>2.6000000000000002E-2</v>
      </c>
      <c r="BB214" s="573">
        <f t="shared" ref="BB214" si="2066">LEFT($B213, SEARCH("%",$B213,1)-1)/100</f>
        <v>2.6000000000000002E-2</v>
      </c>
      <c r="BC214" s="573">
        <f t="shared" ref="BC214" si="2067">LEFT($B213, SEARCH("%",$B213,1)-1)/100</f>
        <v>2.6000000000000002E-2</v>
      </c>
      <c r="BD214" s="573">
        <f t="shared" ref="BD214" si="2068">LEFT($B213, SEARCH("%",$B213,1)-1)/100</f>
        <v>2.6000000000000002E-2</v>
      </c>
      <c r="BE214" s="573"/>
      <c r="BF214" s="573">
        <f t="shared" ref="BF214" si="2069">LEFT($B213, SEARCH("%",$B213,1)-1)/100</f>
        <v>2.6000000000000002E-2</v>
      </c>
      <c r="BG214" s="573">
        <f t="shared" ref="BG214" si="2070">LEFT($B213, SEARCH("%",$B213,1)-1)/100</f>
        <v>2.6000000000000002E-2</v>
      </c>
      <c r="BH214" s="573">
        <f t="shared" ref="BH214" si="2071">LEFT($B213, SEARCH("%",$B213,1)-1)/100</f>
        <v>2.6000000000000002E-2</v>
      </c>
      <c r="BI214" s="573">
        <f t="shared" ref="BI214" si="2072">LEFT($B213, SEARCH("%",$B213,1)-1)/100</f>
        <v>2.6000000000000002E-2</v>
      </c>
      <c r="BJ214" s="573">
        <f t="shared" ref="BJ214" si="2073">LEFT($B213, SEARCH("%",$B213,1)-1)/100</f>
        <v>2.6000000000000002E-2</v>
      </c>
      <c r="BK214" s="573"/>
      <c r="BL214" s="573">
        <f t="shared" ref="BL214" si="2074">LEFT($B213, SEARCH("%",$B213,1)-1)/100</f>
        <v>2.6000000000000002E-2</v>
      </c>
      <c r="BM214" s="573">
        <f t="shared" ref="BM214" si="2075">LEFT($B213, SEARCH("%",$B213,1)-1)/100</f>
        <v>2.6000000000000002E-2</v>
      </c>
      <c r="BN214" s="573">
        <f t="shared" ref="BN214" si="2076">LEFT($B213, SEARCH("%",$B213,1)-1)/100</f>
        <v>2.6000000000000002E-2</v>
      </c>
      <c r="BO214" s="573">
        <f t="shared" ref="BO214" si="2077">LEFT($B213, SEARCH("%",$B213,1)-1)/100</f>
        <v>2.6000000000000002E-2</v>
      </c>
      <c r="BP214" s="573">
        <f t="shared" ref="BP214" si="2078">LEFT($B213, SEARCH("%",$B213,1)-1)/100</f>
        <v>2.6000000000000002E-2</v>
      </c>
      <c r="BQ214" s="573"/>
      <c r="BR214" s="573">
        <f t="shared" ref="BR214" si="2079">LEFT($B213, SEARCH("%",$B213,1)-1)/100</f>
        <v>2.6000000000000002E-2</v>
      </c>
      <c r="BS214" s="573">
        <f t="shared" ref="BS214" si="2080">LEFT($B213, SEARCH("%",$B213,1)-1)/100</f>
        <v>2.6000000000000002E-2</v>
      </c>
      <c r="BT214" s="573">
        <f t="shared" ref="BT214" si="2081">LEFT($B213, SEARCH("%",$B213,1)-1)/100</f>
        <v>2.6000000000000002E-2</v>
      </c>
      <c r="BU214" s="573">
        <f t="shared" ref="BU214" si="2082">LEFT($B213, SEARCH("%",$B213,1)-1)/100</f>
        <v>2.6000000000000002E-2</v>
      </c>
      <c r="BV214" s="573">
        <f t="shared" ref="BV214" si="2083">LEFT($B213, SEARCH("%",$B213,1)-1)/100</f>
        <v>2.6000000000000002E-2</v>
      </c>
      <c r="BW214" s="573"/>
      <c r="BX214" s="573">
        <f t="shared" ref="BX214" si="2084">LEFT($B213, SEARCH("%",$B213,1)-1)/100</f>
        <v>2.6000000000000002E-2</v>
      </c>
      <c r="BY214" s="573">
        <f t="shared" ref="BY214" si="2085">LEFT($B213, SEARCH("%",$B213,1)-1)/100</f>
        <v>2.6000000000000002E-2</v>
      </c>
      <c r="BZ214" s="573">
        <f t="shared" ref="BZ214" si="2086">LEFT($B213, SEARCH("%",$B213,1)-1)/100</f>
        <v>2.6000000000000002E-2</v>
      </c>
      <c r="CA214" s="573">
        <f t="shared" ref="CA214" si="2087">LEFT($B213, SEARCH("%",$B213,1)-1)/100</f>
        <v>2.6000000000000002E-2</v>
      </c>
      <c r="CB214" s="573">
        <f t="shared" ref="CB214" si="2088">LEFT($B213, SEARCH("%",$B213,1)-1)/100</f>
        <v>2.6000000000000002E-2</v>
      </c>
      <c r="CC214" s="573"/>
      <c r="CD214" s="573">
        <f t="shared" ref="CD214" si="2089">LEFT($B213, SEARCH("%",$B213,1)-1)/100</f>
        <v>2.6000000000000002E-2</v>
      </c>
      <c r="CE214" s="573">
        <f t="shared" ref="CE214" si="2090">LEFT($B213, SEARCH("%",$B213,1)-1)/100</f>
        <v>2.6000000000000002E-2</v>
      </c>
      <c r="CF214" s="573">
        <f t="shared" ref="CF214" si="2091">LEFT($B213, SEARCH("%",$B213,1)-1)/100</f>
        <v>2.6000000000000002E-2</v>
      </c>
      <c r="CG214" s="573">
        <f t="shared" ref="CG214" si="2092">LEFT($B213, SEARCH("%",$B213,1)-1)/100</f>
        <v>2.6000000000000002E-2</v>
      </c>
      <c r="CH214" s="573">
        <f t="shared" ref="CH214" si="2093">LEFT($B213, SEARCH("%",$B213,1)-1)/100</f>
        <v>2.6000000000000002E-2</v>
      </c>
      <c r="CI214" s="573"/>
      <c r="CJ214" s="573">
        <f t="shared" ref="CJ214" si="2094">LEFT($B213, SEARCH("%",$B213,1)-1)/100</f>
        <v>2.6000000000000002E-2</v>
      </c>
      <c r="CK214" s="573">
        <f t="shared" ref="CK214" si="2095">LEFT($B213, SEARCH("%",$B213,1)-1)/100</f>
        <v>2.6000000000000002E-2</v>
      </c>
      <c r="CL214" s="573">
        <f t="shared" ref="CL214" si="2096">LEFT($B213, SEARCH("%",$B213,1)-1)/100</f>
        <v>2.6000000000000002E-2</v>
      </c>
      <c r="CM214" s="573">
        <f t="shared" ref="CM214" si="2097">LEFT($B213, SEARCH("%",$B213,1)-1)/100</f>
        <v>2.6000000000000002E-2</v>
      </c>
      <c r="CN214" s="573">
        <f t="shared" ref="CN214" si="2098">LEFT($B213, SEARCH("%",$B213,1)-1)/100</f>
        <v>2.6000000000000002E-2</v>
      </c>
      <c r="CO214" s="573"/>
      <c r="CP214" s="573"/>
    </row>
    <row r="215" spans="2:94" ht="12.95" hidden="1" customHeight="1" outlineLevel="1" x14ac:dyDescent="0.25">
      <c r="B215" s="2" t="s">
        <v>572</v>
      </c>
      <c r="D215" s="2">
        <v>82</v>
      </c>
      <c r="E215" s="2">
        <v>82</v>
      </c>
      <c r="F215" s="2">
        <v>82</v>
      </c>
      <c r="G215" s="2">
        <v>82</v>
      </c>
      <c r="H215" s="2">
        <v>82</v>
      </c>
      <c r="J215" s="2">
        <v>82</v>
      </c>
      <c r="K215" s="2">
        <v>82</v>
      </c>
      <c r="L215" s="2">
        <v>82</v>
      </c>
      <c r="M215" s="2">
        <v>82</v>
      </c>
      <c r="N215" s="2">
        <v>82</v>
      </c>
      <c r="P215" s="2">
        <v>82</v>
      </c>
      <c r="Q215" s="2">
        <v>82</v>
      </c>
      <c r="R215" s="2">
        <v>82</v>
      </c>
      <c r="S215" s="2">
        <v>82</v>
      </c>
      <c r="T215" s="2">
        <v>82</v>
      </c>
      <c r="V215" s="2">
        <v>82</v>
      </c>
      <c r="W215" s="2">
        <v>82</v>
      </c>
      <c r="X215" s="2">
        <v>82</v>
      </c>
      <c r="Y215" s="2">
        <v>82</v>
      </c>
      <c r="Z215" s="2">
        <v>82</v>
      </c>
      <c r="AB215" s="6">
        <v>82</v>
      </c>
      <c r="AC215" s="6">
        <v>82</v>
      </c>
      <c r="AD215" s="6">
        <v>82</v>
      </c>
      <c r="AE215" s="6">
        <v>82</v>
      </c>
      <c r="AF215" s="6">
        <v>82</v>
      </c>
      <c r="AG215" s="6"/>
      <c r="AH215" s="6">
        <v>82</v>
      </c>
      <c r="AI215" s="40">
        <v>82</v>
      </c>
      <c r="AJ215" s="6">
        <v>82</v>
      </c>
      <c r="AK215" s="6">
        <v>0</v>
      </c>
      <c r="AL215" s="6">
        <v>0</v>
      </c>
      <c r="AM215" s="6"/>
      <c r="AN215" s="6">
        <v>0</v>
      </c>
      <c r="AO215" s="243">
        <v>0</v>
      </c>
      <c r="AP215" s="6">
        <v>0</v>
      </c>
      <c r="AQ215" s="243">
        <v>0</v>
      </c>
      <c r="AR215" s="243">
        <v>0</v>
      </c>
      <c r="AS215" s="6"/>
      <c r="AT215" s="6">
        <v>0</v>
      </c>
      <c r="AU215" s="243">
        <v>0</v>
      </c>
      <c r="AV215" s="243">
        <v>0</v>
      </c>
      <c r="AW215" s="164">
        <v>0</v>
      </c>
      <c r="AX215" s="6">
        <v>0</v>
      </c>
      <c r="AY215" s="6"/>
      <c r="AZ215" s="6">
        <v>0</v>
      </c>
      <c r="BA215" s="6">
        <v>0</v>
      </c>
      <c r="BB215" s="6">
        <v>0</v>
      </c>
      <c r="BC215" s="6">
        <v>0</v>
      </c>
      <c r="BD215" s="6">
        <v>0</v>
      </c>
      <c r="BE215" s="6"/>
      <c r="BF215" s="6">
        <v>0</v>
      </c>
      <c r="BG215" s="6">
        <v>0</v>
      </c>
      <c r="BH215" s="6">
        <v>0</v>
      </c>
      <c r="BI215" s="6">
        <v>0</v>
      </c>
      <c r="BJ215" s="6">
        <v>0</v>
      </c>
      <c r="BK215" s="6"/>
      <c r="BL215" s="6">
        <v>0</v>
      </c>
      <c r="BM215" s="6">
        <v>0</v>
      </c>
      <c r="BN215" s="6">
        <v>0</v>
      </c>
      <c r="BO215" s="6">
        <v>0</v>
      </c>
      <c r="BP215" s="6">
        <v>0</v>
      </c>
      <c r="BQ215" s="6"/>
      <c r="BR215" s="6">
        <v>0</v>
      </c>
      <c r="BS215" s="6">
        <v>0</v>
      </c>
      <c r="BT215" s="6">
        <v>0</v>
      </c>
      <c r="BU215" s="6">
        <v>0</v>
      </c>
      <c r="BV215" s="6">
        <v>0</v>
      </c>
      <c r="BW215" s="6"/>
      <c r="BX215" s="6">
        <v>0</v>
      </c>
      <c r="BY215" s="6">
        <v>0</v>
      </c>
      <c r="BZ215" s="6">
        <v>0</v>
      </c>
      <c r="CA215" s="6">
        <v>0</v>
      </c>
      <c r="CB215" s="6">
        <v>0</v>
      </c>
      <c r="CC215" s="6"/>
      <c r="CD215" s="6">
        <v>0</v>
      </c>
      <c r="CE215" s="6">
        <v>0</v>
      </c>
      <c r="CF215" s="6">
        <v>0</v>
      </c>
      <c r="CG215" s="6">
        <v>0</v>
      </c>
      <c r="CH215" s="6">
        <v>0</v>
      </c>
      <c r="CI215" s="6"/>
      <c r="CJ215" s="6">
        <v>0</v>
      </c>
      <c r="CK215" s="6">
        <v>0</v>
      </c>
      <c r="CL215" s="6">
        <v>0</v>
      </c>
      <c r="CM215" s="6">
        <v>0</v>
      </c>
      <c r="CN215" s="6">
        <v>0</v>
      </c>
    </row>
    <row r="216" spans="2:94" ht="12.95" hidden="1" customHeight="1" outlineLevel="1" x14ac:dyDescent="0.25">
      <c r="B216" s="2" t="s">
        <v>40</v>
      </c>
      <c r="D216" s="573">
        <f>LEFT($B215, SEARCH("%",$B215,1)-1)/100</f>
        <v>0.08</v>
      </c>
      <c r="E216" s="573">
        <f t="shared" ref="E216" si="2099">LEFT($B215, SEARCH("%",$B215,1)-1)/100</f>
        <v>0.08</v>
      </c>
      <c r="F216" s="573">
        <f t="shared" ref="F216" si="2100">LEFT($B215, SEARCH("%",$B215,1)-1)/100</f>
        <v>0.08</v>
      </c>
      <c r="G216" s="573">
        <f t="shared" ref="G216" si="2101">LEFT($B215, SEARCH("%",$B215,1)-1)/100</f>
        <v>0.08</v>
      </c>
      <c r="H216" s="573">
        <f t="shared" ref="H216" si="2102">LEFT($B215, SEARCH("%",$B215,1)-1)/100</f>
        <v>0.08</v>
      </c>
      <c r="I216" s="573"/>
      <c r="J216" s="573">
        <f t="shared" ref="J216" si="2103">LEFT($B215, SEARCH("%",$B215,1)-1)/100</f>
        <v>0.08</v>
      </c>
      <c r="K216" s="573">
        <f t="shared" ref="K216" si="2104">LEFT($B215, SEARCH("%",$B215,1)-1)/100</f>
        <v>0.08</v>
      </c>
      <c r="L216" s="573">
        <f t="shared" ref="L216" si="2105">LEFT($B215, SEARCH("%",$B215,1)-1)/100</f>
        <v>0.08</v>
      </c>
      <c r="M216" s="573">
        <f t="shared" ref="M216" si="2106">LEFT($B215, SEARCH("%",$B215,1)-1)/100</f>
        <v>0.08</v>
      </c>
      <c r="N216" s="573">
        <f t="shared" ref="N216" si="2107">LEFT($B215, SEARCH("%",$B215,1)-1)/100</f>
        <v>0.08</v>
      </c>
      <c r="O216" s="573"/>
      <c r="P216" s="573">
        <f t="shared" ref="P216" si="2108">LEFT($B215, SEARCH("%",$B215,1)-1)/100</f>
        <v>0.08</v>
      </c>
      <c r="Q216" s="573">
        <f t="shared" ref="Q216" si="2109">LEFT($B215, SEARCH("%",$B215,1)-1)/100</f>
        <v>0.08</v>
      </c>
      <c r="R216" s="573">
        <f t="shared" ref="R216" si="2110">LEFT($B215, SEARCH("%",$B215,1)-1)/100</f>
        <v>0.08</v>
      </c>
      <c r="S216" s="573">
        <f t="shared" ref="S216" si="2111">LEFT($B215, SEARCH("%",$B215,1)-1)/100</f>
        <v>0.08</v>
      </c>
      <c r="T216" s="573">
        <f t="shared" ref="T216" si="2112">LEFT($B215, SEARCH("%",$B215,1)-1)/100</f>
        <v>0.08</v>
      </c>
      <c r="U216" s="573"/>
      <c r="V216" s="573">
        <f t="shared" ref="V216" si="2113">LEFT($B215, SEARCH("%",$B215,1)-1)/100</f>
        <v>0.08</v>
      </c>
      <c r="W216" s="573">
        <f t="shared" ref="W216" si="2114">LEFT($B215, SEARCH("%",$B215,1)-1)/100</f>
        <v>0.08</v>
      </c>
      <c r="X216" s="573">
        <f t="shared" ref="X216" si="2115">LEFT($B215, SEARCH("%",$B215,1)-1)/100</f>
        <v>0.08</v>
      </c>
      <c r="Y216" s="573">
        <f t="shared" ref="Y216" si="2116">LEFT($B215, SEARCH("%",$B215,1)-1)/100</f>
        <v>0.08</v>
      </c>
      <c r="Z216" s="573">
        <f t="shared" ref="Z216" si="2117">LEFT($B215, SEARCH("%",$B215,1)-1)/100</f>
        <v>0.08</v>
      </c>
      <c r="AA216" s="573"/>
      <c r="AB216" s="573">
        <f t="shared" ref="AB216" si="2118">LEFT($B215, SEARCH("%",$B215,1)-1)/100</f>
        <v>0.08</v>
      </c>
      <c r="AC216" s="573">
        <f t="shared" ref="AC216" si="2119">LEFT($B215, SEARCH("%",$B215,1)-1)/100</f>
        <v>0.08</v>
      </c>
      <c r="AD216" s="573">
        <f t="shared" ref="AD216" si="2120">LEFT($B215, SEARCH("%",$B215,1)-1)/100</f>
        <v>0.08</v>
      </c>
      <c r="AE216" s="573">
        <f t="shared" ref="AE216" si="2121">LEFT($B215, SEARCH("%",$B215,1)-1)/100</f>
        <v>0.08</v>
      </c>
      <c r="AF216" s="573">
        <f t="shared" ref="AF216" si="2122">LEFT($B215, SEARCH("%",$B215,1)-1)/100</f>
        <v>0.08</v>
      </c>
      <c r="AG216" s="573"/>
      <c r="AH216" s="573">
        <f t="shared" ref="AH216" si="2123">LEFT($B215, SEARCH("%",$B215,1)-1)/100</f>
        <v>0.08</v>
      </c>
      <c r="AI216" s="573">
        <f t="shared" ref="AI216" si="2124">LEFT($B215, SEARCH("%",$B215,1)-1)/100</f>
        <v>0.08</v>
      </c>
      <c r="AJ216" s="573">
        <f t="shared" ref="AJ216" si="2125">LEFT($B215, SEARCH("%",$B215,1)-1)/100</f>
        <v>0.08</v>
      </c>
      <c r="AK216" s="573">
        <f t="shared" ref="AK216" si="2126">LEFT($B215, SEARCH("%",$B215,1)-1)/100</f>
        <v>0.08</v>
      </c>
      <c r="AL216" s="573">
        <f t="shared" ref="AL216" si="2127">LEFT($B215, SEARCH("%",$B215,1)-1)/100</f>
        <v>0.08</v>
      </c>
      <c r="AM216" s="573"/>
      <c r="AN216" s="573">
        <f t="shared" ref="AN216" si="2128">LEFT($B215, SEARCH("%",$B215,1)-1)/100</f>
        <v>0.08</v>
      </c>
      <c r="AO216" s="573">
        <f t="shared" ref="AO216" si="2129">LEFT($B215, SEARCH("%",$B215,1)-1)/100</f>
        <v>0.08</v>
      </c>
      <c r="AP216" s="573">
        <f t="shared" ref="AP216" si="2130">LEFT($B215, SEARCH("%",$B215,1)-1)/100</f>
        <v>0.08</v>
      </c>
      <c r="AQ216" s="573">
        <f t="shared" ref="AQ216" si="2131">LEFT($B215, SEARCH("%",$B215,1)-1)/100</f>
        <v>0.08</v>
      </c>
      <c r="AR216" s="573">
        <f t="shared" ref="AR216" si="2132">LEFT($B215, SEARCH("%",$B215,1)-1)/100</f>
        <v>0.08</v>
      </c>
      <c r="AS216" s="573"/>
      <c r="AT216" s="573">
        <f t="shared" ref="AT216" si="2133">LEFT($B215, SEARCH("%",$B215,1)-1)/100</f>
        <v>0.08</v>
      </c>
      <c r="AU216" s="573">
        <f t="shared" ref="AU216" si="2134">LEFT($B215, SEARCH("%",$B215,1)-1)/100</f>
        <v>0.08</v>
      </c>
      <c r="AV216" s="573">
        <f t="shared" ref="AV216" si="2135">LEFT($B215, SEARCH("%",$B215,1)-1)/100</f>
        <v>0.08</v>
      </c>
      <c r="AW216" s="623">
        <f t="shared" ref="AW216" si="2136">LEFT($B215, SEARCH("%",$B215,1)-1)/100</f>
        <v>0.08</v>
      </c>
      <c r="AX216" s="573">
        <f t="shared" ref="AX216" si="2137">LEFT($B215, SEARCH("%",$B215,1)-1)/100</f>
        <v>0.08</v>
      </c>
      <c r="AY216" s="573"/>
      <c r="AZ216" s="573">
        <f t="shared" ref="AZ216" si="2138">LEFT($B215, SEARCH("%",$B215,1)-1)/100</f>
        <v>0.08</v>
      </c>
      <c r="BA216" s="573">
        <f t="shared" ref="BA216" si="2139">LEFT($B215, SEARCH("%",$B215,1)-1)/100</f>
        <v>0.08</v>
      </c>
      <c r="BB216" s="573">
        <f t="shared" ref="BB216" si="2140">LEFT($B215, SEARCH("%",$B215,1)-1)/100</f>
        <v>0.08</v>
      </c>
      <c r="BC216" s="573">
        <f t="shared" ref="BC216" si="2141">LEFT($B215, SEARCH("%",$B215,1)-1)/100</f>
        <v>0.08</v>
      </c>
      <c r="BD216" s="573">
        <f t="shared" ref="BD216" si="2142">LEFT($B215, SEARCH("%",$B215,1)-1)/100</f>
        <v>0.08</v>
      </c>
      <c r="BE216" s="573"/>
      <c r="BF216" s="573">
        <f t="shared" ref="BF216" si="2143">LEFT($B215, SEARCH("%",$B215,1)-1)/100</f>
        <v>0.08</v>
      </c>
      <c r="BG216" s="573">
        <f t="shared" ref="BG216" si="2144">LEFT($B215, SEARCH("%",$B215,1)-1)/100</f>
        <v>0.08</v>
      </c>
      <c r="BH216" s="573">
        <f t="shared" ref="BH216" si="2145">LEFT($B215, SEARCH("%",$B215,1)-1)/100</f>
        <v>0.08</v>
      </c>
      <c r="BI216" s="573">
        <f t="shared" ref="BI216" si="2146">LEFT($B215, SEARCH("%",$B215,1)-1)/100</f>
        <v>0.08</v>
      </c>
      <c r="BJ216" s="573">
        <f t="shared" ref="BJ216" si="2147">LEFT($B215, SEARCH("%",$B215,1)-1)/100</f>
        <v>0.08</v>
      </c>
      <c r="BK216" s="573"/>
      <c r="BL216" s="573">
        <f t="shared" ref="BL216" si="2148">LEFT($B215, SEARCH("%",$B215,1)-1)/100</f>
        <v>0.08</v>
      </c>
      <c r="BM216" s="573">
        <f t="shared" ref="BM216" si="2149">LEFT($B215, SEARCH("%",$B215,1)-1)/100</f>
        <v>0.08</v>
      </c>
      <c r="BN216" s="573">
        <f t="shared" ref="BN216" si="2150">LEFT($B215, SEARCH("%",$B215,1)-1)/100</f>
        <v>0.08</v>
      </c>
      <c r="BO216" s="573">
        <f t="shared" ref="BO216" si="2151">LEFT($B215, SEARCH("%",$B215,1)-1)/100</f>
        <v>0.08</v>
      </c>
      <c r="BP216" s="573">
        <f t="shared" ref="BP216" si="2152">LEFT($B215, SEARCH("%",$B215,1)-1)/100</f>
        <v>0.08</v>
      </c>
      <c r="BQ216" s="573"/>
      <c r="BR216" s="573">
        <f t="shared" ref="BR216" si="2153">LEFT($B215, SEARCH("%",$B215,1)-1)/100</f>
        <v>0.08</v>
      </c>
      <c r="BS216" s="573">
        <f t="shared" ref="BS216" si="2154">LEFT($B215, SEARCH("%",$B215,1)-1)/100</f>
        <v>0.08</v>
      </c>
      <c r="BT216" s="573">
        <f t="shared" ref="BT216" si="2155">LEFT($B215, SEARCH("%",$B215,1)-1)/100</f>
        <v>0.08</v>
      </c>
      <c r="BU216" s="573">
        <f t="shared" ref="BU216" si="2156">LEFT($B215, SEARCH("%",$B215,1)-1)/100</f>
        <v>0.08</v>
      </c>
      <c r="BV216" s="573">
        <f t="shared" ref="BV216" si="2157">LEFT($B215, SEARCH("%",$B215,1)-1)/100</f>
        <v>0.08</v>
      </c>
      <c r="BW216" s="573"/>
      <c r="BX216" s="573">
        <f t="shared" ref="BX216" si="2158">LEFT($B215, SEARCH("%",$B215,1)-1)/100</f>
        <v>0.08</v>
      </c>
      <c r="BY216" s="573">
        <f t="shared" ref="BY216" si="2159">LEFT($B215, SEARCH("%",$B215,1)-1)/100</f>
        <v>0.08</v>
      </c>
      <c r="BZ216" s="573">
        <f t="shared" ref="BZ216" si="2160">LEFT($B215, SEARCH("%",$B215,1)-1)/100</f>
        <v>0.08</v>
      </c>
      <c r="CA216" s="573">
        <f t="shared" ref="CA216" si="2161">LEFT($B215, SEARCH("%",$B215,1)-1)/100</f>
        <v>0.08</v>
      </c>
      <c r="CB216" s="573">
        <f t="shared" ref="CB216" si="2162">LEFT($B215, SEARCH("%",$B215,1)-1)/100</f>
        <v>0.08</v>
      </c>
      <c r="CC216" s="573"/>
      <c r="CD216" s="573">
        <f t="shared" ref="CD216" si="2163">LEFT($B215, SEARCH("%",$B215,1)-1)/100</f>
        <v>0.08</v>
      </c>
      <c r="CE216" s="573">
        <f t="shared" ref="CE216" si="2164">LEFT($B215, SEARCH("%",$B215,1)-1)/100</f>
        <v>0.08</v>
      </c>
      <c r="CF216" s="573">
        <f t="shared" ref="CF216" si="2165">LEFT($B215, SEARCH("%",$B215,1)-1)/100</f>
        <v>0.08</v>
      </c>
      <c r="CG216" s="573">
        <f t="shared" ref="CG216" si="2166">LEFT($B215, SEARCH("%",$B215,1)-1)/100</f>
        <v>0.08</v>
      </c>
      <c r="CH216" s="573">
        <f t="shared" ref="CH216" si="2167">LEFT($B215, SEARCH("%",$B215,1)-1)/100</f>
        <v>0.08</v>
      </c>
      <c r="CI216" s="573"/>
      <c r="CJ216" s="573">
        <f t="shared" ref="CJ216" si="2168">LEFT($B215, SEARCH("%",$B215,1)-1)/100</f>
        <v>0.08</v>
      </c>
      <c r="CK216" s="573">
        <f t="shared" ref="CK216" si="2169">LEFT($B215, SEARCH("%",$B215,1)-1)/100</f>
        <v>0.08</v>
      </c>
      <c r="CL216" s="573">
        <f t="shared" ref="CL216" si="2170">LEFT($B215, SEARCH("%",$B215,1)-1)/100</f>
        <v>0.08</v>
      </c>
      <c r="CM216" s="573">
        <f t="shared" ref="CM216" si="2171">LEFT($B215, SEARCH("%",$B215,1)-1)/100</f>
        <v>0.08</v>
      </c>
      <c r="CN216" s="573">
        <f t="shared" ref="CN216" si="2172">LEFT($B215, SEARCH("%",$B215,1)-1)/100</f>
        <v>0.08</v>
      </c>
      <c r="CO216" s="573"/>
      <c r="CP216" s="573"/>
    </row>
    <row r="217" spans="2:94" ht="12.95" hidden="1" customHeight="1" outlineLevel="1" x14ac:dyDescent="0.25">
      <c r="B217" s="2" t="s">
        <v>573</v>
      </c>
      <c r="D217" s="2">
        <v>192</v>
      </c>
      <c r="E217" s="2">
        <v>192</v>
      </c>
      <c r="F217" s="2">
        <v>192</v>
      </c>
      <c r="G217" s="2">
        <v>192</v>
      </c>
      <c r="H217" s="2">
        <v>192</v>
      </c>
      <c r="J217" s="2">
        <v>192</v>
      </c>
      <c r="K217" s="2">
        <v>192</v>
      </c>
      <c r="L217" s="2">
        <v>192</v>
      </c>
      <c r="M217" s="2">
        <v>192</v>
      </c>
      <c r="N217" s="2">
        <v>192</v>
      </c>
      <c r="P217" s="2">
        <v>192</v>
      </c>
      <c r="Q217" s="2">
        <v>192</v>
      </c>
      <c r="R217" s="2">
        <v>192</v>
      </c>
      <c r="S217" s="2">
        <v>192</v>
      </c>
      <c r="T217" s="2">
        <v>192</v>
      </c>
      <c r="V217" s="2">
        <v>192</v>
      </c>
      <c r="W217" s="2">
        <v>192</v>
      </c>
      <c r="X217" s="2">
        <v>192</v>
      </c>
      <c r="Y217" s="2">
        <v>192</v>
      </c>
      <c r="Z217" s="2">
        <v>192</v>
      </c>
      <c r="AB217" s="6">
        <v>192</v>
      </c>
      <c r="AC217" s="6">
        <v>192</v>
      </c>
      <c r="AD217" s="6">
        <v>192</v>
      </c>
      <c r="AE217" s="6">
        <v>192</v>
      </c>
      <c r="AF217" s="6">
        <v>192</v>
      </c>
      <c r="AG217" s="6"/>
      <c r="AH217" s="6">
        <v>192</v>
      </c>
      <c r="AI217" s="40">
        <v>192</v>
      </c>
      <c r="AJ217" s="6">
        <v>192</v>
      </c>
      <c r="AK217" s="6">
        <v>192</v>
      </c>
      <c r="AL217" s="6">
        <v>192</v>
      </c>
      <c r="AM217" s="6"/>
      <c r="AN217" s="6">
        <v>192</v>
      </c>
      <c r="AO217" s="243">
        <v>192</v>
      </c>
      <c r="AP217" s="6">
        <v>192</v>
      </c>
      <c r="AQ217" s="243">
        <v>193</v>
      </c>
      <c r="AR217" s="243">
        <v>193</v>
      </c>
      <c r="AS217" s="6"/>
      <c r="AT217" s="6">
        <v>193</v>
      </c>
      <c r="AU217" s="243">
        <v>193</v>
      </c>
      <c r="AV217" s="243">
        <v>193</v>
      </c>
      <c r="AW217" s="164">
        <v>193</v>
      </c>
      <c r="AX217" s="6">
        <v>193</v>
      </c>
      <c r="AY217" s="6"/>
      <c r="AZ217" s="6">
        <v>193</v>
      </c>
      <c r="BA217" s="6">
        <v>193</v>
      </c>
      <c r="BB217" s="6">
        <v>193</v>
      </c>
      <c r="BC217" s="6">
        <v>193</v>
      </c>
      <c r="BD217" s="6">
        <v>193</v>
      </c>
      <c r="BE217" s="6"/>
      <c r="BF217" s="6">
        <v>193</v>
      </c>
      <c r="BG217" s="6">
        <v>193</v>
      </c>
      <c r="BH217" s="6">
        <v>193</v>
      </c>
      <c r="BI217" s="6">
        <v>193</v>
      </c>
      <c r="BJ217" s="6">
        <v>193</v>
      </c>
      <c r="BK217" s="6"/>
      <c r="BL217" s="6">
        <v>193</v>
      </c>
      <c r="BM217" s="6">
        <v>193</v>
      </c>
      <c r="BN217" s="6">
        <v>193</v>
      </c>
      <c r="BO217" s="6">
        <v>193</v>
      </c>
      <c r="BP217" s="6">
        <v>193</v>
      </c>
      <c r="BQ217" s="6"/>
      <c r="BR217" s="6">
        <v>193</v>
      </c>
      <c r="BS217" s="6">
        <v>193</v>
      </c>
      <c r="BT217" s="6">
        <v>193</v>
      </c>
      <c r="BU217" s="6">
        <v>193</v>
      </c>
      <c r="BV217" s="6">
        <v>193</v>
      </c>
      <c r="BW217" s="6"/>
      <c r="BX217" s="6">
        <v>193</v>
      </c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</row>
    <row r="218" spans="2:94" ht="12.95" hidden="1" customHeight="1" outlineLevel="1" x14ac:dyDescent="0.25">
      <c r="B218" s="2" t="s">
        <v>40</v>
      </c>
      <c r="D218" s="573">
        <f>LEFT($B217, SEARCH("%",$B217,1)-1)/100</f>
        <v>6.6250000000000003E-2</v>
      </c>
      <c r="E218" s="573">
        <f t="shared" ref="E218" si="2173">LEFT($B217, SEARCH("%",$B217,1)-1)/100</f>
        <v>6.6250000000000003E-2</v>
      </c>
      <c r="F218" s="573">
        <f t="shared" ref="F218" si="2174">LEFT($B217, SEARCH("%",$B217,1)-1)/100</f>
        <v>6.6250000000000003E-2</v>
      </c>
      <c r="G218" s="573">
        <f t="shared" ref="G218" si="2175">LEFT($B217, SEARCH("%",$B217,1)-1)/100</f>
        <v>6.6250000000000003E-2</v>
      </c>
      <c r="H218" s="573">
        <f t="shared" ref="H218" si="2176">LEFT($B217, SEARCH("%",$B217,1)-1)/100</f>
        <v>6.6250000000000003E-2</v>
      </c>
      <c r="I218" s="573"/>
      <c r="J218" s="573">
        <f t="shared" ref="J218" si="2177">LEFT($B217, SEARCH("%",$B217,1)-1)/100</f>
        <v>6.6250000000000003E-2</v>
      </c>
      <c r="K218" s="573">
        <f t="shared" ref="K218" si="2178">LEFT($B217, SEARCH("%",$B217,1)-1)/100</f>
        <v>6.6250000000000003E-2</v>
      </c>
      <c r="L218" s="573">
        <f t="shared" ref="L218" si="2179">LEFT($B217, SEARCH("%",$B217,1)-1)/100</f>
        <v>6.6250000000000003E-2</v>
      </c>
      <c r="M218" s="573">
        <f t="shared" ref="M218" si="2180">LEFT($B217, SEARCH("%",$B217,1)-1)/100</f>
        <v>6.6250000000000003E-2</v>
      </c>
      <c r="N218" s="573">
        <f t="shared" ref="N218" si="2181">LEFT($B217, SEARCH("%",$B217,1)-1)/100</f>
        <v>6.6250000000000003E-2</v>
      </c>
      <c r="O218" s="573"/>
      <c r="P218" s="573">
        <f t="shared" ref="P218" si="2182">LEFT($B217, SEARCH("%",$B217,1)-1)/100</f>
        <v>6.6250000000000003E-2</v>
      </c>
      <c r="Q218" s="573">
        <f t="shared" ref="Q218" si="2183">LEFT($B217, SEARCH("%",$B217,1)-1)/100</f>
        <v>6.6250000000000003E-2</v>
      </c>
      <c r="R218" s="573">
        <f t="shared" ref="R218" si="2184">LEFT($B217, SEARCH("%",$B217,1)-1)/100</f>
        <v>6.6250000000000003E-2</v>
      </c>
      <c r="S218" s="573">
        <f t="shared" ref="S218" si="2185">LEFT($B217, SEARCH("%",$B217,1)-1)/100</f>
        <v>6.6250000000000003E-2</v>
      </c>
      <c r="T218" s="573">
        <f t="shared" ref="T218" si="2186">LEFT($B217, SEARCH("%",$B217,1)-1)/100</f>
        <v>6.6250000000000003E-2</v>
      </c>
      <c r="U218" s="573"/>
      <c r="V218" s="573">
        <f t="shared" ref="V218" si="2187">LEFT($B217, SEARCH("%",$B217,1)-1)/100</f>
        <v>6.6250000000000003E-2</v>
      </c>
      <c r="W218" s="573">
        <f t="shared" ref="W218" si="2188">LEFT($B217, SEARCH("%",$B217,1)-1)/100</f>
        <v>6.6250000000000003E-2</v>
      </c>
      <c r="X218" s="573">
        <f t="shared" ref="X218" si="2189">LEFT($B217, SEARCH("%",$B217,1)-1)/100</f>
        <v>6.6250000000000003E-2</v>
      </c>
      <c r="Y218" s="573">
        <f t="shared" ref="Y218" si="2190">LEFT($B217, SEARCH("%",$B217,1)-1)/100</f>
        <v>6.6250000000000003E-2</v>
      </c>
      <c r="Z218" s="573">
        <f t="shared" ref="Z218" si="2191">LEFT($B217, SEARCH("%",$B217,1)-1)/100</f>
        <v>6.6250000000000003E-2</v>
      </c>
      <c r="AA218" s="573"/>
      <c r="AB218" s="573">
        <f t="shared" ref="AB218" si="2192">LEFT($B217, SEARCH("%",$B217,1)-1)/100</f>
        <v>6.6250000000000003E-2</v>
      </c>
      <c r="AC218" s="573">
        <f t="shared" ref="AC218" si="2193">LEFT($B217, SEARCH("%",$B217,1)-1)/100</f>
        <v>6.6250000000000003E-2</v>
      </c>
      <c r="AD218" s="573">
        <f t="shared" ref="AD218" si="2194">LEFT($B217, SEARCH("%",$B217,1)-1)/100</f>
        <v>6.6250000000000003E-2</v>
      </c>
      <c r="AE218" s="573">
        <f t="shared" ref="AE218" si="2195">LEFT($B217, SEARCH("%",$B217,1)-1)/100</f>
        <v>6.6250000000000003E-2</v>
      </c>
      <c r="AF218" s="573">
        <f t="shared" ref="AF218" si="2196">LEFT($B217, SEARCH("%",$B217,1)-1)/100</f>
        <v>6.6250000000000003E-2</v>
      </c>
      <c r="AG218" s="573"/>
      <c r="AH218" s="573">
        <f t="shared" ref="AH218" si="2197">LEFT($B217, SEARCH("%",$B217,1)-1)/100</f>
        <v>6.6250000000000003E-2</v>
      </c>
      <c r="AI218" s="573">
        <f t="shared" ref="AI218" si="2198">LEFT($B217, SEARCH("%",$B217,1)-1)/100</f>
        <v>6.6250000000000003E-2</v>
      </c>
      <c r="AJ218" s="573">
        <f t="shared" ref="AJ218" si="2199">LEFT($B217, SEARCH("%",$B217,1)-1)/100</f>
        <v>6.6250000000000003E-2</v>
      </c>
      <c r="AK218" s="573">
        <f t="shared" ref="AK218" si="2200">LEFT($B217, SEARCH("%",$B217,1)-1)/100</f>
        <v>6.6250000000000003E-2</v>
      </c>
      <c r="AL218" s="573">
        <f t="shared" ref="AL218" si="2201">LEFT($B217, SEARCH("%",$B217,1)-1)/100</f>
        <v>6.6250000000000003E-2</v>
      </c>
      <c r="AM218" s="573"/>
      <c r="AN218" s="573">
        <f t="shared" ref="AN218" si="2202">LEFT($B217, SEARCH("%",$B217,1)-1)/100</f>
        <v>6.6250000000000003E-2</v>
      </c>
      <c r="AO218" s="573">
        <f t="shared" ref="AO218" si="2203">LEFT($B217, SEARCH("%",$B217,1)-1)/100</f>
        <v>6.6250000000000003E-2</v>
      </c>
      <c r="AP218" s="573">
        <f t="shared" ref="AP218" si="2204">LEFT($B217, SEARCH("%",$B217,1)-1)/100</f>
        <v>6.6250000000000003E-2</v>
      </c>
      <c r="AQ218" s="573">
        <f t="shared" ref="AQ218" si="2205">LEFT($B217, SEARCH("%",$B217,1)-1)/100</f>
        <v>6.6250000000000003E-2</v>
      </c>
      <c r="AR218" s="573">
        <f t="shared" ref="AR218" si="2206">LEFT($B217, SEARCH("%",$B217,1)-1)/100</f>
        <v>6.6250000000000003E-2</v>
      </c>
      <c r="AS218" s="573"/>
      <c r="AT218" s="573">
        <f t="shared" ref="AT218" si="2207">LEFT($B217, SEARCH("%",$B217,1)-1)/100</f>
        <v>6.6250000000000003E-2</v>
      </c>
      <c r="AU218" s="573">
        <f t="shared" ref="AU218" si="2208">LEFT($B217, SEARCH("%",$B217,1)-1)/100</f>
        <v>6.6250000000000003E-2</v>
      </c>
      <c r="AV218" s="573">
        <f t="shared" ref="AV218" si="2209">LEFT($B217, SEARCH("%",$B217,1)-1)/100</f>
        <v>6.6250000000000003E-2</v>
      </c>
      <c r="AW218" s="623">
        <f t="shared" ref="AW218" si="2210">LEFT($B217, SEARCH("%",$B217,1)-1)/100</f>
        <v>6.6250000000000003E-2</v>
      </c>
      <c r="AX218" s="573">
        <f t="shared" ref="AX218" si="2211">LEFT($B217, SEARCH("%",$B217,1)-1)/100</f>
        <v>6.6250000000000003E-2</v>
      </c>
      <c r="AY218" s="573"/>
      <c r="AZ218" s="573">
        <f t="shared" ref="AZ218" si="2212">LEFT($B217, SEARCH("%",$B217,1)-1)/100</f>
        <v>6.6250000000000003E-2</v>
      </c>
      <c r="BA218" s="573">
        <f t="shared" ref="BA218" si="2213">LEFT($B217, SEARCH("%",$B217,1)-1)/100</f>
        <v>6.6250000000000003E-2</v>
      </c>
      <c r="BB218" s="573">
        <f t="shared" ref="BB218" si="2214">LEFT($B217, SEARCH("%",$B217,1)-1)/100</f>
        <v>6.6250000000000003E-2</v>
      </c>
      <c r="BC218" s="573">
        <f t="shared" ref="BC218" si="2215">LEFT($B217, SEARCH("%",$B217,1)-1)/100</f>
        <v>6.6250000000000003E-2</v>
      </c>
      <c r="BD218" s="573">
        <f t="shared" ref="BD218" si="2216">LEFT($B217, SEARCH("%",$B217,1)-1)/100</f>
        <v>6.6250000000000003E-2</v>
      </c>
      <c r="BE218" s="573"/>
      <c r="BF218" s="573">
        <f t="shared" ref="BF218" si="2217">LEFT($B217, SEARCH("%",$B217,1)-1)/100</f>
        <v>6.6250000000000003E-2</v>
      </c>
      <c r="BG218" s="573">
        <f t="shared" ref="BG218" si="2218">LEFT($B217, SEARCH("%",$B217,1)-1)/100</f>
        <v>6.6250000000000003E-2</v>
      </c>
      <c r="BH218" s="573">
        <f t="shared" ref="BH218" si="2219">LEFT($B217, SEARCH("%",$B217,1)-1)/100</f>
        <v>6.6250000000000003E-2</v>
      </c>
      <c r="BI218" s="573">
        <f t="shared" ref="BI218" si="2220">LEFT($B217, SEARCH("%",$B217,1)-1)/100</f>
        <v>6.6250000000000003E-2</v>
      </c>
      <c r="BJ218" s="573">
        <f t="shared" ref="BJ218" si="2221">LEFT($B217, SEARCH("%",$B217,1)-1)/100</f>
        <v>6.6250000000000003E-2</v>
      </c>
      <c r="BK218" s="573"/>
      <c r="BL218" s="573">
        <f t="shared" ref="BL218" si="2222">LEFT($B217, SEARCH("%",$B217,1)-1)/100</f>
        <v>6.6250000000000003E-2</v>
      </c>
      <c r="BM218" s="573">
        <f t="shared" ref="BM218" si="2223">LEFT($B217, SEARCH("%",$B217,1)-1)/100</f>
        <v>6.6250000000000003E-2</v>
      </c>
      <c r="BN218" s="573">
        <f t="shared" ref="BN218" si="2224">LEFT($B217, SEARCH("%",$B217,1)-1)/100</f>
        <v>6.6250000000000003E-2</v>
      </c>
      <c r="BO218" s="573">
        <f t="shared" ref="BO218" si="2225">LEFT($B217, SEARCH("%",$B217,1)-1)/100</f>
        <v>6.6250000000000003E-2</v>
      </c>
      <c r="BP218" s="573">
        <f t="shared" ref="BP218" si="2226">LEFT($B217, SEARCH("%",$B217,1)-1)/100</f>
        <v>6.6250000000000003E-2</v>
      </c>
      <c r="BQ218" s="573"/>
      <c r="BR218" s="573">
        <f t="shared" ref="BR218" si="2227">LEFT($B217, SEARCH("%",$B217,1)-1)/100</f>
        <v>6.6250000000000003E-2</v>
      </c>
      <c r="BS218" s="573">
        <f t="shared" ref="BS218" si="2228">LEFT($B217, SEARCH("%",$B217,1)-1)/100</f>
        <v>6.6250000000000003E-2</v>
      </c>
      <c r="BT218" s="573">
        <f t="shared" ref="BT218" si="2229">LEFT($B217, SEARCH("%",$B217,1)-1)/100</f>
        <v>6.6250000000000003E-2</v>
      </c>
      <c r="BU218" s="573">
        <f t="shared" ref="BU218" si="2230">LEFT($B217, SEARCH("%",$B217,1)-1)/100</f>
        <v>6.6250000000000003E-2</v>
      </c>
      <c r="BV218" s="573">
        <f t="shared" ref="BV218" si="2231">LEFT($B217, SEARCH("%",$B217,1)-1)/100</f>
        <v>6.6250000000000003E-2</v>
      </c>
      <c r="BW218" s="573"/>
      <c r="BX218" s="573">
        <f t="shared" ref="BX218" si="2232">LEFT($B217, SEARCH("%",$B217,1)-1)/100</f>
        <v>6.6250000000000003E-2</v>
      </c>
      <c r="BY218" s="573">
        <f t="shared" ref="BY218" si="2233">LEFT($B217, SEARCH("%",$B217,1)-1)/100</f>
        <v>6.6250000000000003E-2</v>
      </c>
      <c r="BZ218" s="573">
        <f t="shared" ref="BZ218" si="2234">LEFT($B217, SEARCH("%",$B217,1)-1)/100</f>
        <v>6.6250000000000003E-2</v>
      </c>
      <c r="CA218" s="573">
        <f t="shared" ref="CA218" si="2235">LEFT($B217, SEARCH("%",$B217,1)-1)/100</f>
        <v>6.6250000000000003E-2</v>
      </c>
      <c r="CB218" s="573">
        <f t="shared" ref="CB218" si="2236">LEFT($B217, SEARCH("%",$B217,1)-1)/100</f>
        <v>6.6250000000000003E-2</v>
      </c>
      <c r="CC218" s="573"/>
      <c r="CD218" s="573">
        <f t="shared" ref="CD218" si="2237">LEFT($B217, SEARCH("%",$B217,1)-1)/100</f>
        <v>6.6250000000000003E-2</v>
      </c>
      <c r="CE218" s="573">
        <f t="shared" ref="CE218" si="2238">LEFT($B217, SEARCH("%",$B217,1)-1)/100</f>
        <v>6.6250000000000003E-2</v>
      </c>
      <c r="CF218" s="573">
        <f t="shared" ref="CF218" si="2239">LEFT($B217, SEARCH("%",$B217,1)-1)/100</f>
        <v>6.6250000000000003E-2</v>
      </c>
      <c r="CG218" s="573">
        <f t="shared" ref="CG218" si="2240">LEFT($B217, SEARCH("%",$B217,1)-1)/100</f>
        <v>6.6250000000000003E-2</v>
      </c>
      <c r="CH218" s="573">
        <f t="shared" ref="CH218" si="2241">LEFT($B217, SEARCH("%",$B217,1)-1)/100</f>
        <v>6.6250000000000003E-2</v>
      </c>
      <c r="CI218" s="573"/>
      <c r="CJ218" s="573">
        <f t="shared" ref="CJ218" si="2242">LEFT($B217, SEARCH("%",$B217,1)-1)/100</f>
        <v>6.6250000000000003E-2</v>
      </c>
      <c r="CK218" s="573">
        <f t="shared" ref="CK218" si="2243">LEFT($B217, SEARCH("%",$B217,1)-1)/100</f>
        <v>6.6250000000000003E-2</v>
      </c>
      <c r="CL218" s="573">
        <f t="shared" ref="CL218" si="2244">LEFT($B217, SEARCH("%",$B217,1)-1)/100</f>
        <v>6.6250000000000003E-2</v>
      </c>
      <c r="CM218" s="573">
        <f t="shared" ref="CM218" si="2245">LEFT($B217, SEARCH("%",$B217,1)-1)/100</f>
        <v>6.6250000000000003E-2</v>
      </c>
      <c r="CN218" s="573">
        <f t="shared" ref="CN218" si="2246">LEFT($B217, SEARCH("%",$B217,1)-1)/100</f>
        <v>6.6250000000000003E-2</v>
      </c>
      <c r="CO218" s="573"/>
      <c r="CP218" s="573"/>
    </row>
    <row r="219" spans="2:94" ht="12.95" hidden="1" customHeight="1" outlineLevel="1" x14ac:dyDescent="0.25">
      <c r="B219" s="2" t="s">
        <v>574</v>
      </c>
      <c r="D219" s="2">
        <v>241</v>
      </c>
      <c r="E219" s="2">
        <v>241</v>
      </c>
      <c r="F219" s="2">
        <v>241</v>
      </c>
      <c r="G219" s="2">
        <v>241</v>
      </c>
      <c r="H219" s="2">
        <v>241</v>
      </c>
      <c r="J219" s="2">
        <v>241</v>
      </c>
      <c r="K219" s="2">
        <v>241</v>
      </c>
      <c r="L219" s="2">
        <v>241</v>
      </c>
      <c r="M219" s="2">
        <v>241</v>
      </c>
      <c r="N219" s="2">
        <v>241</v>
      </c>
      <c r="P219" s="2">
        <v>241</v>
      </c>
      <c r="Q219" s="2">
        <v>241</v>
      </c>
      <c r="R219" s="2">
        <v>241</v>
      </c>
      <c r="S219" s="2">
        <v>240</v>
      </c>
      <c r="T219" s="2">
        <v>240</v>
      </c>
      <c r="V219" s="2">
        <v>240</v>
      </c>
      <c r="W219" s="2">
        <v>240</v>
      </c>
      <c r="X219" s="2">
        <v>240</v>
      </c>
      <c r="Y219" s="2">
        <v>240</v>
      </c>
      <c r="Z219" s="2">
        <v>240</v>
      </c>
      <c r="AB219" s="6">
        <v>240</v>
      </c>
      <c r="AC219" s="6">
        <v>240</v>
      </c>
      <c r="AD219" s="6">
        <v>240</v>
      </c>
      <c r="AE219" s="6">
        <v>240</v>
      </c>
      <c r="AF219" s="6">
        <v>240</v>
      </c>
      <c r="AG219" s="6"/>
      <c r="AH219" s="6">
        <v>240</v>
      </c>
      <c r="AI219" s="6">
        <v>240</v>
      </c>
      <c r="AJ219" s="6">
        <v>240</v>
      </c>
      <c r="AK219" s="6">
        <v>240</v>
      </c>
      <c r="AL219" s="6">
        <v>240</v>
      </c>
      <c r="AM219" s="6"/>
      <c r="AN219" s="6">
        <v>240</v>
      </c>
      <c r="AO219" s="260">
        <v>240</v>
      </c>
      <c r="AP219" s="6">
        <v>240</v>
      </c>
      <c r="AQ219" s="243">
        <v>241</v>
      </c>
      <c r="AR219" s="243">
        <v>241</v>
      </c>
      <c r="AS219" s="6"/>
      <c r="AT219" s="6">
        <v>241</v>
      </c>
      <c r="AU219" s="243">
        <v>241</v>
      </c>
      <c r="AV219" s="243">
        <v>241</v>
      </c>
      <c r="AW219" s="164">
        <v>241</v>
      </c>
      <c r="AX219" s="6">
        <v>241</v>
      </c>
      <c r="AY219" s="6"/>
      <c r="AZ219" s="6">
        <v>241</v>
      </c>
      <c r="BA219" s="6">
        <v>241</v>
      </c>
      <c r="BB219" s="6">
        <v>241</v>
      </c>
      <c r="BC219" s="6">
        <v>241</v>
      </c>
      <c r="BD219" s="6">
        <v>241</v>
      </c>
      <c r="BE219" s="6"/>
      <c r="BF219" s="6">
        <v>241</v>
      </c>
      <c r="BG219" s="6">
        <v>241</v>
      </c>
      <c r="BH219" s="6">
        <v>241</v>
      </c>
      <c r="BI219" s="6">
        <v>241</v>
      </c>
      <c r="BJ219" s="6">
        <v>241</v>
      </c>
      <c r="BK219" s="6"/>
      <c r="BL219" s="6">
        <v>241</v>
      </c>
      <c r="BM219" s="6">
        <v>241</v>
      </c>
      <c r="BN219" s="6">
        <v>241</v>
      </c>
      <c r="BO219" s="6">
        <v>241</v>
      </c>
      <c r="BP219" s="6">
        <v>241</v>
      </c>
      <c r="BQ219" s="6"/>
      <c r="BR219" s="6">
        <v>241</v>
      </c>
      <c r="BS219" s="6">
        <v>241</v>
      </c>
      <c r="BT219" s="6">
        <v>241</v>
      </c>
      <c r="BU219" s="6">
        <v>241</v>
      </c>
      <c r="BV219" s="6">
        <v>241</v>
      </c>
      <c r="BW219" s="6"/>
      <c r="BX219" s="6">
        <v>241</v>
      </c>
      <c r="BY219" s="6">
        <v>241</v>
      </c>
      <c r="BZ219" s="6">
        <v>241</v>
      </c>
      <c r="CA219" s="6">
        <v>241</v>
      </c>
      <c r="CB219" s="6">
        <v>241</v>
      </c>
      <c r="CC219" s="6"/>
      <c r="CD219" s="6">
        <v>241</v>
      </c>
      <c r="CE219" s="6">
        <v>241</v>
      </c>
      <c r="CF219" s="6">
        <v>241</v>
      </c>
      <c r="CG219" s="6">
        <v>241</v>
      </c>
      <c r="CH219" s="6">
        <v>241</v>
      </c>
      <c r="CI219" s="6"/>
      <c r="CJ219" s="6">
        <v>241</v>
      </c>
      <c r="CK219" s="6"/>
      <c r="CL219" s="6"/>
      <c r="CM219" s="6"/>
      <c r="CN219" s="6"/>
    </row>
    <row r="220" spans="2:94" ht="12.95" hidden="1" customHeight="1" outlineLevel="1" x14ac:dyDescent="0.25">
      <c r="B220" s="2" t="s">
        <v>40</v>
      </c>
      <c r="D220" s="573">
        <f>LEFT($B219, SEARCH("%",$B219,1)-1)/100</f>
        <v>7.2999999999999995E-2</v>
      </c>
      <c r="E220" s="573">
        <f t="shared" ref="E220" si="2247">LEFT($B219, SEARCH("%",$B219,1)-1)/100</f>
        <v>7.2999999999999995E-2</v>
      </c>
      <c r="F220" s="573">
        <f t="shared" ref="F220" si="2248">LEFT($B219, SEARCH("%",$B219,1)-1)/100</f>
        <v>7.2999999999999995E-2</v>
      </c>
      <c r="G220" s="573">
        <f t="shared" ref="G220" si="2249">LEFT($B219, SEARCH("%",$B219,1)-1)/100</f>
        <v>7.2999999999999995E-2</v>
      </c>
      <c r="H220" s="573">
        <f t="shared" ref="H220" si="2250">LEFT($B219, SEARCH("%",$B219,1)-1)/100</f>
        <v>7.2999999999999995E-2</v>
      </c>
      <c r="I220" s="573"/>
      <c r="J220" s="573">
        <f t="shared" ref="J220" si="2251">LEFT($B219, SEARCH("%",$B219,1)-1)/100</f>
        <v>7.2999999999999995E-2</v>
      </c>
      <c r="K220" s="573">
        <f t="shared" ref="K220" si="2252">LEFT($B219, SEARCH("%",$B219,1)-1)/100</f>
        <v>7.2999999999999995E-2</v>
      </c>
      <c r="L220" s="573">
        <f t="shared" ref="L220" si="2253">LEFT($B219, SEARCH("%",$B219,1)-1)/100</f>
        <v>7.2999999999999995E-2</v>
      </c>
      <c r="M220" s="573">
        <f t="shared" ref="M220" si="2254">LEFT($B219, SEARCH("%",$B219,1)-1)/100</f>
        <v>7.2999999999999995E-2</v>
      </c>
      <c r="N220" s="573">
        <f t="shared" ref="N220" si="2255">LEFT($B219, SEARCH("%",$B219,1)-1)/100</f>
        <v>7.2999999999999995E-2</v>
      </c>
      <c r="O220" s="573"/>
      <c r="P220" s="573">
        <f t="shared" ref="P220" si="2256">LEFT($B219, SEARCH("%",$B219,1)-1)/100</f>
        <v>7.2999999999999995E-2</v>
      </c>
      <c r="Q220" s="573">
        <f t="shared" ref="Q220" si="2257">LEFT($B219, SEARCH("%",$B219,1)-1)/100</f>
        <v>7.2999999999999995E-2</v>
      </c>
      <c r="R220" s="573">
        <f t="shared" ref="R220" si="2258">LEFT($B219, SEARCH("%",$B219,1)-1)/100</f>
        <v>7.2999999999999995E-2</v>
      </c>
      <c r="S220" s="573">
        <f t="shared" ref="S220" si="2259">LEFT($B219, SEARCH("%",$B219,1)-1)/100</f>
        <v>7.2999999999999995E-2</v>
      </c>
      <c r="T220" s="573">
        <f t="shared" ref="T220" si="2260">LEFT($B219, SEARCH("%",$B219,1)-1)/100</f>
        <v>7.2999999999999995E-2</v>
      </c>
      <c r="U220" s="573"/>
      <c r="V220" s="573">
        <f t="shared" ref="V220" si="2261">LEFT($B219, SEARCH("%",$B219,1)-1)/100</f>
        <v>7.2999999999999995E-2</v>
      </c>
      <c r="W220" s="573">
        <f t="shared" ref="W220" si="2262">LEFT($B219, SEARCH("%",$B219,1)-1)/100</f>
        <v>7.2999999999999995E-2</v>
      </c>
      <c r="X220" s="573">
        <f t="shared" ref="X220" si="2263">LEFT($B219, SEARCH("%",$B219,1)-1)/100</f>
        <v>7.2999999999999995E-2</v>
      </c>
      <c r="Y220" s="573">
        <f t="shared" ref="Y220" si="2264">LEFT($B219, SEARCH("%",$B219,1)-1)/100</f>
        <v>7.2999999999999995E-2</v>
      </c>
      <c r="Z220" s="573">
        <f t="shared" ref="Z220" si="2265">LEFT($B219, SEARCH("%",$B219,1)-1)/100</f>
        <v>7.2999999999999995E-2</v>
      </c>
      <c r="AA220" s="573"/>
      <c r="AB220" s="573">
        <f t="shared" ref="AB220" si="2266">LEFT($B219, SEARCH("%",$B219,1)-1)/100</f>
        <v>7.2999999999999995E-2</v>
      </c>
      <c r="AC220" s="573">
        <f t="shared" ref="AC220" si="2267">LEFT($B219, SEARCH("%",$B219,1)-1)/100</f>
        <v>7.2999999999999995E-2</v>
      </c>
      <c r="AD220" s="573">
        <f t="shared" ref="AD220" si="2268">LEFT($B219, SEARCH("%",$B219,1)-1)/100</f>
        <v>7.2999999999999995E-2</v>
      </c>
      <c r="AE220" s="573">
        <f t="shared" ref="AE220" si="2269">LEFT($B219, SEARCH("%",$B219,1)-1)/100</f>
        <v>7.2999999999999995E-2</v>
      </c>
      <c r="AF220" s="573">
        <f t="shared" ref="AF220" si="2270">LEFT($B219, SEARCH("%",$B219,1)-1)/100</f>
        <v>7.2999999999999995E-2</v>
      </c>
      <c r="AG220" s="573"/>
      <c r="AH220" s="573">
        <f t="shared" ref="AH220" si="2271">LEFT($B219, SEARCH("%",$B219,1)-1)/100</f>
        <v>7.2999999999999995E-2</v>
      </c>
      <c r="AI220" s="573">
        <f t="shared" ref="AI220" si="2272">LEFT($B219, SEARCH("%",$B219,1)-1)/100</f>
        <v>7.2999999999999995E-2</v>
      </c>
      <c r="AJ220" s="573">
        <f t="shared" ref="AJ220" si="2273">LEFT($B219, SEARCH("%",$B219,1)-1)/100</f>
        <v>7.2999999999999995E-2</v>
      </c>
      <c r="AK220" s="573">
        <f t="shared" ref="AK220" si="2274">LEFT($B219, SEARCH("%",$B219,1)-1)/100</f>
        <v>7.2999999999999995E-2</v>
      </c>
      <c r="AL220" s="573">
        <f t="shared" ref="AL220" si="2275">LEFT($B219, SEARCH("%",$B219,1)-1)/100</f>
        <v>7.2999999999999995E-2</v>
      </c>
      <c r="AM220" s="573"/>
      <c r="AN220" s="573">
        <f t="shared" ref="AN220" si="2276">LEFT($B219, SEARCH("%",$B219,1)-1)/100</f>
        <v>7.2999999999999995E-2</v>
      </c>
      <c r="AO220" s="573">
        <f t="shared" ref="AO220" si="2277">LEFT($B219, SEARCH("%",$B219,1)-1)/100</f>
        <v>7.2999999999999995E-2</v>
      </c>
      <c r="AP220" s="573">
        <f t="shared" ref="AP220" si="2278">LEFT($B219, SEARCH("%",$B219,1)-1)/100</f>
        <v>7.2999999999999995E-2</v>
      </c>
      <c r="AQ220" s="573">
        <f t="shared" ref="AQ220" si="2279">LEFT($B219, SEARCH("%",$B219,1)-1)/100</f>
        <v>7.2999999999999995E-2</v>
      </c>
      <c r="AR220" s="573">
        <f t="shared" ref="AR220" si="2280">LEFT($B219, SEARCH("%",$B219,1)-1)/100</f>
        <v>7.2999999999999995E-2</v>
      </c>
      <c r="AS220" s="573"/>
      <c r="AT220" s="573">
        <f t="shared" ref="AT220" si="2281">LEFT($B219, SEARCH("%",$B219,1)-1)/100</f>
        <v>7.2999999999999995E-2</v>
      </c>
      <c r="AU220" s="573">
        <f t="shared" ref="AU220" si="2282">LEFT($B219, SEARCH("%",$B219,1)-1)/100</f>
        <v>7.2999999999999995E-2</v>
      </c>
      <c r="AV220" s="573">
        <f t="shared" ref="AV220" si="2283">LEFT($B219, SEARCH("%",$B219,1)-1)/100</f>
        <v>7.2999999999999995E-2</v>
      </c>
      <c r="AW220" s="623">
        <f t="shared" ref="AW220" si="2284">LEFT($B219, SEARCH("%",$B219,1)-1)/100</f>
        <v>7.2999999999999995E-2</v>
      </c>
      <c r="AX220" s="573">
        <f t="shared" ref="AX220" si="2285">LEFT($B219, SEARCH("%",$B219,1)-1)/100</f>
        <v>7.2999999999999995E-2</v>
      </c>
      <c r="AY220" s="573"/>
      <c r="AZ220" s="573">
        <f t="shared" ref="AZ220" si="2286">LEFT($B219, SEARCH("%",$B219,1)-1)/100</f>
        <v>7.2999999999999995E-2</v>
      </c>
      <c r="BA220" s="573">
        <f t="shared" ref="BA220" si="2287">LEFT($B219, SEARCH("%",$B219,1)-1)/100</f>
        <v>7.2999999999999995E-2</v>
      </c>
      <c r="BB220" s="573">
        <f t="shared" ref="BB220" si="2288">LEFT($B219, SEARCH("%",$B219,1)-1)/100</f>
        <v>7.2999999999999995E-2</v>
      </c>
      <c r="BC220" s="573">
        <f t="shared" ref="BC220" si="2289">LEFT($B219, SEARCH("%",$B219,1)-1)/100</f>
        <v>7.2999999999999995E-2</v>
      </c>
      <c r="BD220" s="573">
        <f t="shared" ref="BD220" si="2290">LEFT($B219, SEARCH("%",$B219,1)-1)/100</f>
        <v>7.2999999999999995E-2</v>
      </c>
      <c r="BE220" s="573"/>
      <c r="BF220" s="573">
        <f t="shared" ref="BF220" si="2291">LEFT($B219, SEARCH("%",$B219,1)-1)/100</f>
        <v>7.2999999999999995E-2</v>
      </c>
      <c r="BG220" s="573">
        <f t="shared" ref="BG220" si="2292">LEFT($B219, SEARCH("%",$B219,1)-1)/100</f>
        <v>7.2999999999999995E-2</v>
      </c>
      <c r="BH220" s="573">
        <f t="shared" ref="BH220" si="2293">LEFT($B219, SEARCH("%",$B219,1)-1)/100</f>
        <v>7.2999999999999995E-2</v>
      </c>
      <c r="BI220" s="573">
        <f t="shared" ref="BI220" si="2294">LEFT($B219, SEARCH("%",$B219,1)-1)/100</f>
        <v>7.2999999999999995E-2</v>
      </c>
      <c r="BJ220" s="573">
        <f t="shared" ref="BJ220" si="2295">LEFT($B219, SEARCH("%",$B219,1)-1)/100</f>
        <v>7.2999999999999995E-2</v>
      </c>
      <c r="BK220" s="573"/>
      <c r="BL220" s="573">
        <f t="shared" ref="BL220" si="2296">LEFT($B219, SEARCH("%",$B219,1)-1)/100</f>
        <v>7.2999999999999995E-2</v>
      </c>
      <c r="BM220" s="573">
        <f t="shared" ref="BM220" si="2297">LEFT($B219, SEARCH("%",$B219,1)-1)/100</f>
        <v>7.2999999999999995E-2</v>
      </c>
      <c r="BN220" s="573">
        <f t="shared" ref="BN220" si="2298">LEFT($B219, SEARCH("%",$B219,1)-1)/100</f>
        <v>7.2999999999999995E-2</v>
      </c>
      <c r="BO220" s="573">
        <f t="shared" ref="BO220" si="2299">LEFT($B219, SEARCH("%",$B219,1)-1)/100</f>
        <v>7.2999999999999995E-2</v>
      </c>
      <c r="BP220" s="573">
        <f t="shared" ref="BP220" si="2300">LEFT($B219, SEARCH("%",$B219,1)-1)/100</f>
        <v>7.2999999999999995E-2</v>
      </c>
      <c r="BQ220" s="573"/>
      <c r="BR220" s="573">
        <f t="shared" ref="BR220" si="2301">LEFT($B219, SEARCH("%",$B219,1)-1)/100</f>
        <v>7.2999999999999995E-2</v>
      </c>
      <c r="BS220" s="573">
        <f t="shared" ref="BS220" si="2302">LEFT($B219, SEARCH("%",$B219,1)-1)/100</f>
        <v>7.2999999999999995E-2</v>
      </c>
      <c r="BT220" s="573">
        <f t="shared" ref="BT220" si="2303">LEFT($B219, SEARCH("%",$B219,1)-1)/100</f>
        <v>7.2999999999999995E-2</v>
      </c>
      <c r="BU220" s="573">
        <f t="shared" ref="BU220" si="2304">LEFT($B219, SEARCH("%",$B219,1)-1)/100</f>
        <v>7.2999999999999995E-2</v>
      </c>
      <c r="BV220" s="573">
        <f t="shared" ref="BV220" si="2305">LEFT($B219, SEARCH("%",$B219,1)-1)/100</f>
        <v>7.2999999999999995E-2</v>
      </c>
      <c r="BW220" s="573"/>
      <c r="BX220" s="573">
        <f t="shared" ref="BX220" si="2306">LEFT($B219, SEARCH("%",$B219,1)-1)/100</f>
        <v>7.2999999999999995E-2</v>
      </c>
      <c r="BY220" s="573">
        <f t="shared" ref="BY220" si="2307">LEFT($B219, SEARCH("%",$B219,1)-1)/100</f>
        <v>7.2999999999999995E-2</v>
      </c>
      <c r="BZ220" s="573">
        <f t="shared" ref="BZ220" si="2308">LEFT($B219, SEARCH("%",$B219,1)-1)/100</f>
        <v>7.2999999999999995E-2</v>
      </c>
      <c r="CA220" s="573">
        <f t="shared" ref="CA220" si="2309">LEFT($B219, SEARCH("%",$B219,1)-1)/100</f>
        <v>7.2999999999999995E-2</v>
      </c>
      <c r="CB220" s="573">
        <f t="shared" ref="CB220" si="2310">LEFT($B219, SEARCH("%",$B219,1)-1)/100</f>
        <v>7.2999999999999995E-2</v>
      </c>
      <c r="CC220" s="573"/>
      <c r="CD220" s="573">
        <f t="shared" ref="CD220" si="2311">LEFT($B219, SEARCH("%",$B219,1)-1)/100</f>
        <v>7.2999999999999995E-2</v>
      </c>
      <c r="CE220" s="573">
        <f t="shared" ref="CE220" si="2312">LEFT($B219, SEARCH("%",$B219,1)-1)/100</f>
        <v>7.2999999999999995E-2</v>
      </c>
      <c r="CF220" s="573">
        <f t="shared" ref="CF220" si="2313">LEFT($B219, SEARCH("%",$B219,1)-1)/100</f>
        <v>7.2999999999999995E-2</v>
      </c>
      <c r="CG220" s="573">
        <f t="shared" ref="CG220" si="2314">LEFT($B219, SEARCH("%",$B219,1)-1)/100</f>
        <v>7.2999999999999995E-2</v>
      </c>
      <c r="CH220" s="573">
        <f t="shared" ref="CH220" si="2315">LEFT($B219, SEARCH("%",$B219,1)-1)/100</f>
        <v>7.2999999999999995E-2</v>
      </c>
      <c r="CI220" s="573"/>
      <c r="CJ220" s="573">
        <f t="shared" ref="CJ220" si="2316">LEFT($B219, SEARCH("%",$B219,1)-1)/100</f>
        <v>7.2999999999999995E-2</v>
      </c>
      <c r="CK220" s="573">
        <f t="shared" ref="CK220" si="2317">LEFT($B219, SEARCH("%",$B219,1)-1)/100</f>
        <v>7.2999999999999995E-2</v>
      </c>
      <c r="CL220" s="573">
        <f t="shared" ref="CL220" si="2318">LEFT($B219, SEARCH("%",$B219,1)-1)/100</f>
        <v>7.2999999999999995E-2</v>
      </c>
      <c r="CM220" s="573">
        <f t="shared" ref="CM220" si="2319">LEFT($B219, SEARCH("%",$B219,1)-1)/100</f>
        <v>7.2999999999999995E-2</v>
      </c>
      <c r="CN220" s="573">
        <f t="shared" ref="CN220" si="2320">LEFT($B219, SEARCH("%",$B219,1)-1)/100</f>
        <v>7.2999999999999995E-2</v>
      </c>
      <c r="CO220" s="573"/>
      <c r="CP220" s="573"/>
    </row>
    <row r="221" spans="2:94" ht="12.95" hidden="1" customHeight="1" outlineLevel="1" x14ac:dyDescent="0.25">
      <c r="B221" s="2" t="s">
        <v>575</v>
      </c>
      <c r="D221" s="2">
        <v>214</v>
      </c>
      <c r="E221" s="2">
        <v>214</v>
      </c>
      <c r="F221" s="2">
        <v>214</v>
      </c>
      <c r="G221" s="2">
        <v>216</v>
      </c>
      <c r="H221" s="2">
        <v>216</v>
      </c>
      <c r="J221" s="2">
        <v>216</v>
      </c>
      <c r="K221" s="2">
        <v>216</v>
      </c>
      <c r="L221" s="2">
        <v>216</v>
      </c>
      <c r="M221" s="2">
        <v>216</v>
      </c>
      <c r="N221" s="2">
        <v>216</v>
      </c>
      <c r="P221" s="2">
        <v>216</v>
      </c>
      <c r="Q221" s="2">
        <v>216</v>
      </c>
      <c r="R221" s="2">
        <v>216</v>
      </c>
      <c r="S221" s="2">
        <v>220</v>
      </c>
      <c r="T221" s="2">
        <v>220</v>
      </c>
      <c r="V221" s="2">
        <v>220</v>
      </c>
      <c r="W221" s="2">
        <v>220</v>
      </c>
      <c r="X221" s="2">
        <v>220</v>
      </c>
      <c r="Y221" s="2">
        <v>220</v>
      </c>
      <c r="Z221" s="2">
        <v>220</v>
      </c>
      <c r="AB221" s="6">
        <v>220</v>
      </c>
      <c r="AC221" s="6">
        <v>220</v>
      </c>
      <c r="AD221" s="6">
        <v>220</v>
      </c>
      <c r="AE221" s="6">
        <v>226</v>
      </c>
      <c r="AF221" s="6">
        <v>226</v>
      </c>
      <c r="AG221" s="6"/>
      <c r="AH221" s="6">
        <v>226</v>
      </c>
      <c r="AI221" s="6">
        <v>226</v>
      </c>
      <c r="AJ221" s="6">
        <v>226</v>
      </c>
      <c r="AK221" s="6">
        <v>229</v>
      </c>
      <c r="AL221" s="6">
        <v>229</v>
      </c>
      <c r="AM221" s="6"/>
      <c r="AN221" s="6">
        <v>229</v>
      </c>
      <c r="AO221" s="260">
        <v>229</v>
      </c>
      <c r="AP221" s="6">
        <v>229</v>
      </c>
      <c r="AQ221" s="243">
        <v>233</v>
      </c>
      <c r="AR221" s="243">
        <v>233</v>
      </c>
      <c r="AS221" s="6"/>
      <c r="AT221" s="6">
        <v>233</v>
      </c>
      <c r="AU221" s="243">
        <v>233</v>
      </c>
      <c r="AV221" s="243">
        <v>233</v>
      </c>
      <c r="AW221" s="164">
        <v>233</v>
      </c>
      <c r="AX221" s="6">
        <v>233</v>
      </c>
      <c r="AY221" s="6"/>
      <c r="AZ221" s="6">
        <v>233</v>
      </c>
      <c r="BA221" s="6">
        <v>233</v>
      </c>
      <c r="BB221" s="6">
        <v>233</v>
      </c>
      <c r="BC221" s="6">
        <v>233</v>
      </c>
      <c r="BD221" s="6">
        <v>233</v>
      </c>
      <c r="BE221" s="6"/>
      <c r="BF221" s="6">
        <v>233</v>
      </c>
      <c r="BG221" s="6">
        <v>233</v>
      </c>
      <c r="BH221" s="6">
        <v>233</v>
      </c>
      <c r="BI221" s="6">
        <v>233</v>
      </c>
      <c r="BJ221" s="6">
        <v>233</v>
      </c>
      <c r="BK221" s="6"/>
      <c r="BL221" s="6">
        <v>233</v>
      </c>
      <c r="BM221" s="6">
        <v>233</v>
      </c>
      <c r="BN221" s="6">
        <v>233</v>
      </c>
      <c r="BO221" s="6">
        <v>233</v>
      </c>
      <c r="BP221" s="6">
        <v>233</v>
      </c>
      <c r="BQ221" s="6"/>
      <c r="BR221" s="6">
        <v>233</v>
      </c>
      <c r="BS221" s="6">
        <v>233</v>
      </c>
      <c r="BT221" s="6">
        <v>233</v>
      </c>
      <c r="BU221" s="6">
        <v>233</v>
      </c>
      <c r="BV221" s="6">
        <v>233</v>
      </c>
      <c r="BW221" s="6"/>
      <c r="BX221" s="6">
        <v>233</v>
      </c>
      <c r="BY221" s="6">
        <v>233</v>
      </c>
      <c r="BZ221" s="6">
        <v>233</v>
      </c>
      <c r="CA221" s="6">
        <v>233</v>
      </c>
      <c r="CB221" s="6">
        <v>233</v>
      </c>
      <c r="CC221" s="6"/>
      <c r="CD221" s="6">
        <v>233</v>
      </c>
      <c r="CE221" s="6">
        <v>233</v>
      </c>
      <c r="CF221" s="6">
        <v>233</v>
      </c>
      <c r="CG221" s="6">
        <v>233</v>
      </c>
      <c r="CH221" s="6">
        <v>233</v>
      </c>
      <c r="CI221" s="6"/>
      <c r="CJ221" s="6">
        <v>233</v>
      </c>
      <c r="CK221" s="6">
        <v>233</v>
      </c>
      <c r="CL221" s="6">
        <v>233</v>
      </c>
      <c r="CM221" s="6">
        <v>233</v>
      </c>
      <c r="CN221" s="6">
        <v>233</v>
      </c>
    </row>
    <row r="222" spans="2:94" ht="12.95" hidden="1" customHeight="1" outlineLevel="1" x14ac:dyDescent="0.25">
      <c r="B222" s="2" t="s">
        <v>40</v>
      </c>
      <c r="D222" s="573">
        <f>LEFT($B221, SEARCH("%",$B221,1)-1)/100</f>
        <v>5.2999999999999999E-2</v>
      </c>
      <c r="E222" s="573">
        <f t="shared" ref="E222" si="2321">LEFT($B221, SEARCH("%",$B221,1)-1)/100</f>
        <v>5.2999999999999999E-2</v>
      </c>
      <c r="F222" s="573">
        <f t="shared" ref="F222" si="2322">LEFT($B221, SEARCH("%",$B221,1)-1)/100</f>
        <v>5.2999999999999999E-2</v>
      </c>
      <c r="G222" s="573">
        <f t="shared" ref="G222" si="2323">LEFT($B221, SEARCH("%",$B221,1)-1)/100</f>
        <v>5.2999999999999999E-2</v>
      </c>
      <c r="H222" s="573">
        <f t="shared" ref="H222" si="2324">LEFT($B221, SEARCH("%",$B221,1)-1)/100</f>
        <v>5.2999999999999999E-2</v>
      </c>
      <c r="I222" s="573"/>
      <c r="J222" s="573">
        <f t="shared" ref="J222" si="2325">LEFT($B221, SEARCH("%",$B221,1)-1)/100</f>
        <v>5.2999999999999999E-2</v>
      </c>
      <c r="K222" s="573">
        <f t="shared" ref="K222" si="2326">LEFT($B221, SEARCH("%",$B221,1)-1)/100</f>
        <v>5.2999999999999999E-2</v>
      </c>
      <c r="L222" s="573">
        <f t="shared" ref="L222" si="2327">LEFT($B221, SEARCH("%",$B221,1)-1)/100</f>
        <v>5.2999999999999999E-2</v>
      </c>
      <c r="M222" s="573">
        <f t="shared" ref="M222" si="2328">LEFT($B221, SEARCH("%",$B221,1)-1)/100</f>
        <v>5.2999999999999999E-2</v>
      </c>
      <c r="N222" s="573">
        <f t="shared" ref="N222" si="2329">LEFT($B221, SEARCH("%",$B221,1)-1)/100</f>
        <v>5.2999999999999999E-2</v>
      </c>
      <c r="O222" s="573"/>
      <c r="P222" s="573">
        <f t="shared" ref="P222" si="2330">LEFT($B221, SEARCH("%",$B221,1)-1)/100</f>
        <v>5.2999999999999999E-2</v>
      </c>
      <c r="Q222" s="573">
        <f t="shared" ref="Q222" si="2331">LEFT($B221, SEARCH("%",$B221,1)-1)/100</f>
        <v>5.2999999999999999E-2</v>
      </c>
      <c r="R222" s="573">
        <f t="shared" ref="R222" si="2332">LEFT($B221, SEARCH("%",$B221,1)-1)/100</f>
        <v>5.2999999999999999E-2</v>
      </c>
      <c r="S222" s="573">
        <f t="shared" ref="S222" si="2333">LEFT($B221, SEARCH("%",$B221,1)-1)/100</f>
        <v>5.2999999999999999E-2</v>
      </c>
      <c r="T222" s="573">
        <f t="shared" ref="T222" si="2334">LEFT($B221, SEARCH("%",$B221,1)-1)/100</f>
        <v>5.2999999999999999E-2</v>
      </c>
      <c r="U222" s="573"/>
      <c r="V222" s="573">
        <f t="shared" ref="V222" si="2335">LEFT($B221, SEARCH("%",$B221,1)-1)/100</f>
        <v>5.2999999999999999E-2</v>
      </c>
      <c r="W222" s="573">
        <f t="shared" ref="W222" si="2336">LEFT($B221, SEARCH("%",$B221,1)-1)/100</f>
        <v>5.2999999999999999E-2</v>
      </c>
      <c r="X222" s="573">
        <f t="shared" ref="X222" si="2337">LEFT($B221, SEARCH("%",$B221,1)-1)/100</f>
        <v>5.2999999999999999E-2</v>
      </c>
      <c r="Y222" s="573">
        <f t="shared" ref="Y222" si="2338">LEFT($B221, SEARCH("%",$B221,1)-1)/100</f>
        <v>5.2999999999999999E-2</v>
      </c>
      <c r="Z222" s="573">
        <f t="shared" ref="Z222" si="2339">LEFT($B221, SEARCH("%",$B221,1)-1)/100</f>
        <v>5.2999999999999999E-2</v>
      </c>
      <c r="AA222" s="573"/>
      <c r="AB222" s="573">
        <f t="shared" ref="AB222" si="2340">LEFT($B221, SEARCH("%",$B221,1)-1)/100</f>
        <v>5.2999999999999999E-2</v>
      </c>
      <c r="AC222" s="573">
        <f t="shared" ref="AC222" si="2341">LEFT($B221, SEARCH("%",$B221,1)-1)/100</f>
        <v>5.2999999999999999E-2</v>
      </c>
      <c r="AD222" s="573">
        <f t="shared" ref="AD222" si="2342">LEFT($B221, SEARCH("%",$B221,1)-1)/100</f>
        <v>5.2999999999999999E-2</v>
      </c>
      <c r="AE222" s="573">
        <f t="shared" ref="AE222" si="2343">LEFT($B221, SEARCH("%",$B221,1)-1)/100</f>
        <v>5.2999999999999999E-2</v>
      </c>
      <c r="AF222" s="573">
        <f t="shared" ref="AF222" si="2344">LEFT($B221, SEARCH("%",$B221,1)-1)/100</f>
        <v>5.2999999999999999E-2</v>
      </c>
      <c r="AG222" s="573"/>
      <c r="AH222" s="573">
        <f t="shared" ref="AH222" si="2345">LEFT($B221, SEARCH("%",$B221,1)-1)/100</f>
        <v>5.2999999999999999E-2</v>
      </c>
      <c r="AI222" s="573">
        <f t="shared" ref="AI222" si="2346">LEFT($B221, SEARCH("%",$B221,1)-1)/100</f>
        <v>5.2999999999999999E-2</v>
      </c>
      <c r="AJ222" s="573">
        <f t="shared" ref="AJ222" si="2347">LEFT($B221, SEARCH("%",$B221,1)-1)/100</f>
        <v>5.2999999999999999E-2</v>
      </c>
      <c r="AK222" s="573">
        <f t="shared" ref="AK222" si="2348">LEFT($B221, SEARCH("%",$B221,1)-1)/100</f>
        <v>5.2999999999999999E-2</v>
      </c>
      <c r="AL222" s="573">
        <f t="shared" ref="AL222" si="2349">LEFT($B221, SEARCH("%",$B221,1)-1)/100</f>
        <v>5.2999999999999999E-2</v>
      </c>
      <c r="AM222" s="573"/>
      <c r="AN222" s="573">
        <f t="shared" ref="AN222" si="2350">LEFT($B221, SEARCH("%",$B221,1)-1)/100</f>
        <v>5.2999999999999999E-2</v>
      </c>
      <c r="AO222" s="573">
        <f t="shared" ref="AO222" si="2351">LEFT($B221, SEARCH("%",$B221,1)-1)/100</f>
        <v>5.2999999999999999E-2</v>
      </c>
      <c r="AP222" s="573">
        <f t="shared" ref="AP222" si="2352">LEFT($B221, SEARCH("%",$B221,1)-1)/100</f>
        <v>5.2999999999999999E-2</v>
      </c>
      <c r="AQ222" s="573">
        <f t="shared" ref="AQ222" si="2353">LEFT($B221, SEARCH("%",$B221,1)-1)/100</f>
        <v>5.2999999999999999E-2</v>
      </c>
      <c r="AR222" s="573">
        <f t="shared" ref="AR222" si="2354">LEFT($B221, SEARCH("%",$B221,1)-1)/100</f>
        <v>5.2999999999999999E-2</v>
      </c>
      <c r="AS222" s="573"/>
      <c r="AT222" s="573">
        <f t="shared" ref="AT222" si="2355">LEFT($B221, SEARCH("%",$B221,1)-1)/100</f>
        <v>5.2999999999999999E-2</v>
      </c>
      <c r="AU222" s="573">
        <f t="shared" ref="AU222" si="2356">LEFT($B221, SEARCH("%",$B221,1)-1)/100</f>
        <v>5.2999999999999999E-2</v>
      </c>
      <c r="AV222" s="573">
        <f t="shared" ref="AV222" si="2357">LEFT($B221, SEARCH("%",$B221,1)-1)/100</f>
        <v>5.2999999999999999E-2</v>
      </c>
      <c r="AW222" s="623">
        <f t="shared" ref="AW222" si="2358">LEFT($B221, SEARCH("%",$B221,1)-1)/100</f>
        <v>5.2999999999999999E-2</v>
      </c>
      <c r="AX222" s="573">
        <f t="shared" ref="AX222" si="2359">LEFT($B221, SEARCH("%",$B221,1)-1)/100</f>
        <v>5.2999999999999999E-2</v>
      </c>
      <c r="AY222" s="573"/>
      <c r="AZ222" s="573">
        <f t="shared" ref="AZ222" si="2360">LEFT($B221, SEARCH("%",$B221,1)-1)/100</f>
        <v>5.2999999999999999E-2</v>
      </c>
      <c r="BA222" s="573">
        <f t="shared" ref="BA222" si="2361">LEFT($B221, SEARCH("%",$B221,1)-1)/100</f>
        <v>5.2999999999999999E-2</v>
      </c>
      <c r="BB222" s="573">
        <f t="shared" ref="BB222" si="2362">LEFT($B221, SEARCH("%",$B221,1)-1)/100</f>
        <v>5.2999999999999999E-2</v>
      </c>
      <c r="BC222" s="573">
        <f t="shared" ref="BC222" si="2363">LEFT($B221, SEARCH("%",$B221,1)-1)/100</f>
        <v>5.2999999999999999E-2</v>
      </c>
      <c r="BD222" s="573">
        <f t="shared" ref="BD222" si="2364">LEFT($B221, SEARCH("%",$B221,1)-1)/100</f>
        <v>5.2999999999999999E-2</v>
      </c>
      <c r="BE222" s="573"/>
      <c r="BF222" s="573">
        <f t="shared" ref="BF222" si="2365">LEFT($B221, SEARCH("%",$B221,1)-1)/100</f>
        <v>5.2999999999999999E-2</v>
      </c>
      <c r="BG222" s="573">
        <f t="shared" ref="BG222" si="2366">LEFT($B221, SEARCH("%",$B221,1)-1)/100</f>
        <v>5.2999999999999999E-2</v>
      </c>
      <c r="BH222" s="573">
        <f t="shared" ref="BH222" si="2367">LEFT($B221, SEARCH("%",$B221,1)-1)/100</f>
        <v>5.2999999999999999E-2</v>
      </c>
      <c r="BI222" s="573">
        <f t="shared" ref="BI222" si="2368">LEFT($B221, SEARCH("%",$B221,1)-1)/100</f>
        <v>5.2999999999999999E-2</v>
      </c>
      <c r="BJ222" s="573">
        <f t="shared" ref="BJ222" si="2369">LEFT($B221, SEARCH("%",$B221,1)-1)/100</f>
        <v>5.2999999999999999E-2</v>
      </c>
      <c r="BK222" s="573"/>
      <c r="BL222" s="573">
        <f t="shared" ref="BL222" si="2370">LEFT($B221, SEARCH("%",$B221,1)-1)/100</f>
        <v>5.2999999999999999E-2</v>
      </c>
      <c r="BM222" s="573">
        <f t="shared" ref="BM222" si="2371">LEFT($B221, SEARCH("%",$B221,1)-1)/100</f>
        <v>5.2999999999999999E-2</v>
      </c>
      <c r="BN222" s="573">
        <f t="shared" ref="BN222" si="2372">LEFT($B221, SEARCH("%",$B221,1)-1)/100</f>
        <v>5.2999999999999999E-2</v>
      </c>
      <c r="BO222" s="573">
        <f t="shared" ref="BO222" si="2373">LEFT($B221, SEARCH("%",$B221,1)-1)/100</f>
        <v>5.2999999999999999E-2</v>
      </c>
      <c r="BP222" s="573">
        <f t="shared" ref="BP222" si="2374">LEFT($B221, SEARCH("%",$B221,1)-1)/100</f>
        <v>5.2999999999999999E-2</v>
      </c>
      <c r="BQ222" s="573"/>
      <c r="BR222" s="573">
        <f t="shared" ref="BR222" si="2375">LEFT($B221, SEARCH("%",$B221,1)-1)/100</f>
        <v>5.2999999999999999E-2</v>
      </c>
      <c r="BS222" s="573">
        <f t="shared" ref="BS222" si="2376">LEFT($B221, SEARCH("%",$B221,1)-1)/100</f>
        <v>5.2999999999999999E-2</v>
      </c>
      <c r="BT222" s="573">
        <f t="shared" ref="BT222" si="2377">LEFT($B221, SEARCH("%",$B221,1)-1)/100</f>
        <v>5.2999999999999999E-2</v>
      </c>
      <c r="BU222" s="573">
        <f t="shared" ref="BU222" si="2378">LEFT($B221, SEARCH("%",$B221,1)-1)/100</f>
        <v>5.2999999999999999E-2</v>
      </c>
      <c r="BV222" s="573">
        <f t="shared" ref="BV222" si="2379">LEFT($B221, SEARCH("%",$B221,1)-1)/100</f>
        <v>5.2999999999999999E-2</v>
      </c>
      <c r="BW222" s="573"/>
      <c r="BX222" s="573">
        <f t="shared" ref="BX222" si="2380">LEFT($B221, SEARCH("%",$B221,1)-1)/100</f>
        <v>5.2999999999999999E-2</v>
      </c>
      <c r="BY222" s="573">
        <f t="shared" ref="BY222" si="2381">LEFT($B221, SEARCH("%",$B221,1)-1)/100</f>
        <v>5.2999999999999999E-2</v>
      </c>
      <c r="BZ222" s="573">
        <f t="shared" ref="BZ222" si="2382">LEFT($B221, SEARCH("%",$B221,1)-1)/100</f>
        <v>5.2999999999999999E-2</v>
      </c>
      <c r="CA222" s="573">
        <f t="shared" ref="CA222" si="2383">LEFT($B221, SEARCH("%",$B221,1)-1)/100</f>
        <v>5.2999999999999999E-2</v>
      </c>
      <c r="CB222" s="573">
        <f t="shared" ref="CB222" si="2384">LEFT($B221, SEARCH("%",$B221,1)-1)/100</f>
        <v>5.2999999999999999E-2</v>
      </c>
      <c r="CC222" s="573"/>
      <c r="CD222" s="573">
        <f t="shared" ref="CD222" si="2385">LEFT($B221, SEARCH("%",$B221,1)-1)/100</f>
        <v>5.2999999999999999E-2</v>
      </c>
      <c r="CE222" s="573">
        <f t="shared" ref="CE222" si="2386">LEFT($B221, SEARCH("%",$B221,1)-1)/100</f>
        <v>5.2999999999999999E-2</v>
      </c>
      <c r="CF222" s="573">
        <f t="shared" ref="CF222" si="2387">LEFT($B221, SEARCH("%",$B221,1)-1)/100</f>
        <v>5.2999999999999999E-2</v>
      </c>
      <c r="CG222" s="573">
        <f t="shared" ref="CG222" si="2388">LEFT($B221, SEARCH("%",$B221,1)-1)/100</f>
        <v>5.2999999999999999E-2</v>
      </c>
      <c r="CH222" s="573">
        <f t="shared" ref="CH222" si="2389">LEFT($B221, SEARCH("%",$B221,1)-1)/100</f>
        <v>5.2999999999999999E-2</v>
      </c>
      <c r="CI222" s="573"/>
      <c r="CJ222" s="573">
        <f t="shared" ref="CJ222" si="2390">LEFT($B221, SEARCH("%",$B221,1)-1)/100</f>
        <v>5.2999999999999999E-2</v>
      </c>
      <c r="CK222" s="573">
        <f t="shared" ref="CK222" si="2391">LEFT($B221, SEARCH("%",$B221,1)-1)/100</f>
        <v>5.2999999999999999E-2</v>
      </c>
      <c r="CL222" s="573">
        <f t="shared" ref="CL222" si="2392">LEFT($B221, SEARCH("%",$B221,1)-1)/100</f>
        <v>5.2999999999999999E-2</v>
      </c>
      <c r="CM222" s="573">
        <f t="shared" ref="CM222" si="2393">LEFT($B221, SEARCH("%",$B221,1)-1)/100</f>
        <v>5.2999999999999999E-2</v>
      </c>
      <c r="CN222" s="573">
        <f t="shared" ref="CN222" si="2394">LEFT($B221, SEARCH("%",$B221,1)-1)/100</f>
        <v>5.2999999999999999E-2</v>
      </c>
      <c r="CO222" s="573"/>
      <c r="CP222" s="573"/>
    </row>
    <row r="223" spans="2:94" ht="12.95" hidden="1" customHeight="1" outlineLevel="1" x14ac:dyDescent="0.25">
      <c r="B223" s="2" t="s">
        <v>576</v>
      </c>
      <c r="D223" s="2">
        <v>456</v>
      </c>
      <c r="E223" s="2">
        <v>456</v>
      </c>
      <c r="F223" s="2">
        <v>456</v>
      </c>
      <c r="G223" s="2">
        <v>456</v>
      </c>
      <c r="H223" s="2">
        <v>456</v>
      </c>
      <c r="J223" s="2">
        <v>456</v>
      </c>
      <c r="K223" s="2">
        <v>456</v>
      </c>
      <c r="L223" s="2">
        <v>456</v>
      </c>
      <c r="M223" s="2">
        <v>456</v>
      </c>
      <c r="N223" s="2">
        <v>456</v>
      </c>
      <c r="P223" s="2">
        <v>456</v>
      </c>
      <c r="Q223" s="2">
        <v>456</v>
      </c>
      <c r="R223" s="2">
        <v>456</v>
      </c>
      <c r="S223" s="2">
        <v>456</v>
      </c>
      <c r="T223" s="2">
        <v>456</v>
      </c>
      <c r="V223" s="2">
        <v>456</v>
      </c>
      <c r="W223" s="2">
        <v>456</v>
      </c>
      <c r="X223" s="2">
        <v>456</v>
      </c>
      <c r="Y223" s="2">
        <v>456</v>
      </c>
      <c r="Z223" s="2">
        <v>456</v>
      </c>
      <c r="AB223" s="6">
        <v>456</v>
      </c>
      <c r="AC223" s="6">
        <v>456</v>
      </c>
      <c r="AD223" s="6">
        <v>456</v>
      </c>
      <c r="AE223" s="6">
        <v>456</v>
      </c>
      <c r="AF223" s="6">
        <v>456</v>
      </c>
      <c r="AG223" s="6"/>
      <c r="AH223" s="6">
        <v>456</v>
      </c>
      <c r="AI223" s="6">
        <v>456</v>
      </c>
      <c r="AJ223" s="6">
        <v>456</v>
      </c>
      <c r="AK223" s="6">
        <v>456</v>
      </c>
      <c r="AL223" s="6">
        <v>456</v>
      </c>
      <c r="AM223" s="6"/>
      <c r="AN223" s="6">
        <v>456</v>
      </c>
      <c r="AO223" s="260">
        <v>456</v>
      </c>
      <c r="AP223" s="6">
        <v>456</v>
      </c>
      <c r="AQ223" s="243">
        <v>456</v>
      </c>
      <c r="AR223" s="243">
        <v>456</v>
      </c>
      <c r="AS223" s="6"/>
      <c r="AT223" s="6">
        <v>456</v>
      </c>
      <c r="AU223" s="243">
        <v>456</v>
      </c>
      <c r="AV223" s="243">
        <v>456</v>
      </c>
      <c r="AW223" s="164">
        <v>456</v>
      </c>
      <c r="AX223" s="6">
        <v>456</v>
      </c>
      <c r="AY223" s="6"/>
      <c r="AZ223" s="6">
        <v>456</v>
      </c>
      <c r="BA223" s="6">
        <v>456</v>
      </c>
      <c r="BB223" s="6">
        <v>456</v>
      </c>
      <c r="BC223" s="6">
        <v>456</v>
      </c>
      <c r="BD223" s="6">
        <v>456</v>
      </c>
      <c r="BE223" s="6"/>
      <c r="BF223" s="6">
        <v>456</v>
      </c>
      <c r="BG223" s="6">
        <v>456</v>
      </c>
      <c r="BH223" s="6">
        <v>456</v>
      </c>
      <c r="BI223" s="6">
        <v>456</v>
      </c>
      <c r="BJ223" s="6">
        <v>456</v>
      </c>
      <c r="BK223" s="6"/>
      <c r="BL223" s="6">
        <v>456</v>
      </c>
      <c r="BM223" s="6">
        <v>456</v>
      </c>
      <c r="BN223" s="6">
        <v>456</v>
      </c>
      <c r="BO223" s="6">
        <v>456</v>
      </c>
      <c r="BP223" s="6">
        <v>456</v>
      </c>
      <c r="BQ223" s="6"/>
      <c r="BR223" s="6">
        <v>456</v>
      </c>
      <c r="BS223" s="6">
        <v>456</v>
      </c>
      <c r="BT223" s="6">
        <v>456</v>
      </c>
      <c r="BU223" s="6">
        <v>456</v>
      </c>
      <c r="BV223" s="6">
        <v>456</v>
      </c>
      <c r="BW223" s="6"/>
      <c r="BX223" s="6">
        <v>456</v>
      </c>
      <c r="BY223" s="6">
        <v>456</v>
      </c>
      <c r="BZ223" s="6">
        <v>456</v>
      </c>
      <c r="CA223" s="6">
        <v>456</v>
      </c>
      <c r="CB223" s="6">
        <v>456</v>
      </c>
      <c r="CC223" s="6"/>
      <c r="CD223" s="6">
        <v>456</v>
      </c>
      <c r="CE223" s="6">
        <v>456</v>
      </c>
      <c r="CF223" s="6">
        <v>456</v>
      </c>
      <c r="CG223" s="6">
        <v>456</v>
      </c>
      <c r="CH223" s="6">
        <v>456</v>
      </c>
      <c r="CI223" s="6"/>
      <c r="CJ223" s="6">
        <v>456</v>
      </c>
      <c r="CK223" s="6">
        <v>456</v>
      </c>
      <c r="CL223" s="6">
        <v>456</v>
      </c>
      <c r="CM223" s="6">
        <v>456</v>
      </c>
      <c r="CN223" s="6">
        <v>456</v>
      </c>
    </row>
    <row r="224" spans="2:94" ht="12.95" hidden="1" customHeight="1" outlineLevel="1" x14ac:dyDescent="0.25">
      <c r="B224" s="2" t="s">
        <v>40</v>
      </c>
      <c r="D224" s="573">
        <f>LEFT($B223, SEARCH("%",$B223,1)-1)/100</f>
        <v>6.0499999999999998E-2</v>
      </c>
      <c r="E224" s="573">
        <f t="shared" ref="E224" si="2395">LEFT($B223, SEARCH("%",$B223,1)-1)/100</f>
        <v>6.0499999999999998E-2</v>
      </c>
      <c r="F224" s="573">
        <f t="shared" ref="F224" si="2396">LEFT($B223, SEARCH("%",$B223,1)-1)/100</f>
        <v>6.0499999999999998E-2</v>
      </c>
      <c r="G224" s="573">
        <f t="shared" ref="G224" si="2397">LEFT($B223, SEARCH("%",$B223,1)-1)/100</f>
        <v>6.0499999999999998E-2</v>
      </c>
      <c r="H224" s="573">
        <f t="shared" ref="H224" si="2398">LEFT($B223, SEARCH("%",$B223,1)-1)/100</f>
        <v>6.0499999999999998E-2</v>
      </c>
      <c r="I224" s="573"/>
      <c r="J224" s="573">
        <f t="shared" ref="J224" si="2399">LEFT($B223, SEARCH("%",$B223,1)-1)/100</f>
        <v>6.0499999999999998E-2</v>
      </c>
      <c r="K224" s="573">
        <f t="shared" ref="K224" si="2400">LEFT($B223, SEARCH("%",$B223,1)-1)/100</f>
        <v>6.0499999999999998E-2</v>
      </c>
      <c r="L224" s="573">
        <f t="shared" ref="L224" si="2401">LEFT($B223, SEARCH("%",$B223,1)-1)/100</f>
        <v>6.0499999999999998E-2</v>
      </c>
      <c r="M224" s="573">
        <f t="shared" ref="M224" si="2402">LEFT($B223, SEARCH("%",$B223,1)-1)/100</f>
        <v>6.0499999999999998E-2</v>
      </c>
      <c r="N224" s="573">
        <f t="shared" ref="N224" si="2403">LEFT($B223, SEARCH("%",$B223,1)-1)/100</f>
        <v>6.0499999999999998E-2</v>
      </c>
      <c r="O224" s="573"/>
      <c r="P224" s="573">
        <f t="shared" ref="P224" si="2404">LEFT($B223, SEARCH("%",$B223,1)-1)/100</f>
        <v>6.0499999999999998E-2</v>
      </c>
      <c r="Q224" s="573">
        <f t="shared" ref="Q224" si="2405">LEFT($B223, SEARCH("%",$B223,1)-1)/100</f>
        <v>6.0499999999999998E-2</v>
      </c>
      <c r="R224" s="573">
        <f t="shared" ref="R224" si="2406">LEFT($B223, SEARCH("%",$B223,1)-1)/100</f>
        <v>6.0499999999999998E-2</v>
      </c>
      <c r="S224" s="573">
        <f t="shared" ref="S224" si="2407">LEFT($B223, SEARCH("%",$B223,1)-1)/100</f>
        <v>6.0499999999999998E-2</v>
      </c>
      <c r="T224" s="573">
        <f t="shared" ref="T224" si="2408">LEFT($B223, SEARCH("%",$B223,1)-1)/100</f>
        <v>6.0499999999999998E-2</v>
      </c>
      <c r="U224" s="573"/>
      <c r="V224" s="573">
        <f t="shared" ref="V224" si="2409">LEFT($B223, SEARCH("%",$B223,1)-1)/100</f>
        <v>6.0499999999999998E-2</v>
      </c>
      <c r="W224" s="573">
        <f t="shared" ref="W224" si="2410">LEFT($B223, SEARCH("%",$B223,1)-1)/100</f>
        <v>6.0499999999999998E-2</v>
      </c>
      <c r="X224" s="573">
        <f t="shared" ref="X224" si="2411">LEFT($B223, SEARCH("%",$B223,1)-1)/100</f>
        <v>6.0499999999999998E-2</v>
      </c>
      <c r="Y224" s="573">
        <f t="shared" ref="Y224" si="2412">LEFT($B223, SEARCH("%",$B223,1)-1)/100</f>
        <v>6.0499999999999998E-2</v>
      </c>
      <c r="Z224" s="573">
        <f t="shared" ref="Z224" si="2413">LEFT($B223, SEARCH("%",$B223,1)-1)/100</f>
        <v>6.0499999999999998E-2</v>
      </c>
      <c r="AA224" s="573"/>
      <c r="AB224" s="573">
        <f t="shared" ref="AB224" si="2414">LEFT($B223, SEARCH("%",$B223,1)-1)/100</f>
        <v>6.0499999999999998E-2</v>
      </c>
      <c r="AC224" s="573">
        <f t="shared" ref="AC224" si="2415">LEFT($B223, SEARCH("%",$B223,1)-1)/100</f>
        <v>6.0499999999999998E-2</v>
      </c>
      <c r="AD224" s="573">
        <f t="shared" ref="AD224" si="2416">LEFT($B223, SEARCH("%",$B223,1)-1)/100</f>
        <v>6.0499999999999998E-2</v>
      </c>
      <c r="AE224" s="573">
        <f t="shared" ref="AE224" si="2417">LEFT($B223, SEARCH("%",$B223,1)-1)/100</f>
        <v>6.0499999999999998E-2</v>
      </c>
      <c r="AF224" s="573">
        <f t="shared" ref="AF224" si="2418">LEFT($B223, SEARCH("%",$B223,1)-1)/100</f>
        <v>6.0499999999999998E-2</v>
      </c>
      <c r="AG224" s="573"/>
      <c r="AH224" s="573">
        <f t="shared" ref="AH224" si="2419">LEFT($B223, SEARCH("%",$B223,1)-1)/100</f>
        <v>6.0499999999999998E-2</v>
      </c>
      <c r="AI224" s="573">
        <f t="shared" ref="AI224" si="2420">LEFT($B223, SEARCH("%",$B223,1)-1)/100</f>
        <v>6.0499999999999998E-2</v>
      </c>
      <c r="AJ224" s="573">
        <f t="shared" ref="AJ224" si="2421">LEFT($B223, SEARCH("%",$B223,1)-1)/100</f>
        <v>6.0499999999999998E-2</v>
      </c>
      <c r="AK224" s="573">
        <f t="shared" ref="AK224" si="2422">LEFT($B223, SEARCH("%",$B223,1)-1)/100</f>
        <v>6.0499999999999998E-2</v>
      </c>
      <c r="AL224" s="573">
        <f t="shared" ref="AL224" si="2423">LEFT($B223, SEARCH("%",$B223,1)-1)/100</f>
        <v>6.0499999999999998E-2</v>
      </c>
      <c r="AM224" s="573"/>
      <c r="AN224" s="573">
        <f t="shared" ref="AN224" si="2424">LEFT($B223, SEARCH("%",$B223,1)-1)/100</f>
        <v>6.0499999999999998E-2</v>
      </c>
      <c r="AO224" s="573">
        <f t="shared" ref="AO224" si="2425">LEFT($B223, SEARCH("%",$B223,1)-1)/100</f>
        <v>6.0499999999999998E-2</v>
      </c>
      <c r="AP224" s="573">
        <f t="shared" ref="AP224" si="2426">LEFT($B223, SEARCH("%",$B223,1)-1)/100</f>
        <v>6.0499999999999998E-2</v>
      </c>
      <c r="AQ224" s="573">
        <f t="shared" ref="AQ224" si="2427">LEFT($B223, SEARCH("%",$B223,1)-1)/100</f>
        <v>6.0499999999999998E-2</v>
      </c>
      <c r="AR224" s="573">
        <f t="shared" ref="AR224" si="2428">LEFT($B223, SEARCH("%",$B223,1)-1)/100</f>
        <v>6.0499999999999998E-2</v>
      </c>
      <c r="AS224" s="573"/>
      <c r="AT224" s="573">
        <f t="shared" ref="AT224" si="2429">LEFT($B223, SEARCH("%",$B223,1)-1)/100</f>
        <v>6.0499999999999998E-2</v>
      </c>
      <c r="AU224" s="573">
        <f t="shared" ref="AU224" si="2430">LEFT($B223, SEARCH("%",$B223,1)-1)/100</f>
        <v>6.0499999999999998E-2</v>
      </c>
      <c r="AV224" s="573">
        <f t="shared" ref="AV224" si="2431">LEFT($B223, SEARCH("%",$B223,1)-1)/100</f>
        <v>6.0499999999999998E-2</v>
      </c>
      <c r="AW224" s="623">
        <f t="shared" ref="AW224" si="2432">LEFT($B223, SEARCH("%",$B223,1)-1)/100</f>
        <v>6.0499999999999998E-2</v>
      </c>
      <c r="AX224" s="573">
        <f t="shared" ref="AX224" si="2433">LEFT($B223, SEARCH("%",$B223,1)-1)/100</f>
        <v>6.0499999999999998E-2</v>
      </c>
      <c r="AY224" s="573"/>
      <c r="AZ224" s="573">
        <f t="shared" ref="AZ224" si="2434">LEFT($B223, SEARCH("%",$B223,1)-1)/100</f>
        <v>6.0499999999999998E-2</v>
      </c>
      <c r="BA224" s="573">
        <f t="shared" ref="BA224" si="2435">LEFT($B223, SEARCH("%",$B223,1)-1)/100</f>
        <v>6.0499999999999998E-2</v>
      </c>
      <c r="BB224" s="573">
        <f t="shared" ref="BB224" si="2436">LEFT($B223, SEARCH("%",$B223,1)-1)/100</f>
        <v>6.0499999999999998E-2</v>
      </c>
      <c r="BC224" s="573">
        <f t="shared" ref="BC224" si="2437">LEFT($B223, SEARCH("%",$B223,1)-1)/100</f>
        <v>6.0499999999999998E-2</v>
      </c>
      <c r="BD224" s="573">
        <f t="shared" ref="BD224" si="2438">LEFT($B223, SEARCH("%",$B223,1)-1)/100</f>
        <v>6.0499999999999998E-2</v>
      </c>
      <c r="BE224" s="573"/>
      <c r="BF224" s="573">
        <f t="shared" ref="BF224" si="2439">LEFT($B223, SEARCH("%",$B223,1)-1)/100</f>
        <v>6.0499999999999998E-2</v>
      </c>
      <c r="BG224" s="573">
        <f t="shared" ref="BG224" si="2440">LEFT($B223, SEARCH("%",$B223,1)-1)/100</f>
        <v>6.0499999999999998E-2</v>
      </c>
      <c r="BH224" s="573">
        <f t="shared" ref="BH224" si="2441">LEFT($B223, SEARCH("%",$B223,1)-1)/100</f>
        <v>6.0499999999999998E-2</v>
      </c>
      <c r="BI224" s="573">
        <f t="shared" ref="BI224" si="2442">LEFT($B223, SEARCH("%",$B223,1)-1)/100</f>
        <v>6.0499999999999998E-2</v>
      </c>
      <c r="BJ224" s="573">
        <f t="shared" ref="BJ224" si="2443">LEFT($B223, SEARCH("%",$B223,1)-1)/100</f>
        <v>6.0499999999999998E-2</v>
      </c>
      <c r="BK224" s="573"/>
      <c r="BL224" s="573">
        <f t="shared" ref="BL224" si="2444">LEFT($B223, SEARCH("%",$B223,1)-1)/100</f>
        <v>6.0499999999999998E-2</v>
      </c>
      <c r="BM224" s="573">
        <f t="shared" ref="BM224" si="2445">LEFT($B223, SEARCH("%",$B223,1)-1)/100</f>
        <v>6.0499999999999998E-2</v>
      </c>
      <c r="BN224" s="573">
        <f t="shared" ref="BN224" si="2446">LEFT($B223, SEARCH("%",$B223,1)-1)/100</f>
        <v>6.0499999999999998E-2</v>
      </c>
      <c r="BO224" s="573">
        <f t="shared" ref="BO224" si="2447">LEFT($B223, SEARCH("%",$B223,1)-1)/100</f>
        <v>6.0499999999999998E-2</v>
      </c>
      <c r="BP224" s="573">
        <f t="shared" ref="BP224" si="2448">LEFT($B223, SEARCH("%",$B223,1)-1)/100</f>
        <v>6.0499999999999998E-2</v>
      </c>
      <c r="BQ224" s="573"/>
      <c r="BR224" s="573">
        <f t="shared" ref="BR224" si="2449">LEFT($B223, SEARCH("%",$B223,1)-1)/100</f>
        <v>6.0499999999999998E-2</v>
      </c>
      <c r="BS224" s="573">
        <f t="shared" ref="BS224" si="2450">LEFT($B223, SEARCH("%",$B223,1)-1)/100</f>
        <v>6.0499999999999998E-2</v>
      </c>
      <c r="BT224" s="573">
        <f t="shared" ref="BT224" si="2451">LEFT($B223, SEARCH("%",$B223,1)-1)/100</f>
        <v>6.0499999999999998E-2</v>
      </c>
      <c r="BU224" s="573">
        <f t="shared" ref="BU224" si="2452">LEFT($B223, SEARCH("%",$B223,1)-1)/100</f>
        <v>6.0499999999999998E-2</v>
      </c>
      <c r="BV224" s="573">
        <f t="shared" ref="BV224" si="2453">LEFT($B223, SEARCH("%",$B223,1)-1)/100</f>
        <v>6.0499999999999998E-2</v>
      </c>
      <c r="BW224" s="573"/>
      <c r="BX224" s="573">
        <f t="shared" ref="BX224" si="2454">LEFT($B223, SEARCH("%",$B223,1)-1)/100</f>
        <v>6.0499999999999998E-2</v>
      </c>
      <c r="BY224" s="573">
        <f t="shared" ref="BY224" si="2455">LEFT($B223, SEARCH("%",$B223,1)-1)/100</f>
        <v>6.0499999999999998E-2</v>
      </c>
      <c r="BZ224" s="573">
        <f t="shared" ref="BZ224" si="2456">LEFT($B223, SEARCH("%",$B223,1)-1)/100</f>
        <v>6.0499999999999998E-2</v>
      </c>
      <c r="CA224" s="573">
        <f t="shared" ref="CA224" si="2457">LEFT($B223, SEARCH("%",$B223,1)-1)/100</f>
        <v>6.0499999999999998E-2</v>
      </c>
      <c r="CB224" s="573">
        <f t="shared" ref="CB224" si="2458">LEFT($B223, SEARCH("%",$B223,1)-1)/100</f>
        <v>6.0499999999999998E-2</v>
      </c>
      <c r="CC224" s="573"/>
      <c r="CD224" s="573">
        <f t="shared" ref="CD224" si="2459">LEFT($B223, SEARCH("%",$B223,1)-1)/100</f>
        <v>6.0499999999999998E-2</v>
      </c>
      <c r="CE224" s="573">
        <f t="shared" ref="CE224" si="2460">LEFT($B223, SEARCH("%",$B223,1)-1)/100</f>
        <v>6.0499999999999998E-2</v>
      </c>
      <c r="CF224" s="573">
        <f t="shared" ref="CF224" si="2461">LEFT($B223, SEARCH("%",$B223,1)-1)/100</f>
        <v>6.0499999999999998E-2</v>
      </c>
      <c r="CG224" s="573">
        <f t="shared" ref="CG224" si="2462">LEFT($B223, SEARCH("%",$B223,1)-1)/100</f>
        <v>6.0499999999999998E-2</v>
      </c>
      <c r="CH224" s="573">
        <f t="shared" ref="CH224" si="2463">LEFT($B223, SEARCH("%",$B223,1)-1)/100</f>
        <v>6.0499999999999998E-2</v>
      </c>
      <c r="CI224" s="573"/>
      <c r="CJ224" s="573">
        <f t="shared" ref="CJ224" si="2464">LEFT($B223, SEARCH("%",$B223,1)-1)/100</f>
        <v>6.0499999999999998E-2</v>
      </c>
      <c r="CK224" s="573">
        <f t="shared" ref="CK224" si="2465">LEFT($B223, SEARCH("%",$B223,1)-1)/100</f>
        <v>6.0499999999999998E-2</v>
      </c>
      <c r="CL224" s="573">
        <f t="shared" ref="CL224" si="2466">LEFT($B223, SEARCH("%",$B223,1)-1)/100</f>
        <v>6.0499999999999998E-2</v>
      </c>
      <c r="CM224" s="573">
        <f t="shared" ref="CM224" si="2467">LEFT($B223, SEARCH("%",$B223,1)-1)/100</f>
        <v>6.0499999999999998E-2</v>
      </c>
      <c r="CN224" s="573">
        <f t="shared" ref="CN224" si="2468">LEFT($B223, SEARCH("%",$B223,1)-1)/100</f>
        <v>6.0499999999999998E-2</v>
      </c>
      <c r="CO224" s="573"/>
      <c r="CP224" s="573"/>
    </row>
    <row r="225" spans="2:94" ht="12.95" hidden="1" customHeight="1" outlineLevel="1" x14ac:dyDescent="0.25">
      <c r="B225" s="2" t="s">
        <v>577</v>
      </c>
      <c r="D225" s="2">
        <v>64</v>
      </c>
      <c r="E225" s="2">
        <v>64</v>
      </c>
      <c r="F225" s="2">
        <v>64</v>
      </c>
      <c r="G225" s="2">
        <v>64</v>
      </c>
      <c r="H225" s="2">
        <v>64</v>
      </c>
      <c r="J225" s="2">
        <v>64</v>
      </c>
      <c r="K225" s="2">
        <v>64</v>
      </c>
      <c r="L225" s="2">
        <v>64</v>
      </c>
      <c r="M225" s="2">
        <v>64</v>
      </c>
      <c r="N225" s="2">
        <v>64</v>
      </c>
      <c r="P225" s="2">
        <v>64</v>
      </c>
      <c r="Q225" s="2">
        <v>64</v>
      </c>
      <c r="R225" s="2">
        <v>64</v>
      </c>
      <c r="S225" s="2">
        <v>64</v>
      </c>
      <c r="T225" s="2">
        <v>64</v>
      </c>
      <c r="V225" s="2">
        <v>64</v>
      </c>
      <c r="W225" s="2">
        <v>64</v>
      </c>
      <c r="X225" s="2">
        <v>64</v>
      </c>
      <c r="Y225" s="2">
        <v>64</v>
      </c>
      <c r="Z225" s="2">
        <v>64</v>
      </c>
      <c r="AB225" s="6">
        <v>64</v>
      </c>
      <c r="AC225" s="6">
        <v>64</v>
      </c>
      <c r="AD225" s="6">
        <v>64</v>
      </c>
      <c r="AE225" s="6">
        <v>64</v>
      </c>
      <c r="AF225" s="6">
        <v>64</v>
      </c>
      <c r="AG225" s="6"/>
      <c r="AH225" s="6">
        <v>64</v>
      </c>
      <c r="AI225" s="6">
        <v>64</v>
      </c>
      <c r="AJ225" s="6">
        <v>64</v>
      </c>
      <c r="AK225" s="6">
        <v>64</v>
      </c>
      <c r="AL225" s="6">
        <v>64</v>
      </c>
      <c r="AM225" s="6"/>
      <c r="AN225" s="6">
        <v>64</v>
      </c>
      <c r="AO225" s="260">
        <v>64</v>
      </c>
      <c r="AP225" s="6">
        <v>64</v>
      </c>
      <c r="AQ225" s="243">
        <v>64</v>
      </c>
      <c r="AR225" s="243">
        <v>64</v>
      </c>
      <c r="AS225" s="6"/>
      <c r="AT225" s="6">
        <v>64</v>
      </c>
      <c r="AU225" s="243">
        <v>64</v>
      </c>
      <c r="AV225" s="243">
        <v>64</v>
      </c>
      <c r="AW225" s="164">
        <v>64</v>
      </c>
      <c r="AX225" s="6">
        <v>64</v>
      </c>
      <c r="AY225" s="6"/>
      <c r="AZ225" s="6">
        <v>64</v>
      </c>
      <c r="BA225" s="6">
        <v>64</v>
      </c>
      <c r="BB225" s="6">
        <v>64</v>
      </c>
      <c r="BC225" s="6">
        <v>64</v>
      </c>
      <c r="BD225" s="6">
        <v>64</v>
      </c>
      <c r="BE225" s="6"/>
      <c r="BF225" s="6">
        <v>64</v>
      </c>
      <c r="BG225" s="6">
        <v>64</v>
      </c>
      <c r="BH225" s="6">
        <v>64</v>
      </c>
      <c r="BI225" s="6">
        <v>64</v>
      </c>
      <c r="BJ225" s="6">
        <v>64</v>
      </c>
      <c r="BK225" s="6"/>
      <c r="BL225" s="6">
        <v>64</v>
      </c>
      <c r="BM225" s="6">
        <v>64</v>
      </c>
      <c r="BN225" s="6">
        <v>64</v>
      </c>
      <c r="BO225" s="6">
        <v>64</v>
      </c>
      <c r="BP225" s="6">
        <v>64</v>
      </c>
      <c r="BQ225" s="6"/>
      <c r="BR225" s="6">
        <v>64</v>
      </c>
      <c r="BS225" s="6">
        <v>64</v>
      </c>
      <c r="BT225" s="6">
        <v>64</v>
      </c>
      <c r="BU225" s="6">
        <v>64</v>
      </c>
      <c r="BV225" s="6">
        <v>64</v>
      </c>
      <c r="BW225" s="6"/>
      <c r="BX225" s="6">
        <v>64</v>
      </c>
      <c r="BY225" s="6">
        <v>64</v>
      </c>
      <c r="BZ225" s="6">
        <v>64</v>
      </c>
      <c r="CA225" s="6">
        <v>64</v>
      </c>
      <c r="CB225" s="6">
        <v>64</v>
      </c>
      <c r="CC225" s="6"/>
      <c r="CD225" s="6">
        <v>64</v>
      </c>
      <c r="CE225" s="6">
        <v>64</v>
      </c>
      <c r="CF225" s="6">
        <v>64</v>
      </c>
      <c r="CG225" s="6">
        <v>64</v>
      </c>
      <c r="CH225" s="6">
        <v>64</v>
      </c>
      <c r="CI225" s="6"/>
      <c r="CJ225" s="6">
        <v>64</v>
      </c>
      <c r="CK225" s="6">
        <v>64</v>
      </c>
      <c r="CL225" s="6">
        <v>64</v>
      </c>
      <c r="CM225" s="6">
        <v>64</v>
      </c>
      <c r="CN225" s="6">
        <v>64</v>
      </c>
    </row>
    <row r="226" spans="2:94" ht="12.95" hidden="1" customHeight="1" outlineLevel="1" x14ac:dyDescent="0.25">
      <c r="B226" s="2" t="s">
        <v>40</v>
      </c>
      <c r="D226" s="573">
        <f>LEFT($B225, SEARCH("%",$B225,1)-1)/100</f>
        <v>8.2500000000000004E-2</v>
      </c>
      <c r="E226" s="573">
        <f t="shared" ref="E226" si="2469">LEFT($B225, SEARCH("%",$B225,1)-1)/100</f>
        <v>8.2500000000000004E-2</v>
      </c>
      <c r="F226" s="573">
        <f t="shared" ref="F226" si="2470">LEFT($B225, SEARCH("%",$B225,1)-1)/100</f>
        <v>8.2500000000000004E-2</v>
      </c>
      <c r="G226" s="573">
        <f t="shared" ref="G226" si="2471">LEFT($B225, SEARCH("%",$B225,1)-1)/100</f>
        <v>8.2500000000000004E-2</v>
      </c>
      <c r="H226" s="573">
        <f t="shared" ref="H226" si="2472">LEFT($B225, SEARCH("%",$B225,1)-1)/100</f>
        <v>8.2500000000000004E-2</v>
      </c>
      <c r="I226" s="573"/>
      <c r="J226" s="573">
        <f t="shared" ref="J226" si="2473">LEFT($B225, SEARCH("%",$B225,1)-1)/100</f>
        <v>8.2500000000000004E-2</v>
      </c>
      <c r="K226" s="573">
        <f t="shared" ref="K226" si="2474">LEFT($B225, SEARCH("%",$B225,1)-1)/100</f>
        <v>8.2500000000000004E-2</v>
      </c>
      <c r="L226" s="573">
        <f t="shared" ref="L226" si="2475">LEFT($B225, SEARCH("%",$B225,1)-1)/100</f>
        <v>8.2500000000000004E-2</v>
      </c>
      <c r="M226" s="573">
        <f t="shared" ref="M226" si="2476">LEFT($B225, SEARCH("%",$B225,1)-1)/100</f>
        <v>8.2500000000000004E-2</v>
      </c>
      <c r="N226" s="573">
        <f t="shared" ref="N226" si="2477">LEFT($B225, SEARCH("%",$B225,1)-1)/100</f>
        <v>8.2500000000000004E-2</v>
      </c>
      <c r="O226" s="573"/>
      <c r="P226" s="573">
        <f t="shared" ref="P226" si="2478">LEFT($B225, SEARCH("%",$B225,1)-1)/100</f>
        <v>8.2500000000000004E-2</v>
      </c>
      <c r="Q226" s="573">
        <f t="shared" ref="Q226" si="2479">LEFT($B225, SEARCH("%",$B225,1)-1)/100</f>
        <v>8.2500000000000004E-2</v>
      </c>
      <c r="R226" s="573">
        <f t="shared" ref="R226" si="2480">LEFT($B225, SEARCH("%",$B225,1)-1)/100</f>
        <v>8.2500000000000004E-2</v>
      </c>
      <c r="S226" s="573">
        <f t="shared" ref="S226" si="2481">LEFT($B225, SEARCH("%",$B225,1)-1)/100</f>
        <v>8.2500000000000004E-2</v>
      </c>
      <c r="T226" s="573">
        <f t="shared" ref="T226" si="2482">LEFT($B225, SEARCH("%",$B225,1)-1)/100</f>
        <v>8.2500000000000004E-2</v>
      </c>
      <c r="U226" s="573"/>
      <c r="V226" s="573">
        <f t="shared" ref="V226" si="2483">LEFT($B225, SEARCH("%",$B225,1)-1)/100</f>
        <v>8.2500000000000004E-2</v>
      </c>
      <c r="W226" s="573">
        <f t="shared" ref="W226" si="2484">LEFT($B225, SEARCH("%",$B225,1)-1)/100</f>
        <v>8.2500000000000004E-2</v>
      </c>
      <c r="X226" s="573">
        <f t="shared" ref="X226" si="2485">LEFT($B225, SEARCH("%",$B225,1)-1)/100</f>
        <v>8.2500000000000004E-2</v>
      </c>
      <c r="Y226" s="573">
        <f t="shared" ref="Y226" si="2486">LEFT($B225, SEARCH("%",$B225,1)-1)/100</f>
        <v>8.2500000000000004E-2</v>
      </c>
      <c r="Z226" s="573">
        <f t="shared" ref="Z226" si="2487">LEFT($B225, SEARCH("%",$B225,1)-1)/100</f>
        <v>8.2500000000000004E-2</v>
      </c>
      <c r="AA226" s="573"/>
      <c r="AB226" s="573">
        <f t="shared" ref="AB226" si="2488">LEFT($B225, SEARCH("%",$B225,1)-1)/100</f>
        <v>8.2500000000000004E-2</v>
      </c>
      <c r="AC226" s="573">
        <f t="shared" ref="AC226" si="2489">LEFT($B225, SEARCH("%",$B225,1)-1)/100</f>
        <v>8.2500000000000004E-2</v>
      </c>
      <c r="AD226" s="573">
        <f t="shared" ref="AD226" si="2490">LEFT($B225, SEARCH("%",$B225,1)-1)/100</f>
        <v>8.2500000000000004E-2</v>
      </c>
      <c r="AE226" s="573">
        <f t="shared" ref="AE226" si="2491">LEFT($B225, SEARCH("%",$B225,1)-1)/100</f>
        <v>8.2500000000000004E-2</v>
      </c>
      <c r="AF226" s="573">
        <f t="shared" ref="AF226" si="2492">LEFT($B225, SEARCH("%",$B225,1)-1)/100</f>
        <v>8.2500000000000004E-2</v>
      </c>
      <c r="AG226" s="573"/>
      <c r="AH226" s="573">
        <f t="shared" ref="AH226" si="2493">LEFT($B225, SEARCH("%",$B225,1)-1)/100</f>
        <v>8.2500000000000004E-2</v>
      </c>
      <c r="AI226" s="573">
        <f t="shared" ref="AI226" si="2494">LEFT($B225, SEARCH("%",$B225,1)-1)/100</f>
        <v>8.2500000000000004E-2</v>
      </c>
      <c r="AJ226" s="573">
        <f t="shared" ref="AJ226" si="2495">LEFT($B225, SEARCH("%",$B225,1)-1)/100</f>
        <v>8.2500000000000004E-2</v>
      </c>
      <c r="AK226" s="573">
        <f t="shared" ref="AK226" si="2496">LEFT($B225, SEARCH("%",$B225,1)-1)/100</f>
        <v>8.2500000000000004E-2</v>
      </c>
      <c r="AL226" s="573">
        <f t="shared" ref="AL226" si="2497">LEFT($B225, SEARCH("%",$B225,1)-1)/100</f>
        <v>8.2500000000000004E-2</v>
      </c>
      <c r="AM226" s="573"/>
      <c r="AN226" s="573">
        <f t="shared" ref="AN226" si="2498">LEFT($B225, SEARCH("%",$B225,1)-1)/100</f>
        <v>8.2500000000000004E-2</v>
      </c>
      <c r="AO226" s="573">
        <f t="shared" ref="AO226" si="2499">LEFT($B225, SEARCH("%",$B225,1)-1)/100</f>
        <v>8.2500000000000004E-2</v>
      </c>
      <c r="AP226" s="573">
        <f t="shared" ref="AP226" si="2500">LEFT($B225, SEARCH("%",$B225,1)-1)/100</f>
        <v>8.2500000000000004E-2</v>
      </c>
      <c r="AQ226" s="573">
        <f t="shared" ref="AQ226" si="2501">LEFT($B225, SEARCH("%",$B225,1)-1)/100</f>
        <v>8.2500000000000004E-2</v>
      </c>
      <c r="AR226" s="573">
        <f t="shared" ref="AR226" si="2502">LEFT($B225, SEARCH("%",$B225,1)-1)/100</f>
        <v>8.2500000000000004E-2</v>
      </c>
      <c r="AS226" s="573"/>
      <c r="AT226" s="573">
        <f t="shared" ref="AT226" si="2503">LEFT($B225, SEARCH("%",$B225,1)-1)/100</f>
        <v>8.2500000000000004E-2</v>
      </c>
      <c r="AU226" s="573">
        <f t="shared" ref="AU226" si="2504">LEFT($B225, SEARCH("%",$B225,1)-1)/100</f>
        <v>8.2500000000000004E-2</v>
      </c>
      <c r="AV226" s="573">
        <f t="shared" ref="AV226" si="2505">LEFT($B225, SEARCH("%",$B225,1)-1)/100</f>
        <v>8.2500000000000004E-2</v>
      </c>
      <c r="AW226" s="623">
        <f t="shared" ref="AW226" si="2506">LEFT($B225, SEARCH("%",$B225,1)-1)/100</f>
        <v>8.2500000000000004E-2</v>
      </c>
      <c r="AX226" s="573">
        <f t="shared" ref="AX226" si="2507">LEFT($B225, SEARCH("%",$B225,1)-1)/100</f>
        <v>8.2500000000000004E-2</v>
      </c>
      <c r="AY226" s="573"/>
      <c r="AZ226" s="573">
        <f t="shared" ref="AZ226" si="2508">LEFT($B225, SEARCH("%",$B225,1)-1)/100</f>
        <v>8.2500000000000004E-2</v>
      </c>
      <c r="BA226" s="573">
        <f t="shared" ref="BA226" si="2509">LEFT($B225, SEARCH("%",$B225,1)-1)/100</f>
        <v>8.2500000000000004E-2</v>
      </c>
      <c r="BB226" s="573">
        <f t="shared" ref="BB226" si="2510">LEFT($B225, SEARCH("%",$B225,1)-1)/100</f>
        <v>8.2500000000000004E-2</v>
      </c>
      <c r="BC226" s="573">
        <f t="shared" ref="BC226" si="2511">LEFT($B225, SEARCH("%",$B225,1)-1)/100</f>
        <v>8.2500000000000004E-2</v>
      </c>
      <c r="BD226" s="573">
        <f t="shared" ref="BD226" si="2512">LEFT($B225, SEARCH("%",$B225,1)-1)/100</f>
        <v>8.2500000000000004E-2</v>
      </c>
      <c r="BE226" s="573"/>
      <c r="BF226" s="573">
        <f t="shared" ref="BF226" si="2513">LEFT($B225, SEARCH("%",$B225,1)-1)/100</f>
        <v>8.2500000000000004E-2</v>
      </c>
      <c r="BG226" s="573">
        <f t="shared" ref="BG226" si="2514">LEFT($B225, SEARCH("%",$B225,1)-1)/100</f>
        <v>8.2500000000000004E-2</v>
      </c>
      <c r="BH226" s="573">
        <f t="shared" ref="BH226" si="2515">LEFT($B225, SEARCH("%",$B225,1)-1)/100</f>
        <v>8.2500000000000004E-2</v>
      </c>
      <c r="BI226" s="573">
        <f t="shared" ref="BI226" si="2516">LEFT($B225, SEARCH("%",$B225,1)-1)/100</f>
        <v>8.2500000000000004E-2</v>
      </c>
      <c r="BJ226" s="573">
        <f t="shared" ref="BJ226" si="2517">LEFT($B225, SEARCH("%",$B225,1)-1)/100</f>
        <v>8.2500000000000004E-2</v>
      </c>
      <c r="BK226" s="573"/>
      <c r="BL226" s="573">
        <f t="shared" ref="BL226" si="2518">LEFT($B225, SEARCH("%",$B225,1)-1)/100</f>
        <v>8.2500000000000004E-2</v>
      </c>
      <c r="BM226" s="573">
        <f t="shared" ref="BM226" si="2519">LEFT($B225, SEARCH("%",$B225,1)-1)/100</f>
        <v>8.2500000000000004E-2</v>
      </c>
      <c r="BN226" s="573">
        <f t="shared" ref="BN226" si="2520">LEFT($B225, SEARCH("%",$B225,1)-1)/100</f>
        <v>8.2500000000000004E-2</v>
      </c>
      <c r="BO226" s="573">
        <f t="shared" ref="BO226" si="2521">LEFT($B225, SEARCH("%",$B225,1)-1)/100</f>
        <v>8.2500000000000004E-2</v>
      </c>
      <c r="BP226" s="573">
        <f t="shared" ref="BP226" si="2522">LEFT($B225, SEARCH("%",$B225,1)-1)/100</f>
        <v>8.2500000000000004E-2</v>
      </c>
      <c r="BQ226" s="573"/>
      <c r="BR226" s="573">
        <f t="shared" ref="BR226" si="2523">LEFT($B225, SEARCH("%",$B225,1)-1)/100</f>
        <v>8.2500000000000004E-2</v>
      </c>
      <c r="BS226" s="573">
        <f t="shared" ref="BS226" si="2524">LEFT($B225, SEARCH("%",$B225,1)-1)/100</f>
        <v>8.2500000000000004E-2</v>
      </c>
      <c r="BT226" s="573">
        <f t="shared" ref="BT226" si="2525">LEFT($B225, SEARCH("%",$B225,1)-1)/100</f>
        <v>8.2500000000000004E-2</v>
      </c>
      <c r="BU226" s="573">
        <f t="shared" ref="BU226" si="2526">LEFT($B225, SEARCH("%",$B225,1)-1)/100</f>
        <v>8.2500000000000004E-2</v>
      </c>
      <c r="BV226" s="573">
        <f t="shared" ref="BV226" si="2527">LEFT($B225, SEARCH("%",$B225,1)-1)/100</f>
        <v>8.2500000000000004E-2</v>
      </c>
      <c r="BW226" s="573"/>
      <c r="BX226" s="573">
        <f t="shared" ref="BX226" si="2528">LEFT($B225, SEARCH("%",$B225,1)-1)/100</f>
        <v>8.2500000000000004E-2</v>
      </c>
      <c r="BY226" s="573">
        <f t="shared" ref="BY226" si="2529">LEFT($B225, SEARCH("%",$B225,1)-1)/100</f>
        <v>8.2500000000000004E-2</v>
      </c>
      <c r="BZ226" s="573">
        <f t="shared" ref="BZ226" si="2530">LEFT($B225, SEARCH("%",$B225,1)-1)/100</f>
        <v>8.2500000000000004E-2</v>
      </c>
      <c r="CA226" s="573">
        <f t="shared" ref="CA226" si="2531">LEFT($B225, SEARCH("%",$B225,1)-1)/100</f>
        <v>8.2500000000000004E-2</v>
      </c>
      <c r="CB226" s="573">
        <f t="shared" ref="CB226" si="2532">LEFT($B225, SEARCH("%",$B225,1)-1)/100</f>
        <v>8.2500000000000004E-2</v>
      </c>
      <c r="CC226" s="573"/>
      <c r="CD226" s="573">
        <f t="shared" ref="CD226" si="2533">LEFT($B225, SEARCH("%",$B225,1)-1)/100</f>
        <v>8.2500000000000004E-2</v>
      </c>
      <c r="CE226" s="573">
        <f t="shared" ref="CE226" si="2534">LEFT($B225, SEARCH("%",$B225,1)-1)/100</f>
        <v>8.2500000000000004E-2</v>
      </c>
      <c r="CF226" s="573">
        <f t="shared" ref="CF226" si="2535">LEFT($B225, SEARCH("%",$B225,1)-1)/100</f>
        <v>8.2500000000000004E-2</v>
      </c>
      <c r="CG226" s="573">
        <f t="shared" ref="CG226" si="2536">LEFT($B225, SEARCH("%",$B225,1)-1)/100</f>
        <v>8.2500000000000004E-2</v>
      </c>
      <c r="CH226" s="573">
        <f t="shared" ref="CH226" si="2537">LEFT($B225, SEARCH("%",$B225,1)-1)/100</f>
        <v>8.2500000000000004E-2</v>
      </c>
      <c r="CI226" s="573"/>
      <c r="CJ226" s="573">
        <f t="shared" ref="CJ226" si="2538">LEFT($B225, SEARCH("%",$B225,1)-1)/100</f>
        <v>8.2500000000000004E-2</v>
      </c>
      <c r="CK226" s="573">
        <f t="shared" ref="CK226" si="2539">LEFT($B225, SEARCH("%",$B225,1)-1)/100</f>
        <v>8.2500000000000004E-2</v>
      </c>
      <c r="CL226" s="573">
        <f t="shared" ref="CL226" si="2540">LEFT($B225, SEARCH("%",$B225,1)-1)/100</f>
        <v>8.2500000000000004E-2</v>
      </c>
      <c r="CM226" s="573">
        <f t="shared" ref="CM226" si="2541">LEFT($B225, SEARCH("%",$B225,1)-1)/100</f>
        <v>8.2500000000000004E-2</v>
      </c>
      <c r="CN226" s="573">
        <f t="shared" ref="CN226" si="2542">LEFT($B225, SEARCH("%",$B225,1)-1)/100</f>
        <v>8.2500000000000004E-2</v>
      </c>
      <c r="CO226" s="573"/>
      <c r="CP226" s="573"/>
    </row>
    <row r="227" spans="2:94" ht="12.95" hidden="1" customHeight="1" outlineLevel="1" x14ac:dyDescent="0.25">
      <c r="B227" s="2" t="s">
        <v>578</v>
      </c>
      <c r="D227" s="2">
        <v>159</v>
      </c>
      <c r="E227" s="2">
        <v>159</v>
      </c>
      <c r="F227" s="2">
        <v>159</v>
      </c>
      <c r="G227" s="2">
        <v>159</v>
      </c>
      <c r="H227" s="2">
        <v>159</v>
      </c>
      <c r="J227" s="2">
        <v>159</v>
      </c>
      <c r="K227" s="2">
        <v>159</v>
      </c>
      <c r="L227" s="2">
        <v>159</v>
      </c>
      <c r="M227" s="2">
        <v>159</v>
      </c>
      <c r="N227" s="2">
        <v>159</v>
      </c>
      <c r="P227" s="2">
        <v>159</v>
      </c>
      <c r="Q227" s="2">
        <v>159</v>
      </c>
      <c r="R227" s="2">
        <v>159</v>
      </c>
      <c r="S227" s="2">
        <v>158</v>
      </c>
      <c r="T227" s="2">
        <v>158</v>
      </c>
      <c r="V227" s="2">
        <v>158</v>
      </c>
      <c r="W227" s="2">
        <v>158</v>
      </c>
      <c r="X227" s="2">
        <v>158</v>
      </c>
      <c r="Y227" s="2">
        <v>158</v>
      </c>
      <c r="Z227" s="2">
        <v>158</v>
      </c>
      <c r="AB227" s="6">
        <v>158</v>
      </c>
      <c r="AC227" s="6">
        <v>158</v>
      </c>
      <c r="AD227" s="6">
        <v>158</v>
      </c>
      <c r="AE227" s="6">
        <v>158</v>
      </c>
      <c r="AF227" s="6">
        <v>158</v>
      </c>
      <c r="AG227" s="6"/>
      <c r="AH227" s="6">
        <v>158</v>
      </c>
      <c r="AI227" s="6">
        <v>158</v>
      </c>
      <c r="AJ227" s="6">
        <v>158</v>
      </c>
      <c r="AK227" s="6">
        <v>158</v>
      </c>
      <c r="AL227" s="6">
        <v>158</v>
      </c>
      <c r="AM227" s="6"/>
      <c r="AN227" s="6">
        <v>158</v>
      </c>
      <c r="AO227" s="243">
        <v>158</v>
      </c>
      <c r="AP227" s="6">
        <v>158</v>
      </c>
      <c r="AQ227" s="243">
        <v>158</v>
      </c>
      <c r="AR227" s="243">
        <v>158</v>
      </c>
      <c r="AS227" s="6"/>
      <c r="AT227" s="6">
        <v>158</v>
      </c>
      <c r="AU227" s="243">
        <v>158</v>
      </c>
      <c r="AV227" s="243">
        <v>158</v>
      </c>
      <c r="AW227" s="164">
        <v>158</v>
      </c>
      <c r="AX227" s="6">
        <v>158</v>
      </c>
      <c r="AY227" s="6"/>
      <c r="AZ227" s="6">
        <v>158</v>
      </c>
      <c r="BA227" s="6">
        <v>158</v>
      </c>
      <c r="BB227" s="6">
        <v>158</v>
      </c>
      <c r="BC227" s="6">
        <v>158</v>
      </c>
      <c r="BD227" s="6">
        <v>158</v>
      </c>
      <c r="BE227" s="6"/>
      <c r="BF227" s="6">
        <v>158</v>
      </c>
      <c r="BG227" s="6">
        <v>158</v>
      </c>
      <c r="BH227" s="6">
        <v>158</v>
      </c>
      <c r="BI227" s="6">
        <v>158</v>
      </c>
      <c r="BJ227" s="6">
        <v>158</v>
      </c>
      <c r="BK227" s="6"/>
      <c r="BL227" s="6">
        <v>158</v>
      </c>
      <c r="BM227" s="6">
        <v>158</v>
      </c>
      <c r="BN227" s="6">
        <v>158</v>
      </c>
      <c r="BO227" s="6">
        <v>158</v>
      </c>
      <c r="BP227" s="6">
        <v>158</v>
      </c>
      <c r="BQ227" s="6"/>
      <c r="BR227" s="6">
        <v>158</v>
      </c>
      <c r="BS227" s="6">
        <v>158</v>
      </c>
      <c r="BT227" s="6">
        <v>158</v>
      </c>
      <c r="BU227" s="6">
        <v>158</v>
      </c>
      <c r="BV227" s="6">
        <v>158</v>
      </c>
      <c r="BW227" s="6"/>
      <c r="BX227" s="6">
        <v>158</v>
      </c>
      <c r="BY227" s="6">
        <v>158</v>
      </c>
      <c r="BZ227" s="6">
        <v>158</v>
      </c>
      <c r="CA227" s="6">
        <v>158</v>
      </c>
      <c r="CB227" s="6">
        <v>158</v>
      </c>
      <c r="CC227" s="6"/>
      <c r="CD227" s="6">
        <v>158</v>
      </c>
      <c r="CE227" s="6">
        <v>158</v>
      </c>
      <c r="CF227" s="6">
        <v>158</v>
      </c>
      <c r="CG227" s="6">
        <v>158</v>
      </c>
      <c r="CH227" s="6">
        <v>158</v>
      </c>
      <c r="CI227" s="6"/>
      <c r="CJ227" s="6">
        <v>158</v>
      </c>
      <c r="CK227" s="6">
        <v>158</v>
      </c>
      <c r="CL227" s="6">
        <v>158</v>
      </c>
      <c r="CM227" s="6">
        <v>158</v>
      </c>
      <c r="CN227" s="6">
        <v>158</v>
      </c>
    </row>
    <row r="228" spans="2:94" ht="12.95" hidden="1" customHeight="1" outlineLevel="1" x14ac:dyDescent="0.25">
      <c r="B228" s="2" t="s">
        <v>40</v>
      </c>
      <c r="D228" s="573">
        <f>LEFT($B227, SEARCH("%",$B227,1)-1)/100</f>
        <v>6.9500000000000006E-2</v>
      </c>
      <c r="E228" s="573">
        <f t="shared" ref="E228" si="2543">LEFT($B227, SEARCH("%",$B227,1)-1)/100</f>
        <v>6.9500000000000006E-2</v>
      </c>
      <c r="F228" s="573">
        <f t="shared" ref="F228" si="2544">LEFT($B227, SEARCH("%",$B227,1)-1)/100</f>
        <v>6.9500000000000006E-2</v>
      </c>
      <c r="G228" s="573">
        <f t="shared" ref="G228" si="2545">LEFT($B227, SEARCH("%",$B227,1)-1)/100</f>
        <v>6.9500000000000006E-2</v>
      </c>
      <c r="H228" s="573">
        <f t="shared" ref="H228" si="2546">LEFT($B227, SEARCH("%",$B227,1)-1)/100</f>
        <v>6.9500000000000006E-2</v>
      </c>
      <c r="I228" s="573"/>
      <c r="J228" s="573">
        <f t="shared" ref="J228" si="2547">LEFT($B227, SEARCH("%",$B227,1)-1)/100</f>
        <v>6.9500000000000006E-2</v>
      </c>
      <c r="K228" s="573">
        <f t="shared" ref="K228" si="2548">LEFT($B227, SEARCH("%",$B227,1)-1)/100</f>
        <v>6.9500000000000006E-2</v>
      </c>
      <c r="L228" s="573">
        <f t="shared" ref="L228" si="2549">LEFT($B227, SEARCH("%",$B227,1)-1)/100</f>
        <v>6.9500000000000006E-2</v>
      </c>
      <c r="M228" s="573">
        <f t="shared" ref="M228" si="2550">LEFT($B227, SEARCH("%",$B227,1)-1)/100</f>
        <v>6.9500000000000006E-2</v>
      </c>
      <c r="N228" s="573">
        <f t="shared" ref="N228" si="2551">LEFT($B227, SEARCH("%",$B227,1)-1)/100</f>
        <v>6.9500000000000006E-2</v>
      </c>
      <c r="O228" s="573"/>
      <c r="P228" s="573">
        <f t="shared" ref="P228" si="2552">LEFT($B227, SEARCH("%",$B227,1)-1)/100</f>
        <v>6.9500000000000006E-2</v>
      </c>
      <c r="Q228" s="573">
        <f t="shared" ref="Q228" si="2553">LEFT($B227, SEARCH("%",$B227,1)-1)/100</f>
        <v>6.9500000000000006E-2</v>
      </c>
      <c r="R228" s="573">
        <f t="shared" ref="R228" si="2554">LEFT($B227, SEARCH("%",$B227,1)-1)/100</f>
        <v>6.9500000000000006E-2</v>
      </c>
      <c r="S228" s="573">
        <f t="shared" ref="S228" si="2555">LEFT($B227, SEARCH("%",$B227,1)-1)/100</f>
        <v>6.9500000000000006E-2</v>
      </c>
      <c r="T228" s="573">
        <f t="shared" ref="T228" si="2556">LEFT($B227, SEARCH("%",$B227,1)-1)/100</f>
        <v>6.9500000000000006E-2</v>
      </c>
      <c r="U228" s="573"/>
      <c r="V228" s="573">
        <f t="shared" ref="V228" si="2557">LEFT($B227, SEARCH("%",$B227,1)-1)/100</f>
        <v>6.9500000000000006E-2</v>
      </c>
      <c r="W228" s="573">
        <f t="shared" ref="W228" si="2558">LEFT($B227, SEARCH("%",$B227,1)-1)/100</f>
        <v>6.9500000000000006E-2</v>
      </c>
      <c r="X228" s="573">
        <f t="shared" ref="X228" si="2559">LEFT($B227, SEARCH("%",$B227,1)-1)/100</f>
        <v>6.9500000000000006E-2</v>
      </c>
      <c r="Y228" s="573">
        <f t="shared" ref="Y228" si="2560">LEFT($B227, SEARCH("%",$B227,1)-1)/100</f>
        <v>6.9500000000000006E-2</v>
      </c>
      <c r="Z228" s="573">
        <f t="shared" ref="Z228" si="2561">LEFT($B227, SEARCH("%",$B227,1)-1)/100</f>
        <v>6.9500000000000006E-2</v>
      </c>
      <c r="AA228" s="573"/>
      <c r="AB228" s="573">
        <f t="shared" ref="AB228" si="2562">LEFT($B227, SEARCH("%",$B227,1)-1)/100</f>
        <v>6.9500000000000006E-2</v>
      </c>
      <c r="AC228" s="573">
        <f t="shared" ref="AC228" si="2563">LEFT($B227, SEARCH("%",$B227,1)-1)/100</f>
        <v>6.9500000000000006E-2</v>
      </c>
      <c r="AD228" s="573">
        <f t="shared" ref="AD228" si="2564">LEFT($B227, SEARCH("%",$B227,1)-1)/100</f>
        <v>6.9500000000000006E-2</v>
      </c>
      <c r="AE228" s="573">
        <f t="shared" ref="AE228" si="2565">LEFT($B227, SEARCH("%",$B227,1)-1)/100</f>
        <v>6.9500000000000006E-2</v>
      </c>
      <c r="AF228" s="573">
        <f t="shared" ref="AF228" si="2566">LEFT($B227, SEARCH("%",$B227,1)-1)/100</f>
        <v>6.9500000000000006E-2</v>
      </c>
      <c r="AG228" s="573"/>
      <c r="AH228" s="573">
        <f t="shared" ref="AH228" si="2567">LEFT($B227, SEARCH("%",$B227,1)-1)/100</f>
        <v>6.9500000000000006E-2</v>
      </c>
      <c r="AI228" s="573">
        <f t="shared" ref="AI228" si="2568">LEFT($B227, SEARCH("%",$B227,1)-1)/100</f>
        <v>6.9500000000000006E-2</v>
      </c>
      <c r="AJ228" s="573">
        <f t="shared" ref="AJ228" si="2569">LEFT($B227, SEARCH("%",$B227,1)-1)/100</f>
        <v>6.9500000000000006E-2</v>
      </c>
      <c r="AK228" s="573">
        <f t="shared" ref="AK228" si="2570">LEFT($B227, SEARCH("%",$B227,1)-1)/100</f>
        <v>6.9500000000000006E-2</v>
      </c>
      <c r="AL228" s="573">
        <f t="shared" ref="AL228" si="2571">LEFT($B227, SEARCH("%",$B227,1)-1)/100</f>
        <v>6.9500000000000006E-2</v>
      </c>
      <c r="AM228" s="573"/>
      <c r="AN228" s="573">
        <f t="shared" ref="AN228" si="2572">LEFT($B227, SEARCH("%",$B227,1)-1)/100</f>
        <v>6.9500000000000006E-2</v>
      </c>
      <c r="AO228" s="573">
        <f t="shared" ref="AO228" si="2573">LEFT($B227, SEARCH("%",$B227,1)-1)/100</f>
        <v>6.9500000000000006E-2</v>
      </c>
      <c r="AP228" s="573">
        <f t="shared" ref="AP228" si="2574">LEFT($B227, SEARCH("%",$B227,1)-1)/100</f>
        <v>6.9500000000000006E-2</v>
      </c>
      <c r="AQ228" s="573">
        <f t="shared" ref="AQ228" si="2575">LEFT($B227, SEARCH("%",$B227,1)-1)/100</f>
        <v>6.9500000000000006E-2</v>
      </c>
      <c r="AR228" s="573">
        <f t="shared" ref="AR228" si="2576">LEFT($B227, SEARCH("%",$B227,1)-1)/100</f>
        <v>6.9500000000000006E-2</v>
      </c>
      <c r="AS228" s="573"/>
      <c r="AT228" s="573">
        <f t="shared" ref="AT228" si="2577">LEFT($B227, SEARCH("%",$B227,1)-1)/100</f>
        <v>6.9500000000000006E-2</v>
      </c>
      <c r="AU228" s="573">
        <f t="shared" ref="AU228" si="2578">LEFT($B227, SEARCH("%",$B227,1)-1)/100</f>
        <v>6.9500000000000006E-2</v>
      </c>
      <c r="AV228" s="573">
        <f t="shared" ref="AV228" si="2579">LEFT($B227, SEARCH("%",$B227,1)-1)/100</f>
        <v>6.9500000000000006E-2</v>
      </c>
      <c r="AW228" s="623">
        <f t="shared" ref="AW228" si="2580">LEFT($B227, SEARCH("%",$B227,1)-1)/100</f>
        <v>6.9500000000000006E-2</v>
      </c>
      <c r="AX228" s="573">
        <f t="shared" ref="AX228" si="2581">LEFT($B227, SEARCH("%",$B227,1)-1)/100</f>
        <v>6.9500000000000006E-2</v>
      </c>
      <c r="AY228" s="573"/>
      <c r="AZ228" s="573">
        <f t="shared" ref="AZ228" si="2582">LEFT($B227, SEARCH("%",$B227,1)-1)/100</f>
        <v>6.9500000000000006E-2</v>
      </c>
      <c r="BA228" s="573">
        <f t="shared" ref="BA228" si="2583">LEFT($B227, SEARCH("%",$B227,1)-1)/100</f>
        <v>6.9500000000000006E-2</v>
      </c>
      <c r="BB228" s="573">
        <f t="shared" ref="BB228" si="2584">LEFT($B227, SEARCH("%",$B227,1)-1)/100</f>
        <v>6.9500000000000006E-2</v>
      </c>
      <c r="BC228" s="573">
        <f t="shared" ref="BC228" si="2585">LEFT($B227, SEARCH("%",$B227,1)-1)/100</f>
        <v>6.9500000000000006E-2</v>
      </c>
      <c r="BD228" s="573">
        <f t="shared" ref="BD228" si="2586">LEFT($B227, SEARCH("%",$B227,1)-1)/100</f>
        <v>6.9500000000000006E-2</v>
      </c>
      <c r="BE228" s="573"/>
      <c r="BF228" s="573">
        <f t="shared" ref="BF228" si="2587">LEFT($B227, SEARCH("%",$B227,1)-1)/100</f>
        <v>6.9500000000000006E-2</v>
      </c>
      <c r="BG228" s="573">
        <f t="shared" ref="BG228" si="2588">LEFT($B227, SEARCH("%",$B227,1)-1)/100</f>
        <v>6.9500000000000006E-2</v>
      </c>
      <c r="BH228" s="573">
        <f t="shared" ref="BH228" si="2589">LEFT($B227, SEARCH("%",$B227,1)-1)/100</f>
        <v>6.9500000000000006E-2</v>
      </c>
      <c r="BI228" s="573">
        <f t="shared" ref="BI228" si="2590">LEFT($B227, SEARCH("%",$B227,1)-1)/100</f>
        <v>6.9500000000000006E-2</v>
      </c>
      <c r="BJ228" s="573">
        <f t="shared" ref="BJ228" si="2591">LEFT($B227, SEARCH("%",$B227,1)-1)/100</f>
        <v>6.9500000000000006E-2</v>
      </c>
      <c r="BK228" s="573"/>
      <c r="BL228" s="573">
        <f t="shared" ref="BL228" si="2592">LEFT($B227, SEARCH("%",$B227,1)-1)/100</f>
        <v>6.9500000000000006E-2</v>
      </c>
      <c r="BM228" s="573">
        <f t="shared" ref="BM228" si="2593">LEFT($B227, SEARCH("%",$B227,1)-1)/100</f>
        <v>6.9500000000000006E-2</v>
      </c>
      <c r="BN228" s="573">
        <f t="shared" ref="BN228" si="2594">LEFT($B227, SEARCH("%",$B227,1)-1)/100</f>
        <v>6.9500000000000006E-2</v>
      </c>
      <c r="BO228" s="573">
        <f t="shared" ref="BO228" si="2595">LEFT($B227, SEARCH("%",$B227,1)-1)/100</f>
        <v>6.9500000000000006E-2</v>
      </c>
      <c r="BP228" s="573">
        <f t="shared" ref="BP228" si="2596">LEFT($B227, SEARCH("%",$B227,1)-1)/100</f>
        <v>6.9500000000000006E-2</v>
      </c>
      <c r="BQ228" s="573"/>
      <c r="BR228" s="573">
        <f t="shared" ref="BR228" si="2597">LEFT($B227, SEARCH("%",$B227,1)-1)/100</f>
        <v>6.9500000000000006E-2</v>
      </c>
      <c r="BS228" s="573">
        <f t="shared" ref="BS228" si="2598">LEFT($B227, SEARCH("%",$B227,1)-1)/100</f>
        <v>6.9500000000000006E-2</v>
      </c>
      <c r="BT228" s="573">
        <f t="shared" ref="BT228" si="2599">LEFT($B227, SEARCH("%",$B227,1)-1)/100</f>
        <v>6.9500000000000006E-2</v>
      </c>
      <c r="BU228" s="573">
        <f t="shared" ref="BU228" si="2600">LEFT($B227, SEARCH("%",$B227,1)-1)/100</f>
        <v>6.9500000000000006E-2</v>
      </c>
      <c r="BV228" s="573">
        <f t="shared" ref="BV228" si="2601">LEFT($B227, SEARCH("%",$B227,1)-1)/100</f>
        <v>6.9500000000000006E-2</v>
      </c>
      <c r="BW228" s="573"/>
      <c r="BX228" s="573">
        <f t="shared" ref="BX228" si="2602">LEFT($B227, SEARCH("%",$B227,1)-1)/100</f>
        <v>6.9500000000000006E-2</v>
      </c>
      <c r="BY228" s="573">
        <f t="shared" ref="BY228" si="2603">LEFT($B227, SEARCH("%",$B227,1)-1)/100</f>
        <v>6.9500000000000006E-2</v>
      </c>
      <c r="BZ228" s="573">
        <f t="shared" ref="BZ228" si="2604">LEFT($B227, SEARCH("%",$B227,1)-1)/100</f>
        <v>6.9500000000000006E-2</v>
      </c>
      <c r="CA228" s="573">
        <f t="shared" ref="CA228" si="2605">LEFT($B227, SEARCH("%",$B227,1)-1)/100</f>
        <v>6.9500000000000006E-2</v>
      </c>
      <c r="CB228" s="573">
        <f t="shared" ref="CB228" si="2606">LEFT($B227, SEARCH("%",$B227,1)-1)/100</f>
        <v>6.9500000000000006E-2</v>
      </c>
      <c r="CC228" s="573"/>
      <c r="CD228" s="573">
        <f t="shared" ref="CD228" si="2607">LEFT($B227, SEARCH("%",$B227,1)-1)/100</f>
        <v>6.9500000000000006E-2</v>
      </c>
      <c r="CE228" s="573">
        <f t="shared" ref="CE228" si="2608">LEFT($B227, SEARCH("%",$B227,1)-1)/100</f>
        <v>6.9500000000000006E-2</v>
      </c>
      <c r="CF228" s="573">
        <f t="shared" ref="CF228" si="2609">LEFT($B227, SEARCH("%",$B227,1)-1)/100</f>
        <v>6.9500000000000006E-2</v>
      </c>
      <c r="CG228" s="573">
        <f t="shared" ref="CG228" si="2610">LEFT($B227, SEARCH("%",$B227,1)-1)/100</f>
        <v>6.9500000000000006E-2</v>
      </c>
      <c r="CH228" s="573">
        <f t="shared" ref="CH228" si="2611">LEFT($B227, SEARCH("%",$B227,1)-1)/100</f>
        <v>6.9500000000000006E-2</v>
      </c>
      <c r="CI228" s="573"/>
      <c r="CJ228" s="573">
        <f t="shared" ref="CJ228" si="2612">LEFT($B227, SEARCH("%",$B227,1)-1)/100</f>
        <v>6.9500000000000006E-2</v>
      </c>
      <c r="CK228" s="573">
        <f t="shared" ref="CK228" si="2613">LEFT($B227, SEARCH("%",$B227,1)-1)/100</f>
        <v>6.9500000000000006E-2</v>
      </c>
      <c r="CL228" s="573">
        <f t="shared" ref="CL228" si="2614">LEFT($B227, SEARCH("%",$B227,1)-1)/100</f>
        <v>6.9500000000000006E-2</v>
      </c>
      <c r="CM228" s="573">
        <f t="shared" ref="CM228" si="2615">LEFT($B227, SEARCH("%",$B227,1)-1)/100</f>
        <v>6.9500000000000006E-2</v>
      </c>
      <c r="CN228" s="573">
        <f t="shared" ref="CN228" si="2616">LEFT($B227, SEARCH("%",$B227,1)-1)/100</f>
        <v>6.9500000000000006E-2</v>
      </c>
      <c r="CO228" s="573"/>
      <c r="CP228" s="573"/>
    </row>
    <row r="229" spans="2:94" ht="12.95" hidden="1" customHeight="1" outlineLevel="1" x14ac:dyDescent="0.25">
      <c r="B229" s="2" t="s">
        <v>579</v>
      </c>
      <c r="D229" s="2">
        <v>1218</v>
      </c>
      <c r="E229" s="2">
        <v>1218</v>
      </c>
      <c r="F229" s="2">
        <v>1218</v>
      </c>
      <c r="G229" s="2">
        <v>1236</v>
      </c>
      <c r="H229" s="2">
        <v>1236</v>
      </c>
      <c r="J229" s="2">
        <v>1236</v>
      </c>
      <c r="K229" s="2">
        <v>1236</v>
      </c>
      <c r="L229" s="2">
        <v>1236</v>
      </c>
      <c r="M229" s="2">
        <v>1236</v>
      </c>
      <c r="N229" s="2">
        <v>1236</v>
      </c>
      <c r="P229" s="2">
        <v>1236</v>
      </c>
      <c r="Q229" s="2">
        <v>1236</v>
      </c>
      <c r="R229" s="2">
        <v>1236</v>
      </c>
      <c r="S229" s="2">
        <v>1277</v>
      </c>
      <c r="T229" s="2">
        <v>1277</v>
      </c>
      <c r="V229" s="2">
        <v>1277</v>
      </c>
      <c r="W229" s="2">
        <v>1277</v>
      </c>
      <c r="X229" s="2">
        <v>1277</v>
      </c>
      <c r="Y229" s="2">
        <v>1277</v>
      </c>
      <c r="Z229" s="2">
        <v>1277</v>
      </c>
      <c r="AB229" s="6">
        <v>1277</v>
      </c>
      <c r="AC229" s="6">
        <v>1277</v>
      </c>
      <c r="AD229" s="6">
        <v>1277</v>
      </c>
      <c r="AE229" s="6">
        <v>1316</v>
      </c>
      <c r="AF229" s="6">
        <v>1316</v>
      </c>
      <c r="AG229" s="6"/>
      <c r="AH229" s="6">
        <v>1316</v>
      </c>
      <c r="AI229" s="6">
        <v>1316</v>
      </c>
      <c r="AJ229" s="6">
        <v>1316</v>
      </c>
      <c r="AK229" s="6">
        <v>1336</v>
      </c>
      <c r="AL229" s="6">
        <v>1336</v>
      </c>
      <c r="AM229" s="6"/>
      <c r="AN229" s="6">
        <v>1336</v>
      </c>
      <c r="AO229" s="243">
        <v>1336</v>
      </c>
      <c r="AP229" s="6">
        <v>1336</v>
      </c>
      <c r="AQ229" s="243">
        <v>1355</v>
      </c>
      <c r="AR229" s="243">
        <v>1355</v>
      </c>
      <c r="AS229" s="6"/>
      <c r="AT229" s="6">
        <v>1355</v>
      </c>
      <c r="AU229" s="243">
        <v>1355</v>
      </c>
      <c r="AV229" s="243">
        <v>1355</v>
      </c>
      <c r="AW229" s="164">
        <v>1355</v>
      </c>
      <c r="AX229" s="6">
        <v>1355</v>
      </c>
      <c r="AY229" s="6"/>
      <c r="AZ229" s="6">
        <v>1355</v>
      </c>
      <c r="BA229" s="6">
        <v>1355</v>
      </c>
      <c r="BB229" s="6">
        <v>1355</v>
      </c>
      <c r="BC229" s="6">
        <v>1355</v>
      </c>
      <c r="BD229" s="6">
        <v>1355</v>
      </c>
      <c r="BE229" s="6"/>
      <c r="BF229" s="6">
        <v>1355</v>
      </c>
      <c r="BG229" s="6">
        <v>1355</v>
      </c>
      <c r="BH229" s="6">
        <v>1355</v>
      </c>
      <c r="BI229" s="6">
        <v>1355</v>
      </c>
      <c r="BJ229" s="6">
        <v>1355</v>
      </c>
      <c r="BK229" s="6"/>
      <c r="BL229" s="6">
        <v>1355</v>
      </c>
      <c r="BM229" s="6">
        <v>1355</v>
      </c>
      <c r="BN229" s="6">
        <v>1355</v>
      </c>
      <c r="BO229" s="6">
        <v>1355</v>
      </c>
      <c r="BP229" s="6">
        <v>1355</v>
      </c>
      <c r="BQ229" s="6"/>
      <c r="BR229" s="6">
        <v>1355</v>
      </c>
      <c r="BS229" s="6">
        <v>1355</v>
      </c>
      <c r="BT229" s="6">
        <v>1355</v>
      </c>
      <c r="BU229" s="6">
        <v>1355</v>
      </c>
      <c r="BV229" s="6">
        <v>1355</v>
      </c>
      <c r="BW229" s="6"/>
      <c r="BX229" s="6">
        <v>1355</v>
      </c>
      <c r="BY229" s="6">
        <v>1355</v>
      </c>
      <c r="BZ229" s="6">
        <v>1355</v>
      </c>
      <c r="CA229" s="6">
        <v>1355</v>
      </c>
      <c r="CB229" s="6">
        <v>1355</v>
      </c>
      <c r="CC229" s="6"/>
      <c r="CD229" s="6">
        <v>1355</v>
      </c>
      <c r="CE229" s="6">
        <v>1355</v>
      </c>
      <c r="CF229" s="6">
        <v>1355</v>
      </c>
      <c r="CG229" s="6">
        <v>1355</v>
      </c>
      <c r="CH229" s="6">
        <v>1355</v>
      </c>
      <c r="CI229" s="6"/>
      <c r="CJ229" s="6">
        <v>1355</v>
      </c>
      <c r="CK229" s="6">
        <v>1355</v>
      </c>
      <c r="CL229" s="6">
        <v>1355</v>
      </c>
      <c r="CM229" s="6">
        <v>1355</v>
      </c>
      <c r="CN229" s="6">
        <v>1355</v>
      </c>
    </row>
    <row r="230" spans="2:94" ht="12.95" hidden="1" customHeight="1" outlineLevel="1" x14ac:dyDescent="0.25">
      <c r="B230" s="2" t="s">
        <v>40</v>
      </c>
      <c r="D230" s="573">
        <f>LEFT($B229, SEARCH("%",$B229,1)-1)/100</f>
        <v>3.8030000000000001E-2</v>
      </c>
      <c r="E230" s="573">
        <f t="shared" ref="E230" si="2617">LEFT($B229, SEARCH("%",$B229,1)-1)/100</f>
        <v>3.8030000000000001E-2</v>
      </c>
      <c r="F230" s="573">
        <f t="shared" ref="F230" si="2618">LEFT($B229, SEARCH("%",$B229,1)-1)/100</f>
        <v>3.8030000000000001E-2</v>
      </c>
      <c r="G230" s="573">
        <f t="shared" ref="G230" si="2619">LEFT($B229, SEARCH("%",$B229,1)-1)/100</f>
        <v>3.8030000000000001E-2</v>
      </c>
      <c r="H230" s="573">
        <f t="shared" ref="H230" si="2620">LEFT($B229, SEARCH("%",$B229,1)-1)/100</f>
        <v>3.8030000000000001E-2</v>
      </c>
      <c r="I230" s="573"/>
      <c r="J230" s="573">
        <f t="shared" ref="J230" si="2621">LEFT($B229, SEARCH("%",$B229,1)-1)/100</f>
        <v>3.8030000000000001E-2</v>
      </c>
      <c r="K230" s="573">
        <f t="shared" ref="K230" si="2622">LEFT($B229, SEARCH("%",$B229,1)-1)/100</f>
        <v>3.8030000000000001E-2</v>
      </c>
      <c r="L230" s="573">
        <f t="shared" ref="L230" si="2623">LEFT($B229, SEARCH("%",$B229,1)-1)/100</f>
        <v>3.8030000000000001E-2</v>
      </c>
      <c r="M230" s="573">
        <f t="shared" ref="M230" si="2624">LEFT($B229, SEARCH("%",$B229,1)-1)/100</f>
        <v>3.8030000000000001E-2</v>
      </c>
      <c r="N230" s="573">
        <f t="shared" ref="N230" si="2625">LEFT($B229, SEARCH("%",$B229,1)-1)/100</f>
        <v>3.8030000000000001E-2</v>
      </c>
      <c r="O230" s="573"/>
      <c r="P230" s="573">
        <f t="shared" ref="P230" si="2626">LEFT($B229, SEARCH("%",$B229,1)-1)/100</f>
        <v>3.8030000000000001E-2</v>
      </c>
      <c r="Q230" s="573">
        <f t="shared" ref="Q230" si="2627">LEFT($B229, SEARCH("%",$B229,1)-1)/100</f>
        <v>3.8030000000000001E-2</v>
      </c>
      <c r="R230" s="573">
        <f t="shared" ref="R230" si="2628">LEFT($B229, SEARCH("%",$B229,1)-1)/100</f>
        <v>3.8030000000000001E-2</v>
      </c>
      <c r="S230" s="573">
        <f t="shared" ref="S230" si="2629">LEFT($B229, SEARCH("%",$B229,1)-1)/100</f>
        <v>3.8030000000000001E-2</v>
      </c>
      <c r="T230" s="573">
        <f t="shared" ref="T230" si="2630">LEFT($B229, SEARCH("%",$B229,1)-1)/100</f>
        <v>3.8030000000000001E-2</v>
      </c>
      <c r="U230" s="573"/>
      <c r="V230" s="573">
        <f t="shared" ref="V230" si="2631">LEFT($B229, SEARCH("%",$B229,1)-1)/100</f>
        <v>3.8030000000000001E-2</v>
      </c>
      <c r="W230" s="573">
        <f t="shared" ref="W230" si="2632">LEFT($B229, SEARCH("%",$B229,1)-1)/100</f>
        <v>3.8030000000000001E-2</v>
      </c>
      <c r="X230" s="573">
        <f t="shared" ref="X230" si="2633">LEFT($B229, SEARCH("%",$B229,1)-1)/100</f>
        <v>3.8030000000000001E-2</v>
      </c>
      <c r="Y230" s="573">
        <f t="shared" ref="Y230" si="2634">LEFT($B229, SEARCH("%",$B229,1)-1)/100</f>
        <v>3.8030000000000001E-2</v>
      </c>
      <c r="Z230" s="573">
        <f t="shared" ref="Z230" si="2635">LEFT($B229, SEARCH("%",$B229,1)-1)/100</f>
        <v>3.8030000000000001E-2</v>
      </c>
      <c r="AA230" s="573"/>
      <c r="AB230" s="573">
        <f t="shared" ref="AB230" si="2636">LEFT($B229, SEARCH("%",$B229,1)-1)/100</f>
        <v>3.8030000000000001E-2</v>
      </c>
      <c r="AC230" s="573">
        <f t="shared" ref="AC230" si="2637">LEFT($B229, SEARCH("%",$B229,1)-1)/100</f>
        <v>3.8030000000000001E-2</v>
      </c>
      <c r="AD230" s="573">
        <f t="shared" ref="AD230" si="2638">LEFT($B229, SEARCH("%",$B229,1)-1)/100</f>
        <v>3.8030000000000001E-2</v>
      </c>
      <c r="AE230" s="573">
        <f t="shared" ref="AE230" si="2639">LEFT($B229, SEARCH("%",$B229,1)-1)/100</f>
        <v>3.8030000000000001E-2</v>
      </c>
      <c r="AF230" s="573">
        <f t="shared" ref="AF230" si="2640">LEFT($B229, SEARCH("%",$B229,1)-1)/100</f>
        <v>3.8030000000000001E-2</v>
      </c>
      <c r="AG230" s="573"/>
      <c r="AH230" s="573">
        <f t="shared" ref="AH230" si="2641">LEFT($B229, SEARCH("%",$B229,1)-1)/100</f>
        <v>3.8030000000000001E-2</v>
      </c>
      <c r="AI230" s="573">
        <f t="shared" ref="AI230" si="2642">LEFT($B229, SEARCH("%",$B229,1)-1)/100</f>
        <v>3.8030000000000001E-2</v>
      </c>
      <c r="AJ230" s="573">
        <f t="shared" ref="AJ230" si="2643">LEFT($B229, SEARCH("%",$B229,1)-1)/100</f>
        <v>3.8030000000000001E-2</v>
      </c>
      <c r="AK230" s="573">
        <f t="shared" ref="AK230" si="2644">LEFT($B229, SEARCH("%",$B229,1)-1)/100</f>
        <v>3.8030000000000001E-2</v>
      </c>
      <c r="AL230" s="573">
        <f t="shared" ref="AL230" si="2645">LEFT($B229, SEARCH("%",$B229,1)-1)/100</f>
        <v>3.8030000000000001E-2</v>
      </c>
      <c r="AM230" s="573"/>
      <c r="AN230" s="573">
        <f t="shared" ref="AN230" si="2646">LEFT($B229, SEARCH("%",$B229,1)-1)/100</f>
        <v>3.8030000000000001E-2</v>
      </c>
      <c r="AO230" s="573">
        <f t="shared" ref="AO230" si="2647">LEFT($B229, SEARCH("%",$B229,1)-1)/100</f>
        <v>3.8030000000000001E-2</v>
      </c>
      <c r="AP230" s="573">
        <f t="shared" ref="AP230" si="2648">LEFT($B229, SEARCH("%",$B229,1)-1)/100</f>
        <v>3.8030000000000001E-2</v>
      </c>
      <c r="AQ230" s="573">
        <f t="shared" ref="AQ230" si="2649">LEFT($B229, SEARCH("%",$B229,1)-1)/100</f>
        <v>3.8030000000000001E-2</v>
      </c>
      <c r="AR230" s="573">
        <f t="shared" ref="AR230" si="2650">LEFT($B229, SEARCH("%",$B229,1)-1)/100</f>
        <v>3.8030000000000001E-2</v>
      </c>
      <c r="AS230" s="573"/>
      <c r="AT230" s="573">
        <f t="shared" ref="AT230" si="2651">LEFT($B229, SEARCH("%",$B229,1)-1)/100</f>
        <v>3.8030000000000001E-2</v>
      </c>
      <c r="AU230" s="573">
        <f t="shared" ref="AU230" si="2652">LEFT($B229, SEARCH("%",$B229,1)-1)/100</f>
        <v>3.8030000000000001E-2</v>
      </c>
      <c r="AV230" s="573">
        <f t="shared" ref="AV230" si="2653">LEFT($B229, SEARCH("%",$B229,1)-1)/100</f>
        <v>3.8030000000000001E-2</v>
      </c>
      <c r="AW230" s="623">
        <f t="shared" ref="AW230" si="2654">LEFT($B229, SEARCH("%",$B229,1)-1)/100</f>
        <v>3.8030000000000001E-2</v>
      </c>
      <c r="AX230" s="573">
        <f t="shared" ref="AX230" si="2655">LEFT($B229, SEARCH("%",$B229,1)-1)/100</f>
        <v>3.8030000000000001E-2</v>
      </c>
      <c r="AY230" s="573"/>
      <c r="AZ230" s="573">
        <f t="shared" ref="AZ230" si="2656">LEFT($B229, SEARCH("%",$B229,1)-1)/100</f>
        <v>3.8030000000000001E-2</v>
      </c>
      <c r="BA230" s="573">
        <f t="shared" ref="BA230" si="2657">LEFT($B229, SEARCH("%",$B229,1)-1)/100</f>
        <v>3.8030000000000001E-2</v>
      </c>
      <c r="BB230" s="573">
        <f t="shared" ref="BB230" si="2658">LEFT($B229, SEARCH("%",$B229,1)-1)/100</f>
        <v>3.8030000000000001E-2</v>
      </c>
      <c r="BC230" s="573">
        <f t="shared" ref="BC230" si="2659">LEFT($B229, SEARCH("%",$B229,1)-1)/100</f>
        <v>3.8030000000000001E-2</v>
      </c>
      <c r="BD230" s="573">
        <f t="shared" ref="BD230" si="2660">LEFT($B229, SEARCH("%",$B229,1)-1)/100</f>
        <v>3.8030000000000001E-2</v>
      </c>
      <c r="BE230" s="573"/>
      <c r="BF230" s="573">
        <f t="shared" ref="BF230" si="2661">LEFT($B229, SEARCH("%",$B229,1)-1)/100</f>
        <v>3.8030000000000001E-2</v>
      </c>
      <c r="BG230" s="573">
        <f t="shared" ref="BG230" si="2662">LEFT($B229, SEARCH("%",$B229,1)-1)/100</f>
        <v>3.8030000000000001E-2</v>
      </c>
      <c r="BH230" s="573">
        <f t="shared" ref="BH230" si="2663">LEFT($B229, SEARCH("%",$B229,1)-1)/100</f>
        <v>3.8030000000000001E-2</v>
      </c>
      <c r="BI230" s="573">
        <f t="shared" ref="BI230" si="2664">LEFT($B229, SEARCH("%",$B229,1)-1)/100</f>
        <v>3.8030000000000001E-2</v>
      </c>
      <c r="BJ230" s="573">
        <f t="shared" ref="BJ230" si="2665">LEFT($B229, SEARCH("%",$B229,1)-1)/100</f>
        <v>3.8030000000000001E-2</v>
      </c>
      <c r="BK230" s="573"/>
      <c r="BL230" s="573">
        <f t="shared" ref="BL230" si="2666">LEFT($B229, SEARCH("%",$B229,1)-1)/100</f>
        <v>3.8030000000000001E-2</v>
      </c>
      <c r="BM230" s="573">
        <f t="shared" ref="BM230" si="2667">LEFT($B229, SEARCH("%",$B229,1)-1)/100</f>
        <v>3.8030000000000001E-2</v>
      </c>
      <c r="BN230" s="573">
        <f t="shared" ref="BN230" si="2668">LEFT($B229, SEARCH("%",$B229,1)-1)/100</f>
        <v>3.8030000000000001E-2</v>
      </c>
      <c r="BO230" s="573">
        <f t="shared" ref="BO230" si="2669">LEFT($B229, SEARCH("%",$B229,1)-1)/100</f>
        <v>3.8030000000000001E-2</v>
      </c>
      <c r="BP230" s="573">
        <f t="shared" ref="BP230" si="2670">LEFT($B229, SEARCH("%",$B229,1)-1)/100</f>
        <v>3.8030000000000001E-2</v>
      </c>
      <c r="BQ230" s="573"/>
      <c r="BR230" s="573">
        <f t="shared" ref="BR230" si="2671">LEFT($B229, SEARCH("%",$B229,1)-1)/100</f>
        <v>3.8030000000000001E-2</v>
      </c>
      <c r="BS230" s="573">
        <f t="shared" ref="BS230" si="2672">LEFT($B229, SEARCH("%",$B229,1)-1)/100</f>
        <v>3.8030000000000001E-2</v>
      </c>
      <c r="BT230" s="573">
        <f t="shared" ref="BT230" si="2673">LEFT($B229, SEARCH("%",$B229,1)-1)/100</f>
        <v>3.8030000000000001E-2</v>
      </c>
      <c r="BU230" s="573">
        <f t="shared" ref="BU230" si="2674">LEFT($B229, SEARCH("%",$B229,1)-1)/100</f>
        <v>3.8030000000000001E-2</v>
      </c>
      <c r="BV230" s="573">
        <f t="shared" ref="BV230" si="2675">LEFT($B229, SEARCH("%",$B229,1)-1)/100</f>
        <v>3.8030000000000001E-2</v>
      </c>
      <c r="BW230" s="573"/>
      <c r="BX230" s="573">
        <f t="shared" ref="BX230" si="2676">LEFT($B229, SEARCH("%",$B229,1)-1)/100</f>
        <v>3.8030000000000001E-2</v>
      </c>
      <c r="BY230" s="573">
        <f t="shared" ref="BY230" si="2677">LEFT($B229, SEARCH("%",$B229,1)-1)/100</f>
        <v>3.8030000000000001E-2</v>
      </c>
      <c r="BZ230" s="573">
        <f t="shared" ref="BZ230" si="2678">LEFT($B229, SEARCH("%",$B229,1)-1)/100</f>
        <v>3.8030000000000001E-2</v>
      </c>
      <c r="CA230" s="573">
        <f t="shared" ref="CA230" si="2679">LEFT($B229, SEARCH("%",$B229,1)-1)/100</f>
        <v>3.8030000000000001E-2</v>
      </c>
      <c r="CB230" s="573">
        <f t="shared" ref="CB230" si="2680">LEFT($B229, SEARCH("%",$B229,1)-1)/100</f>
        <v>3.8030000000000001E-2</v>
      </c>
      <c r="CC230" s="573"/>
      <c r="CD230" s="573">
        <f t="shared" ref="CD230" si="2681">LEFT($B229, SEARCH("%",$B229,1)-1)/100</f>
        <v>3.8030000000000001E-2</v>
      </c>
      <c r="CE230" s="573">
        <f t="shared" ref="CE230" si="2682">LEFT($B229, SEARCH("%",$B229,1)-1)/100</f>
        <v>3.8030000000000001E-2</v>
      </c>
      <c r="CF230" s="573">
        <f t="shared" ref="CF230" si="2683">LEFT($B229, SEARCH("%",$B229,1)-1)/100</f>
        <v>3.8030000000000001E-2</v>
      </c>
      <c r="CG230" s="573">
        <f t="shared" ref="CG230" si="2684">LEFT($B229, SEARCH("%",$B229,1)-1)/100</f>
        <v>3.8030000000000001E-2</v>
      </c>
      <c r="CH230" s="573">
        <f t="shared" ref="CH230" si="2685">LEFT($B229, SEARCH("%",$B229,1)-1)/100</f>
        <v>3.8030000000000001E-2</v>
      </c>
      <c r="CI230" s="573"/>
      <c r="CJ230" s="573">
        <f t="shared" ref="CJ230" si="2686">LEFT($B229, SEARCH("%",$B229,1)-1)/100</f>
        <v>3.8030000000000001E-2</v>
      </c>
      <c r="CK230" s="573">
        <f t="shared" ref="CK230" si="2687">LEFT($B229, SEARCH("%",$B229,1)-1)/100</f>
        <v>3.8030000000000001E-2</v>
      </c>
      <c r="CL230" s="573">
        <f t="shared" ref="CL230" si="2688">LEFT($B229, SEARCH("%",$B229,1)-1)/100</f>
        <v>3.8030000000000001E-2</v>
      </c>
      <c r="CM230" s="573">
        <f t="shared" ref="CM230" si="2689">LEFT($B229, SEARCH("%",$B229,1)-1)/100</f>
        <v>3.8030000000000001E-2</v>
      </c>
      <c r="CN230" s="573">
        <f t="shared" ref="CN230" si="2690">LEFT($B229, SEARCH("%",$B229,1)-1)/100</f>
        <v>3.8030000000000001E-2</v>
      </c>
      <c r="CO230" s="573"/>
      <c r="CP230" s="573"/>
    </row>
    <row r="231" spans="2:94" ht="12.95" hidden="1" customHeight="1" outlineLevel="1" x14ac:dyDescent="0.25">
      <c r="B231" s="2" t="s">
        <v>580</v>
      </c>
      <c r="D231" s="2">
        <v>242</v>
      </c>
      <c r="E231" s="2">
        <v>242</v>
      </c>
      <c r="F231" s="2">
        <v>242</v>
      </c>
      <c r="G231" s="2">
        <v>242</v>
      </c>
      <c r="H231" s="2">
        <v>242</v>
      </c>
      <c r="J231" s="2">
        <v>242</v>
      </c>
      <c r="K231" s="2">
        <v>242</v>
      </c>
      <c r="L231" s="2">
        <v>242</v>
      </c>
      <c r="M231" s="2">
        <v>242</v>
      </c>
      <c r="N231" s="2">
        <v>242</v>
      </c>
      <c r="P231" s="2">
        <v>242</v>
      </c>
      <c r="Q231" s="2">
        <v>242</v>
      </c>
      <c r="R231" s="2">
        <v>242</v>
      </c>
      <c r="S231" s="2">
        <v>241</v>
      </c>
      <c r="T231" s="2">
        <v>241</v>
      </c>
      <c r="V231" s="2">
        <v>241</v>
      </c>
      <c r="W231" s="2">
        <v>241</v>
      </c>
      <c r="X231" s="2">
        <v>241</v>
      </c>
      <c r="Y231" s="2">
        <v>241</v>
      </c>
      <c r="Z231" s="2">
        <v>241</v>
      </c>
      <c r="AB231" s="6">
        <v>241</v>
      </c>
      <c r="AC231" s="6">
        <v>241</v>
      </c>
      <c r="AD231" s="6">
        <v>241</v>
      </c>
      <c r="AE231" s="6">
        <v>241</v>
      </c>
      <c r="AF231" s="6">
        <v>241</v>
      </c>
      <c r="AG231" s="6"/>
      <c r="AH231" s="6">
        <v>241</v>
      </c>
      <c r="AI231" s="6">
        <v>241</v>
      </c>
      <c r="AJ231" s="6">
        <v>241</v>
      </c>
      <c r="AK231" s="6">
        <v>241</v>
      </c>
      <c r="AL231" s="6">
        <v>241</v>
      </c>
      <c r="AM231" s="6"/>
      <c r="AN231" s="6">
        <v>241</v>
      </c>
      <c r="AO231" s="243">
        <v>241</v>
      </c>
      <c r="AP231" s="6">
        <v>241</v>
      </c>
      <c r="AQ231" s="243">
        <v>241</v>
      </c>
      <c r="AR231" s="243">
        <v>241</v>
      </c>
      <c r="AS231" s="6"/>
      <c r="AT231" s="6">
        <v>241</v>
      </c>
      <c r="AU231" s="243">
        <v>241</v>
      </c>
      <c r="AV231" s="243">
        <v>241</v>
      </c>
      <c r="AW231" s="164">
        <v>241</v>
      </c>
      <c r="AX231" s="6">
        <v>241</v>
      </c>
      <c r="AY231" s="6"/>
      <c r="AZ231" s="6">
        <v>241</v>
      </c>
      <c r="BA231" s="6">
        <v>241</v>
      </c>
      <c r="BB231" s="6">
        <v>241</v>
      </c>
      <c r="BC231" s="6">
        <v>241</v>
      </c>
      <c r="BD231" s="6">
        <v>241</v>
      </c>
      <c r="BE231" s="6"/>
      <c r="BF231" s="6">
        <v>241</v>
      </c>
      <c r="BG231" s="6">
        <v>241</v>
      </c>
      <c r="BH231" s="6">
        <v>241</v>
      </c>
      <c r="BI231" s="6">
        <v>241</v>
      </c>
      <c r="BJ231" s="6">
        <v>241</v>
      </c>
      <c r="BK231" s="6"/>
      <c r="BL231" s="6">
        <v>241</v>
      </c>
      <c r="BM231" s="6">
        <v>241</v>
      </c>
      <c r="BN231" s="6">
        <v>241</v>
      </c>
      <c r="BO231" s="6">
        <v>241</v>
      </c>
      <c r="BP231" s="6">
        <v>241</v>
      </c>
      <c r="BQ231" s="6"/>
      <c r="BR231" s="6">
        <v>241</v>
      </c>
      <c r="BS231" s="6">
        <v>241</v>
      </c>
      <c r="BT231" s="6">
        <v>241</v>
      </c>
      <c r="BU231" s="6">
        <v>241</v>
      </c>
      <c r="BV231" s="6">
        <v>241</v>
      </c>
      <c r="BW231" s="6"/>
      <c r="BX231" s="6">
        <v>241</v>
      </c>
      <c r="BY231" s="6">
        <v>241</v>
      </c>
      <c r="BZ231" s="6">
        <v>241</v>
      </c>
      <c r="CA231" s="6">
        <v>241</v>
      </c>
      <c r="CB231" s="6">
        <v>241</v>
      </c>
      <c r="CC231" s="6"/>
      <c r="CD231" s="6">
        <v>241</v>
      </c>
      <c r="CE231" s="6">
        <v>241</v>
      </c>
      <c r="CF231" s="6">
        <v>241</v>
      </c>
      <c r="CG231" s="6">
        <v>241</v>
      </c>
      <c r="CH231" s="6">
        <v>241</v>
      </c>
      <c r="CI231" s="6"/>
      <c r="CJ231" s="6">
        <v>241</v>
      </c>
      <c r="CK231" s="6">
        <v>241</v>
      </c>
      <c r="CL231" s="6">
        <v>241</v>
      </c>
      <c r="CM231" s="6">
        <v>241</v>
      </c>
      <c r="CN231" s="6">
        <v>241</v>
      </c>
    </row>
    <row r="232" spans="2:94" ht="12.95" hidden="1" customHeight="1" outlineLevel="1" x14ac:dyDescent="0.25">
      <c r="B232" s="2" t="s">
        <v>40</v>
      </c>
      <c r="D232" s="573">
        <f>LEFT($B231, SEARCH("%",$B231,1)-1)/100</f>
        <v>7.3749999999999996E-2</v>
      </c>
      <c r="E232" s="573">
        <f t="shared" ref="E232" si="2691">LEFT($B231, SEARCH("%",$B231,1)-1)/100</f>
        <v>7.3749999999999996E-2</v>
      </c>
      <c r="F232" s="573">
        <f t="shared" ref="F232" si="2692">LEFT($B231, SEARCH("%",$B231,1)-1)/100</f>
        <v>7.3749999999999996E-2</v>
      </c>
      <c r="G232" s="573">
        <f t="shared" ref="G232" si="2693">LEFT($B231, SEARCH("%",$B231,1)-1)/100</f>
        <v>7.3749999999999996E-2</v>
      </c>
      <c r="H232" s="573">
        <f t="shared" ref="H232" si="2694">LEFT($B231, SEARCH("%",$B231,1)-1)/100</f>
        <v>7.3749999999999996E-2</v>
      </c>
      <c r="I232" s="573"/>
      <c r="J232" s="573">
        <f t="shared" ref="J232" si="2695">LEFT($B231, SEARCH("%",$B231,1)-1)/100</f>
        <v>7.3749999999999996E-2</v>
      </c>
      <c r="K232" s="573">
        <f t="shared" ref="K232" si="2696">LEFT($B231, SEARCH("%",$B231,1)-1)/100</f>
        <v>7.3749999999999996E-2</v>
      </c>
      <c r="L232" s="573">
        <f t="shared" ref="L232" si="2697">LEFT($B231, SEARCH("%",$B231,1)-1)/100</f>
        <v>7.3749999999999996E-2</v>
      </c>
      <c r="M232" s="573">
        <f t="shared" ref="M232" si="2698">LEFT($B231, SEARCH("%",$B231,1)-1)/100</f>
        <v>7.3749999999999996E-2</v>
      </c>
      <c r="N232" s="573">
        <f t="shared" ref="N232" si="2699">LEFT($B231, SEARCH("%",$B231,1)-1)/100</f>
        <v>7.3749999999999996E-2</v>
      </c>
      <c r="O232" s="573"/>
      <c r="P232" s="573">
        <f t="shared" ref="P232" si="2700">LEFT($B231, SEARCH("%",$B231,1)-1)/100</f>
        <v>7.3749999999999996E-2</v>
      </c>
      <c r="Q232" s="573">
        <f t="shared" ref="Q232" si="2701">LEFT($B231, SEARCH("%",$B231,1)-1)/100</f>
        <v>7.3749999999999996E-2</v>
      </c>
      <c r="R232" s="573">
        <f t="shared" ref="R232" si="2702">LEFT($B231, SEARCH("%",$B231,1)-1)/100</f>
        <v>7.3749999999999996E-2</v>
      </c>
      <c r="S232" s="573">
        <f t="shared" ref="S232" si="2703">LEFT($B231, SEARCH("%",$B231,1)-1)/100</f>
        <v>7.3749999999999996E-2</v>
      </c>
      <c r="T232" s="573">
        <f t="shared" ref="T232" si="2704">LEFT($B231, SEARCH("%",$B231,1)-1)/100</f>
        <v>7.3749999999999996E-2</v>
      </c>
      <c r="U232" s="573"/>
      <c r="V232" s="573">
        <f t="shared" ref="V232" si="2705">LEFT($B231, SEARCH("%",$B231,1)-1)/100</f>
        <v>7.3749999999999996E-2</v>
      </c>
      <c r="W232" s="573">
        <f t="shared" ref="W232" si="2706">LEFT($B231, SEARCH("%",$B231,1)-1)/100</f>
        <v>7.3749999999999996E-2</v>
      </c>
      <c r="X232" s="573">
        <f t="shared" ref="X232" si="2707">LEFT($B231, SEARCH("%",$B231,1)-1)/100</f>
        <v>7.3749999999999996E-2</v>
      </c>
      <c r="Y232" s="573">
        <f t="shared" ref="Y232" si="2708">LEFT($B231, SEARCH("%",$B231,1)-1)/100</f>
        <v>7.3749999999999996E-2</v>
      </c>
      <c r="Z232" s="573">
        <f t="shared" ref="Z232" si="2709">LEFT($B231, SEARCH("%",$B231,1)-1)/100</f>
        <v>7.3749999999999996E-2</v>
      </c>
      <c r="AA232" s="573"/>
      <c r="AB232" s="573">
        <f t="shared" ref="AB232" si="2710">LEFT($B231, SEARCH("%",$B231,1)-1)/100</f>
        <v>7.3749999999999996E-2</v>
      </c>
      <c r="AC232" s="573">
        <f t="shared" ref="AC232" si="2711">LEFT($B231, SEARCH("%",$B231,1)-1)/100</f>
        <v>7.3749999999999996E-2</v>
      </c>
      <c r="AD232" s="573">
        <f t="shared" ref="AD232" si="2712">LEFT($B231, SEARCH("%",$B231,1)-1)/100</f>
        <v>7.3749999999999996E-2</v>
      </c>
      <c r="AE232" s="573">
        <f t="shared" ref="AE232" si="2713">LEFT($B231, SEARCH("%",$B231,1)-1)/100</f>
        <v>7.3749999999999996E-2</v>
      </c>
      <c r="AF232" s="573">
        <f t="shared" ref="AF232" si="2714">LEFT($B231, SEARCH("%",$B231,1)-1)/100</f>
        <v>7.3749999999999996E-2</v>
      </c>
      <c r="AG232" s="573"/>
      <c r="AH232" s="573">
        <f t="shared" ref="AH232" si="2715">LEFT($B231, SEARCH("%",$B231,1)-1)/100</f>
        <v>7.3749999999999996E-2</v>
      </c>
      <c r="AI232" s="573">
        <f t="shared" ref="AI232" si="2716">LEFT($B231, SEARCH("%",$B231,1)-1)/100</f>
        <v>7.3749999999999996E-2</v>
      </c>
      <c r="AJ232" s="573">
        <f t="shared" ref="AJ232" si="2717">LEFT($B231, SEARCH("%",$B231,1)-1)/100</f>
        <v>7.3749999999999996E-2</v>
      </c>
      <c r="AK232" s="573">
        <f t="shared" ref="AK232" si="2718">LEFT($B231, SEARCH("%",$B231,1)-1)/100</f>
        <v>7.3749999999999996E-2</v>
      </c>
      <c r="AL232" s="573">
        <f t="shared" ref="AL232" si="2719">LEFT($B231, SEARCH("%",$B231,1)-1)/100</f>
        <v>7.3749999999999996E-2</v>
      </c>
      <c r="AM232" s="573"/>
      <c r="AN232" s="573">
        <f t="shared" ref="AN232" si="2720">LEFT($B231, SEARCH("%",$B231,1)-1)/100</f>
        <v>7.3749999999999996E-2</v>
      </c>
      <c r="AO232" s="573">
        <f t="shared" ref="AO232" si="2721">LEFT($B231, SEARCH("%",$B231,1)-1)/100</f>
        <v>7.3749999999999996E-2</v>
      </c>
      <c r="AP232" s="573">
        <f t="shared" ref="AP232" si="2722">LEFT($B231, SEARCH("%",$B231,1)-1)/100</f>
        <v>7.3749999999999996E-2</v>
      </c>
      <c r="AQ232" s="573">
        <f t="shared" ref="AQ232" si="2723">LEFT($B231, SEARCH("%",$B231,1)-1)/100</f>
        <v>7.3749999999999996E-2</v>
      </c>
      <c r="AR232" s="573">
        <f t="shared" ref="AR232" si="2724">LEFT($B231, SEARCH("%",$B231,1)-1)/100</f>
        <v>7.3749999999999996E-2</v>
      </c>
      <c r="AS232" s="573"/>
      <c r="AT232" s="573">
        <f t="shared" ref="AT232" si="2725">LEFT($B231, SEARCH("%",$B231,1)-1)/100</f>
        <v>7.3749999999999996E-2</v>
      </c>
      <c r="AU232" s="573">
        <f t="shared" ref="AU232" si="2726">LEFT($B231, SEARCH("%",$B231,1)-1)/100</f>
        <v>7.3749999999999996E-2</v>
      </c>
      <c r="AV232" s="573">
        <f t="shared" ref="AV232" si="2727">LEFT($B231, SEARCH("%",$B231,1)-1)/100</f>
        <v>7.3749999999999996E-2</v>
      </c>
      <c r="AW232" s="623">
        <f t="shared" ref="AW232" si="2728">LEFT($B231, SEARCH("%",$B231,1)-1)/100</f>
        <v>7.3749999999999996E-2</v>
      </c>
      <c r="AX232" s="573">
        <f t="shared" ref="AX232" si="2729">LEFT($B231, SEARCH("%",$B231,1)-1)/100</f>
        <v>7.3749999999999996E-2</v>
      </c>
      <c r="AY232" s="573"/>
      <c r="AZ232" s="573">
        <f t="shared" ref="AZ232" si="2730">LEFT($B231, SEARCH("%",$B231,1)-1)/100</f>
        <v>7.3749999999999996E-2</v>
      </c>
      <c r="BA232" s="573">
        <f t="shared" ref="BA232" si="2731">LEFT($B231, SEARCH("%",$B231,1)-1)/100</f>
        <v>7.3749999999999996E-2</v>
      </c>
      <c r="BB232" s="573">
        <f t="shared" ref="BB232" si="2732">LEFT($B231, SEARCH("%",$B231,1)-1)/100</f>
        <v>7.3749999999999996E-2</v>
      </c>
      <c r="BC232" s="573">
        <f t="shared" ref="BC232" si="2733">LEFT($B231, SEARCH("%",$B231,1)-1)/100</f>
        <v>7.3749999999999996E-2</v>
      </c>
      <c r="BD232" s="573">
        <f t="shared" ref="BD232" si="2734">LEFT($B231, SEARCH("%",$B231,1)-1)/100</f>
        <v>7.3749999999999996E-2</v>
      </c>
      <c r="BE232" s="573"/>
      <c r="BF232" s="573">
        <f t="shared" ref="BF232" si="2735">LEFT($B231, SEARCH("%",$B231,1)-1)/100</f>
        <v>7.3749999999999996E-2</v>
      </c>
      <c r="BG232" s="573">
        <f t="shared" ref="BG232" si="2736">LEFT($B231, SEARCH("%",$B231,1)-1)/100</f>
        <v>7.3749999999999996E-2</v>
      </c>
      <c r="BH232" s="573">
        <f t="shared" ref="BH232" si="2737">LEFT($B231, SEARCH("%",$B231,1)-1)/100</f>
        <v>7.3749999999999996E-2</v>
      </c>
      <c r="BI232" s="573">
        <f t="shared" ref="BI232" si="2738">LEFT($B231, SEARCH("%",$B231,1)-1)/100</f>
        <v>7.3749999999999996E-2</v>
      </c>
      <c r="BJ232" s="573">
        <f t="shared" ref="BJ232" si="2739">LEFT($B231, SEARCH("%",$B231,1)-1)/100</f>
        <v>7.3749999999999996E-2</v>
      </c>
      <c r="BK232" s="573"/>
      <c r="BL232" s="573">
        <f t="shared" ref="BL232" si="2740">LEFT($B231, SEARCH("%",$B231,1)-1)/100</f>
        <v>7.3749999999999996E-2</v>
      </c>
      <c r="BM232" s="573">
        <f t="shared" ref="BM232" si="2741">LEFT($B231, SEARCH("%",$B231,1)-1)/100</f>
        <v>7.3749999999999996E-2</v>
      </c>
      <c r="BN232" s="573">
        <f t="shared" ref="BN232" si="2742">LEFT($B231, SEARCH("%",$B231,1)-1)/100</f>
        <v>7.3749999999999996E-2</v>
      </c>
      <c r="BO232" s="573">
        <f t="shared" ref="BO232" si="2743">LEFT($B231, SEARCH("%",$B231,1)-1)/100</f>
        <v>7.3749999999999996E-2</v>
      </c>
      <c r="BP232" s="573">
        <f t="shared" ref="BP232" si="2744">LEFT($B231, SEARCH("%",$B231,1)-1)/100</f>
        <v>7.3749999999999996E-2</v>
      </c>
      <c r="BQ232" s="573"/>
      <c r="BR232" s="573">
        <f t="shared" ref="BR232" si="2745">LEFT($B231, SEARCH("%",$B231,1)-1)/100</f>
        <v>7.3749999999999996E-2</v>
      </c>
      <c r="BS232" s="573">
        <f t="shared" ref="BS232" si="2746">LEFT($B231, SEARCH("%",$B231,1)-1)/100</f>
        <v>7.3749999999999996E-2</v>
      </c>
      <c r="BT232" s="573">
        <f t="shared" ref="BT232" si="2747">LEFT($B231, SEARCH("%",$B231,1)-1)/100</f>
        <v>7.3749999999999996E-2</v>
      </c>
      <c r="BU232" s="573">
        <f t="shared" ref="BU232" si="2748">LEFT($B231, SEARCH("%",$B231,1)-1)/100</f>
        <v>7.3749999999999996E-2</v>
      </c>
      <c r="BV232" s="573">
        <f t="shared" ref="BV232" si="2749">LEFT($B231, SEARCH("%",$B231,1)-1)/100</f>
        <v>7.3749999999999996E-2</v>
      </c>
      <c r="BW232" s="573"/>
      <c r="BX232" s="573">
        <f t="shared" ref="BX232" si="2750">LEFT($B231, SEARCH("%",$B231,1)-1)/100</f>
        <v>7.3749999999999996E-2</v>
      </c>
      <c r="BY232" s="573">
        <f t="shared" ref="BY232" si="2751">LEFT($B231, SEARCH("%",$B231,1)-1)/100</f>
        <v>7.3749999999999996E-2</v>
      </c>
      <c r="BZ232" s="573">
        <f t="shared" ref="BZ232" si="2752">LEFT($B231, SEARCH("%",$B231,1)-1)/100</f>
        <v>7.3749999999999996E-2</v>
      </c>
      <c r="CA232" s="573">
        <f t="shared" ref="CA232" si="2753">LEFT($B231, SEARCH("%",$B231,1)-1)/100</f>
        <v>7.3749999999999996E-2</v>
      </c>
      <c r="CB232" s="573">
        <f t="shared" ref="CB232" si="2754">LEFT($B231, SEARCH("%",$B231,1)-1)/100</f>
        <v>7.3749999999999996E-2</v>
      </c>
      <c r="CC232" s="573"/>
      <c r="CD232" s="573">
        <f t="shared" ref="CD232" si="2755">LEFT($B231, SEARCH("%",$B231,1)-1)/100</f>
        <v>7.3749999999999996E-2</v>
      </c>
      <c r="CE232" s="573">
        <f t="shared" ref="CE232" si="2756">LEFT($B231, SEARCH("%",$B231,1)-1)/100</f>
        <v>7.3749999999999996E-2</v>
      </c>
      <c r="CF232" s="573">
        <f t="shared" ref="CF232" si="2757">LEFT($B231, SEARCH("%",$B231,1)-1)/100</f>
        <v>7.3749999999999996E-2</v>
      </c>
      <c r="CG232" s="573">
        <f t="shared" ref="CG232" si="2758">LEFT($B231, SEARCH("%",$B231,1)-1)/100</f>
        <v>7.3749999999999996E-2</v>
      </c>
      <c r="CH232" s="573">
        <f t="shared" ref="CH232" si="2759">LEFT($B231, SEARCH("%",$B231,1)-1)/100</f>
        <v>7.3749999999999996E-2</v>
      </c>
      <c r="CI232" s="573"/>
      <c r="CJ232" s="573">
        <f t="shared" ref="CJ232" si="2760">LEFT($B231, SEARCH("%",$B231,1)-1)/100</f>
        <v>7.3749999999999996E-2</v>
      </c>
      <c r="CK232" s="573">
        <f t="shared" ref="CK232" si="2761">LEFT($B231, SEARCH("%",$B231,1)-1)/100</f>
        <v>7.3749999999999996E-2</v>
      </c>
      <c r="CL232" s="573">
        <f t="shared" ref="CL232" si="2762">LEFT($B231, SEARCH("%",$B231,1)-1)/100</f>
        <v>7.3749999999999996E-2</v>
      </c>
      <c r="CM232" s="573">
        <f t="shared" ref="CM232" si="2763">LEFT($B231, SEARCH("%",$B231,1)-1)/100</f>
        <v>7.3749999999999996E-2</v>
      </c>
      <c r="CN232" s="573">
        <f t="shared" ref="CN232" si="2764">LEFT($B231, SEARCH("%",$B231,1)-1)/100</f>
        <v>7.3749999999999996E-2</v>
      </c>
      <c r="CO232" s="573"/>
      <c r="CP232" s="573"/>
    </row>
    <row r="233" spans="2:94" ht="12.95" hidden="1" customHeight="1" outlineLevel="1" x14ac:dyDescent="0.25">
      <c r="B233" s="2" t="s">
        <v>592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/>
      <c r="AH233" s="6">
        <v>0</v>
      </c>
      <c r="AI233" s="6">
        <v>0</v>
      </c>
      <c r="AJ233" s="6">
        <v>0</v>
      </c>
      <c r="AK233" s="6">
        <v>0</v>
      </c>
      <c r="AL233" s="6">
        <v>0</v>
      </c>
      <c r="AM233" s="6"/>
      <c r="AN233" s="6">
        <v>0</v>
      </c>
      <c r="AO233" s="243">
        <v>0</v>
      </c>
      <c r="AP233" s="6">
        <v>0</v>
      </c>
      <c r="AQ233" s="243">
        <v>0</v>
      </c>
      <c r="AR233" s="243">
        <v>0</v>
      </c>
      <c r="AS233" s="6"/>
      <c r="AT233" s="6">
        <v>0</v>
      </c>
      <c r="AU233" s="243">
        <v>0</v>
      </c>
      <c r="AV233" s="243">
        <v>0</v>
      </c>
      <c r="AW233" s="164">
        <v>0</v>
      </c>
      <c r="AX233" s="6">
        <v>0</v>
      </c>
      <c r="AY233" s="6"/>
      <c r="AZ233" s="6">
        <v>0</v>
      </c>
      <c r="BA233" s="6">
        <v>0</v>
      </c>
      <c r="BB233" s="6">
        <v>0</v>
      </c>
      <c r="BC233" s="6">
        <v>0</v>
      </c>
      <c r="BD233" s="6">
        <v>0</v>
      </c>
      <c r="BE233" s="6"/>
      <c r="BF233" s="6">
        <v>0</v>
      </c>
      <c r="BG233" s="6">
        <v>0</v>
      </c>
      <c r="BH233" s="6">
        <v>0</v>
      </c>
      <c r="BI233" s="6">
        <v>0</v>
      </c>
      <c r="BJ233" s="6">
        <v>0</v>
      </c>
      <c r="BK233" s="6"/>
      <c r="BL233" s="6">
        <v>0</v>
      </c>
      <c r="BM233" s="6">
        <v>0</v>
      </c>
      <c r="BN233" s="6">
        <v>0</v>
      </c>
      <c r="BO233" s="6">
        <v>0</v>
      </c>
      <c r="BP233" s="6">
        <v>0</v>
      </c>
      <c r="BQ233" s="6"/>
      <c r="BR233" s="6">
        <v>0</v>
      </c>
      <c r="BS233" s="6">
        <v>0</v>
      </c>
      <c r="BT233" s="6">
        <v>0</v>
      </c>
      <c r="BU233" s="6">
        <v>0</v>
      </c>
      <c r="BV233" s="6">
        <v>0</v>
      </c>
      <c r="BW233" s="6"/>
      <c r="BX233" s="6">
        <v>0</v>
      </c>
      <c r="BY233" s="6">
        <v>0</v>
      </c>
      <c r="BZ233" s="6">
        <v>0</v>
      </c>
      <c r="CA233" s="6">
        <v>0</v>
      </c>
      <c r="CB233" s="6">
        <v>0</v>
      </c>
      <c r="CC233" s="6"/>
      <c r="CD233" s="6">
        <v>0</v>
      </c>
      <c r="CE233" s="6">
        <v>0</v>
      </c>
      <c r="CF233" s="6">
        <v>0</v>
      </c>
      <c r="CG233" s="6">
        <v>0</v>
      </c>
      <c r="CH233" s="6">
        <v>0</v>
      </c>
      <c r="CI233" s="6"/>
      <c r="CJ233" s="6">
        <v>0</v>
      </c>
      <c r="CK233" s="6">
        <v>0</v>
      </c>
      <c r="CL233" s="6">
        <v>0</v>
      </c>
      <c r="CM233" s="6">
        <v>0</v>
      </c>
      <c r="CN233" s="6">
        <v>0</v>
      </c>
    </row>
    <row r="234" spans="2:94" ht="12.95" hidden="1" customHeight="1" outlineLevel="1" x14ac:dyDescent="0.25">
      <c r="B234" s="2" t="s">
        <v>40</v>
      </c>
      <c r="D234" s="573">
        <f>LEFT($B233, SEARCH("%",$B233,1)-1)/100</f>
        <v>4.0000000000000001E-3</v>
      </c>
      <c r="E234" s="573">
        <f t="shared" ref="E234" si="2765">LEFT($B233, SEARCH("%",$B233,1)-1)/100</f>
        <v>4.0000000000000001E-3</v>
      </c>
      <c r="F234" s="573">
        <f t="shared" ref="F234" si="2766">LEFT($B233, SEARCH("%",$B233,1)-1)/100</f>
        <v>4.0000000000000001E-3</v>
      </c>
      <c r="G234" s="573">
        <f t="shared" ref="G234" si="2767">LEFT($B233, SEARCH("%",$B233,1)-1)/100</f>
        <v>4.0000000000000001E-3</v>
      </c>
      <c r="H234" s="573">
        <f t="shared" ref="H234" si="2768">LEFT($B233, SEARCH("%",$B233,1)-1)/100</f>
        <v>4.0000000000000001E-3</v>
      </c>
      <c r="I234" s="573"/>
      <c r="J234" s="573">
        <f t="shared" ref="J234" si="2769">LEFT($B233, SEARCH("%",$B233,1)-1)/100</f>
        <v>4.0000000000000001E-3</v>
      </c>
      <c r="K234" s="573">
        <f t="shared" ref="K234" si="2770">LEFT($B233, SEARCH("%",$B233,1)-1)/100</f>
        <v>4.0000000000000001E-3</v>
      </c>
      <c r="L234" s="573">
        <f t="shared" ref="L234" si="2771">LEFT($B233, SEARCH("%",$B233,1)-1)/100</f>
        <v>4.0000000000000001E-3</v>
      </c>
      <c r="M234" s="573">
        <f t="shared" ref="M234" si="2772">LEFT($B233, SEARCH("%",$B233,1)-1)/100</f>
        <v>4.0000000000000001E-3</v>
      </c>
      <c r="N234" s="573">
        <f t="shared" ref="N234" si="2773">LEFT($B233, SEARCH("%",$B233,1)-1)/100</f>
        <v>4.0000000000000001E-3</v>
      </c>
      <c r="O234" s="573"/>
      <c r="P234" s="573">
        <f t="shared" ref="P234" si="2774">LEFT($B233, SEARCH("%",$B233,1)-1)/100</f>
        <v>4.0000000000000001E-3</v>
      </c>
      <c r="Q234" s="573">
        <f t="shared" ref="Q234" si="2775">LEFT($B233, SEARCH("%",$B233,1)-1)/100</f>
        <v>4.0000000000000001E-3</v>
      </c>
      <c r="R234" s="573">
        <f t="shared" ref="R234" si="2776">LEFT($B233, SEARCH("%",$B233,1)-1)/100</f>
        <v>4.0000000000000001E-3</v>
      </c>
      <c r="S234" s="573">
        <f t="shared" ref="S234" si="2777">LEFT($B233, SEARCH("%",$B233,1)-1)/100</f>
        <v>4.0000000000000001E-3</v>
      </c>
      <c r="T234" s="573">
        <f t="shared" ref="T234" si="2778">LEFT($B233, SEARCH("%",$B233,1)-1)/100</f>
        <v>4.0000000000000001E-3</v>
      </c>
      <c r="U234" s="573"/>
      <c r="V234" s="573">
        <f t="shared" ref="V234" si="2779">LEFT($B233, SEARCH("%",$B233,1)-1)/100</f>
        <v>4.0000000000000001E-3</v>
      </c>
      <c r="W234" s="573">
        <f t="shared" ref="W234" si="2780">LEFT($B233, SEARCH("%",$B233,1)-1)/100</f>
        <v>4.0000000000000001E-3</v>
      </c>
      <c r="X234" s="573">
        <f t="shared" ref="X234" si="2781">LEFT($B233, SEARCH("%",$B233,1)-1)/100</f>
        <v>4.0000000000000001E-3</v>
      </c>
      <c r="Y234" s="573">
        <f t="shared" ref="Y234" si="2782">LEFT($B233, SEARCH("%",$B233,1)-1)/100</f>
        <v>4.0000000000000001E-3</v>
      </c>
      <c r="Z234" s="573">
        <f t="shared" ref="Z234" si="2783">LEFT($B233, SEARCH("%",$B233,1)-1)/100</f>
        <v>4.0000000000000001E-3</v>
      </c>
      <c r="AA234" s="573"/>
      <c r="AB234" s="573">
        <f t="shared" ref="AB234" si="2784">LEFT($B233, SEARCH("%",$B233,1)-1)/100</f>
        <v>4.0000000000000001E-3</v>
      </c>
      <c r="AC234" s="573">
        <f t="shared" ref="AC234" si="2785">LEFT($B233, SEARCH("%",$B233,1)-1)/100</f>
        <v>4.0000000000000001E-3</v>
      </c>
      <c r="AD234" s="573">
        <f t="shared" ref="AD234" si="2786">LEFT($B233, SEARCH("%",$B233,1)-1)/100</f>
        <v>4.0000000000000001E-3</v>
      </c>
      <c r="AE234" s="573">
        <f t="shared" ref="AE234" si="2787">LEFT($B233, SEARCH("%",$B233,1)-1)/100</f>
        <v>4.0000000000000001E-3</v>
      </c>
      <c r="AF234" s="573">
        <f t="shared" ref="AF234" si="2788">LEFT($B233, SEARCH("%",$B233,1)-1)/100</f>
        <v>4.0000000000000001E-3</v>
      </c>
      <c r="AG234" s="573"/>
      <c r="AH234" s="573">
        <f t="shared" ref="AH234" si="2789">LEFT($B233, SEARCH("%",$B233,1)-1)/100</f>
        <v>4.0000000000000001E-3</v>
      </c>
      <c r="AI234" s="573">
        <f t="shared" ref="AI234" si="2790">LEFT($B233, SEARCH("%",$B233,1)-1)/100</f>
        <v>4.0000000000000001E-3</v>
      </c>
      <c r="AJ234" s="573">
        <f t="shared" ref="AJ234" si="2791">LEFT($B233, SEARCH("%",$B233,1)-1)/100</f>
        <v>4.0000000000000001E-3</v>
      </c>
      <c r="AK234" s="573">
        <f t="shared" ref="AK234" si="2792">LEFT($B233, SEARCH("%",$B233,1)-1)/100</f>
        <v>4.0000000000000001E-3</v>
      </c>
      <c r="AL234" s="573">
        <f t="shared" ref="AL234" si="2793">LEFT($B233, SEARCH("%",$B233,1)-1)/100</f>
        <v>4.0000000000000001E-3</v>
      </c>
      <c r="AM234" s="573"/>
      <c r="AN234" s="573">
        <f t="shared" ref="AN234" si="2794">LEFT($B233, SEARCH("%",$B233,1)-1)/100</f>
        <v>4.0000000000000001E-3</v>
      </c>
      <c r="AO234" s="573">
        <f t="shared" ref="AO234" si="2795">LEFT($B233, SEARCH("%",$B233,1)-1)/100</f>
        <v>4.0000000000000001E-3</v>
      </c>
      <c r="AP234" s="573">
        <f t="shared" ref="AP234" si="2796">LEFT($B233, SEARCH("%",$B233,1)-1)/100</f>
        <v>4.0000000000000001E-3</v>
      </c>
      <c r="AQ234" s="573">
        <f t="shared" ref="AQ234" si="2797">LEFT($B233, SEARCH("%",$B233,1)-1)/100</f>
        <v>4.0000000000000001E-3</v>
      </c>
      <c r="AR234" s="573">
        <f t="shared" ref="AR234" si="2798">LEFT($B233, SEARCH("%",$B233,1)-1)/100</f>
        <v>4.0000000000000001E-3</v>
      </c>
      <c r="AS234" s="573"/>
      <c r="AT234" s="573">
        <f t="shared" ref="AT234" si="2799">LEFT($B233, SEARCH("%",$B233,1)-1)/100</f>
        <v>4.0000000000000001E-3</v>
      </c>
      <c r="AU234" s="573">
        <f t="shared" ref="AU234" si="2800">LEFT($B233, SEARCH("%",$B233,1)-1)/100</f>
        <v>4.0000000000000001E-3</v>
      </c>
      <c r="AV234" s="573">
        <f t="shared" ref="AV234" si="2801">LEFT($B233, SEARCH("%",$B233,1)-1)/100</f>
        <v>4.0000000000000001E-3</v>
      </c>
      <c r="AW234" s="623">
        <f t="shared" ref="AW234" si="2802">LEFT($B233, SEARCH("%",$B233,1)-1)/100</f>
        <v>4.0000000000000001E-3</v>
      </c>
      <c r="AX234" s="573">
        <f t="shared" ref="AX234" si="2803">LEFT($B233, SEARCH("%",$B233,1)-1)/100</f>
        <v>4.0000000000000001E-3</v>
      </c>
      <c r="AY234" s="573"/>
      <c r="AZ234" s="573">
        <f t="shared" ref="AZ234" si="2804">LEFT($B233, SEARCH("%",$B233,1)-1)/100</f>
        <v>4.0000000000000001E-3</v>
      </c>
      <c r="BA234" s="573">
        <f t="shared" ref="BA234" si="2805">LEFT($B233, SEARCH("%",$B233,1)-1)/100</f>
        <v>4.0000000000000001E-3</v>
      </c>
      <c r="BB234" s="573">
        <f t="shared" ref="BB234" si="2806">LEFT($B233, SEARCH("%",$B233,1)-1)/100</f>
        <v>4.0000000000000001E-3</v>
      </c>
      <c r="BC234" s="573">
        <f t="shared" ref="BC234" si="2807">LEFT($B233, SEARCH("%",$B233,1)-1)/100</f>
        <v>4.0000000000000001E-3</v>
      </c>
      <c r="BD234" s="573">
        <f t="shared" ref="BD234" si="2808">LEFT($B233, SEARCH("%",$B233,1)-1)/100</f>
        <v>4.0000000000000001E-3</v>
      </c>
      <c r="BE234" s="573"/>
      <c r="BF234" s="573">
        <f t="shared" ref="BF234" si="2809">LEFT($B233, SEARCH("%",$B233,1)-1)/100</f>
        <v>4.0000000000000001E-3</v>
      </c>
      <c r="BG234" s="573">
        <f t="shared" ref="BG234" si="2810">LEFT($B233, SEARCH("%",$B233,1)-1)/100</f>
        <v>4.0000000000000001E-3</v>
      </c>
      <c r="BH234" s="573">
        <f t="shared" ref="BH234" si="2811">LEFT($B233, SEARCH("%",$B233,1)-1)/100</f>
        <v>4.0000000000000001E-3</v>
      </c>
      <c r="BI234" s="573">
        <f t="shared" ref="BI234" si="2812">LEFT($B233, SEARCH("%",$B233,1)-1)/100</f>
        <v>4.0000000000000001E-3</v>
      </c>
      <c r="BJ234" s="573">
        <f t="shared" ref="BJ234" si="2813">LEFT($B233, SEARCH("%",$B233,1)-1)/100</f>
        <v>4.0000000000000001E-3</v>
      </c>
      <c r="BK234" s="573"/>
      <c r="BL234" s="573">
        <f t="shared" ref="BL234" si="2814">LEFT($B233, SEARCH("%",$B233,1)-1)/100</f>
        <v>4.0000000000000001E-3</v>
      </c>
      <c r="BM234" s="573">
        <f t="shared" ref="BM234" si="2815">LEFT($B233, SEARCH("%",$B233,1)-1)/100</f>
        <v>4.0000000000000001E-3</v>
      </c>
      <c r="BN234" s="573">
        <f t="shared" ref="BN234" si="2816">LEFT($B233, SEARCH("%",$B233,1)-1)/100</f>
        <v>4.0000000000000001E-3</v>
      </c>
      <c r="BO234" s="573">
        <f t="shared" ref="BO234" si="2817">LEFT($B233, SEARCH("%",$B233,1)-1)/100</f>
        <v>4.0000000000000001E-3</v>
      </c>
      <c r="BP234" s="573">
        <f t="shared" ref="BP234" si="2818">LEFT($B233, SEARCH("%",$B233,1)-1)/100</f>
        <v>4.0000000000000001E-3</v>
      </c>
      <c r="BQ234" s="573"/>
      <c r="BR234" s="573">
        <f t="shared" ref="BR234" si="2819">LEFT($B233, SEARCH("%",$B233,1)-1)/100</f>
        <v>4.0000000000000001E-3</v>
      </c>
      <c r="BS234" s="573">
        <f t="shared" ref="BS234" si="2820">LEFT($B233, SEARCH("%",$B233,1)-1)/100</f>
        <v>4.0000000000000001E-3</v>
      </c>
      <c r="BT234" s="573">
        <f t="shared" ref="BT234" si="2821">LEFT($B233, SEARCH("%",$B233,1)-1)/100</f>
        <v>4.0000000000000001E-3</v>
      </c>
      <c r="BU234" s="573">
        <f t="shared" ref="BU234" si="2822">LEFT($B233, SEARCH("%",$B233,1)-1)/100</f>
        <v>4.0000000000000001E-3</v>
      </c>
      <c r="BV234" s="573">
        <f t="shared" ref="BV234" si="2823">LEFT($B233, SEARCH("%",$B233,1)-1)/100</f>
        <v>4.0000000000000001E-3</v>
      </c>
      <c r="BW234" s="573"/>
      <c r="BX234" s="573">
        <f t="shared" ref="BX234" si="2824">LEFT($B233, SEARCH("%",$B233,1)-1)/100</f>
        <v>4.0000000000000001E-3</v>
      </c>
      <c r="BY234" s="573">
        <f t="shared" ref="BY234" si="2825">LEFT($B233, SEARCH("%",$B233,1)-1)/100</f>
        <v>4.0000000000000001E-3</v>
      </c>
      <c r="BZ234" s="573">
        <f t="shared" ref="BZ234" si="2826">LEFT($B233, SEARCH("%",$B233,1)-1)/100</f>
        <v>4.0000000000000001E-3</v>
      </c>
      <c r="CA234" s="573">
        <f t="shared" ref="CA234" si="2827">LEFT($B233, SEARCH("%",$B233,1)-1)/100</f>
        <v>4.0000000000000001E-3</v>
      </c>
      <c r="CB234" s="573">
        <f t="shared" ref="CB234" si="2828">LEFT($B233, SEARCH("%",$B233,1)-1)/100</f>
        <v>4.0000000000000001E-3</v>
      </c>
      <c r="CC234" s="573"/>
      <c r="CD234" s="573">
        <f t="shared" ref="CD234" si="2829">LEFT($B233, SEARCH("%",$B233,1)-1)/100</f>
        <v>4.0000000000000001E-3</v>
      </c>
      <c r="CE234" s="573">
        <f t="shared" ref="CE234" si="2830">LEFT($B233, SEARCH("%",$B233,1)-1)/100</f>
        <v>4.0000000000000001E-3</v>
      </c>
      <c r="CF234" s="573">
        <f t="shared" ref="CF234" si="2831">LEFT($B233, SEARCH("%",$B233,1)-1)/100</f>
        <v>4.0000000000000001E-3</v>
      </c>
      <c r="CG234" s="573">
        <f t="shared" ref="CG234" si="2832">LEFT($B233, SEARCH("%",$B233,1)-1)/100</f>
        <v>4.0000000000000001E-3</v>
      </c>
      <c r="CH234" s="573">
        <f t="shared" ref="CH234" si="2833">LEFT($B233, SEARCH("%",$B233,1)-1)/100</f>
        <v>4.0000000000000001E-3</v>
      </c>
      <c r="CI234" s="573"/>
      <c r="CJ234" s="573">
        <f t="shared" ref="CJ234" si="2834">LEFT($B233, SEARCH("%",$B233,1)-1)/100</f>
        <v>4.0000000000000001E-3</v>
      </c>
      <c r="CK234" s="573">
        <f t="shared" ref="CK234" si="2835">LEFT($B233, SEARCH("%",$B233,1)-1)/100</f>
        <v>4.0000000000000001E-3</v>
      </c>
      <c r="CL234" s="573">
        <f t="shared" ref="CL234" si="2836">LEFT($B233, SEARCH("%",$B233,1)-1)/100</f>
        <v>4.0000000000000001E-3</v>
      </c>
      <c r="CM234" s="573">
        <f t="shared" ref="CM234" si="2837">LEFT($B233, SEARCH("%",$B233,1)-1)/100</f>
        <v>4.0000000000000001E-3</v>
      </c>
      <c r="CN234" s="573">
        <f t="shared" ref="CN234" si="2838">LEFT($B233, SEARCH("%",$B233,1)-1)/100</f>
        <v>4.0000000000000001E-3</v>
      </c>
      <c r="CO234" s="573"/>
      <c r="CP234" s="573"/>
    </row>
    <row r="235" spans="2:94" ht="12.95" hidden="1" customHeight="1" outlineLevel="1" x14ac:dyDescent="0.25">
      <c r="B235" s="2" t="s">
        <v>593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/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/>
      <c r="AN235" s="6">
        <v>0</v>
      </c>
      <c r="AO235" s="243">
        <v>0</v>
      </c>
      <c r="AP235" s="6">
        <v>0</v>
      </c>
      <c r="AQ235" s="243">
        <v>0</v>
      </c>
      <c r="AR235" s="243">
        <v>0</v>
      </c>
      <c r="AS235" s="6"/>
      <c r="AT235" s="6">
        <v>0</v>
      </c>
      <c r="AU235" s="243">
        <v>0</v>
      </c>
      <c r="AV235" s="243">
        <v>0</v>
      </c>
      <c r="AW235" s="164">
        <v>0</v>
      </c>
      <c r="AX235" s="6">
        <v>0</v>
      </c>
      <c r="AY235" s="6"/>
      <c r="AZ235" s="6">
        <v>0</v>
      </c>
      <c r="BA235" s="6">
        <v>0</v>
      </c>
      <c r="BB235" s="6">
        <v>0</v>
      </c>
      <c r="BC235" s="6">
        <v>0</v>
      </c>
      <c r="BD235" s="6">
        <v>0</v>
      </c>
      <c r="BE235" s="6"/>
      <c r="BF235" s="6">
        <v>0</v>
      </c>
      <c r="BG235" s="6">
        <v>0</v>
      </c>
      <c r="BH235" s="6">
        <v>0</v>
      </c>
      <c r="BI235" s="6">
        <v>0</v>
      </c>
      <c r="BJ235" s="6">
        <v>0</v>
      </c>
      <c r="BK235" s="6"/>
      <c r="BL235" s="6">
        <v>0</v>
      </c>
      <c r="BM235" s="6">
        <v>0</v>
      </c>
      <c r="BN235" s="6">
        <v>0</v>
      </c>
      <c r="BO235" s="6">
        <v>0</v>
      </c>
      <c r="BP235" s="6">
        <v>0</v>
      </c>
      <c r="BQ235" s="6"/>
      <c r="BR235" s="6">
        <v>0</v>
      </c>
      <c r="BS235" s="6">
        <v>0</v>
      </c>
      <c r="BT235" s="6">
        <v>0</v>
      </c>
      <c r="BU235" s="6">
        <v>0</v>
      </c>
      <c r="BV235" s="6">
        <v>0</v>
      </c>
      <c r="BW235" s="6"/>
      <c r="BX235" s="6">
        <v>0</v>
      </c>
      <c r="BY235" s="6">
        <v>0</v>
      </c>
      <c r="BZ235" s="6">
        <v>0</v>
      </c>
      <c r="CA235" s="6">
        <v>0</v>
      </c>
      <c r="CB235" s="6">
        <v>0</v>
      </c>
      <c r="CC235" s="6"/>
      <c r="CD235" s="6">
        <v>0</v>
      </c>
      <c r="CE235" s="6">
        <v>0</v>
      </c>
      <c r="CF235" s="6">
        <v>0</v>
      </c>
      <c r="CG235" s="6">
        <v>0</v>
      </c>
      <c r="CH235" s="6">
        <v>0</v>
      </c>
      <c r="CI235" s="6"/>
      <c r="CJ235" s="6">
        <v>0</v>
      </c>
      <c r="CK235" s="6">
        <v>0</v>
      </c>
      <c r="CL235" s="6">
        <v>0</v>
      </c>
      <c r="CM235" s="6">
        <v>0</v>
      </c>
      <c r="CN235" s="6">
        <v>0</v>
      </c>
    </row>
    <row r="236" spans="2:94" ht="12.95" hidden="1" customHeight="1" outlineLevel="1" x14ac:dyDescent="0.25">
      <c r="B236" s="2" t="s">
        <v>40</v>
      </c>
      <c r="D236" s="573">
        <f>LEFT($B235, SEARCH("%",$B235,1)-1)/100</f>
        <v>3.7000000000000002E-3</v>
      </c>
      <c r="E236" s="573">
        <f t="shared" ref="E236" si="2839">LEFT($B235, SEARCH("%",$B235,1)-1)/100</f>
        <v>3.7000000000000002E-3</v>
      </c>
      <c r="F236" s="573">
        <f t="shared" ref="F236" si="2840">LEFT($B235, SEARCH("%",$B235,1)-1)/100</f>
        <v>3.7000000000000002E-3</v>
      </c>
      <c r="G236" s="573">
        <f t="shared" ref="G236" si="2841">LEFT($B235, SEARCH("%",$B235,1)-1)/100</f>
        <v>3.7000000000000002E-3</v>
      </c>
      <c r="H236" s="573">
        <f t="shared" ref="H236" si="2842">LEFT($B235, SEARCH("%",$B235,1)-1)/100</f>
        <v>3.7000000000000002E-3</v>
      </c>
      <c r="I236" s="573"/>
      <c r="J236" s="573">
        <f t="shared" ref="J236" si="2843">LEFT($B235, SEARCH("%",$B235,1)-1)/100</f>
        <v>3.7000000000000002E-3</v>
      </c>
      <c r="K236" s="573">
        <f t="shared" ref="K236" si="2844">LEFT($B235, SEARCH("%",$B235,1)-1)/100</f>
        <v>3.7000000000000002E-3</v>
      </c>
      <c r="L236" s="573">
        <f t="shared" ref="L236" si="2845">LEFT($B235, SEARCH("%",$B235,1)-1)/100</f>
        <v>3.7000000000000002E-3</v>
      </c>
      <c r="M236" s="573">
        <f t="shared" ref="M236" si="2846">LEFT($B235, SEARCH("%",$B235,1)-1)/100</f>
        <v>3.7000000000000002E-3</v>
      </c>
      <c r="N236" s="573">
        <f t="shared" ref="N236" si="2847">LEFT($B235, SEARCH("%",$B235,1)-1)/100</f>
        <v>3.7000000000000002E-3</v>
      </c>
      <c r="O236" s="573"/>
      <c r="P236" s="573">
        <f t="shared" ref="P236" si="2848">LEFT($B235, SEARCH("%",$B235,1)-1)/100</f>
        <v>3.7000000000000002E-3</v>
      </c>
      <c r="Q236" s="573">
        <f t="shared" ref="Q236" si="2849">LEFT($B235, SEARCH("%",$B235,1)-1)/100</f>
        <v>3.7000000000000002E-3</v>
      </c>
      <c r="R236" s="573">
        <f t="shared" ref="R236" si="2850">LEFT($B235, SEARCH("%",$B235,1)-1)/100</f>
        <v>3.7000000000000002E-3</v>
      </c>
      <c r="S236" s="573">
        <f t="shared" ref="S236" si="2851">LEFT($B235, SEARCH("%",$B235,1)-1)/100</f>
        <v>3.7000000000000002E-3</v>
      </c>
      <c r="T236" s="573">
        <f t="shared" ref="T236" si="2852">LEFT($B235, SEARCH("%",$B235,1)-1)/100</f>
        <v>3.7000000000000002E-3</v>
      </c>
      <c r="U236" s="573"/>
      <c r="V236" s="573">
        <f t="shared" ref="V236" si="2853">LEFT($B235, SEARCH("%",$B235,1)-1)/100</f>
        <v>3.7000000000000002E-3</v>
      </c>
      <c r="W236" s="573">
        <f t="shared" ref="W236" si="2854">LEFT($B235, SEARCH("%",$B235,1)-1)/100</f>
        <v>3.7000000000000002E-3</v>
      </c>
      <c r="X236" s="573">
        <f t="shared" ref="X236" si="2855">LEFT($B235, SEARCH("%",$B235,1)-1)/100</f>
        <v>3.7000000000000002E-3</v>
      </c>
      <c r="Y236" s="573">
        <f t="shared" ref="Y236" si="2856">LEFT($B235, SEARCH("%",$B235,1)-1)/100</f>
        <v>3.7000000000000002E-3</v>
      </c>
      <c r="Z236" s="573">
        <f t="shared" ref="Z236" si="2857">LEFT($B235, SEARCH("%",$B235,1)-1)/100</f>
        <v>3.7000000000000002E-3</v>
      </c>
      <c r="AA236" s="573"/>
      <c r="AB236" s="573">
        <f t="shared" ref="AB236" si="2858">LEFT($B235, SEARCH("%",$B235,1)-1)/100</f>
        <v>3.7000000000000002E-3</v>
      </c>
      <c r="AC236" s="573">
        <f t="shared" ref="AC236" si="2859">LEFT($B235, SEARCH("%",$B235,1)-1)/100</f>
        <v>3.7000000000000002E-3</v>
      </c>
      <c r="AD236" s="573">
        <f t="shared" ref="AD236" si="2860">LEFT($B235, SEARCH("%",$B235,1)-1)/100</f>
        <v>3.7000000000000002E-3</v>
      </c>
      <c r="AE236" s="573">
        <f t="shared" ref="AE236" si="2861">LEFT($B235, SEARCH("%",$B235,1)-1)/100</f>
        <v>3.7000000000000002E-3</v>
      </c>
      <c r="AF236" s="573">
        <f t="shared" ref="AF236" si="2862">LEFT($B235, SEARCH("%",$B235,1)-1)/100</f>
        <v>3.7000000000000002E-3</v>
      </c>
      <c r="AG236" s="573"/>
      <c r="AH236" s="573">
        <f t="shared" ref="AH236" si="2863">LEFT($B235, SEARCH("%",$B235,1)-1)/100</f>
        <v>3.7000000000000002E-3</v>
      </c>
      <c r="AI236" s="573">
        <f t="shared" ref="AI236" si="2864">LEFT($B235, SEARCH("%",$B235,1)-1)/100</f>
        <v>3.7000000000000002E-3</v>
      </c>
      <c r="AJ236" s="573">
        <f t="shared" ref="AJ236" si="2865">LEFT($B235, SEARCH("%",$B235,1)-1)/100</f>
        <v>3.7000000000000002E-3</v>
      </c>
      <c r="AK236" s="573">
        <f t="shared" ref="AK236" si="2866">LEFT($B235, SEARCH("%",$B235,1)-1)/100</f>
        <v>3.7000000000000002E-3</v>
      </c>
      <c r="AL236" s="573">
        <f t="shared" ref="AL236" si="2867">LEFT($B235, SEARCH("%",$B235,1)-1)/100</f>
        <v>3.7000000000000002E-3</v>
      </c>
      <c r="AM236" s="573"/>
      <c r="AN236" s="573">
        <f t="shared" ref="AN236" si="2868">LEFT($B235, SEARCH("%",$B235,1)-1)/100</f>
        <v>3.7000000000000002E-3</v>
      </c>
      <c r="AO236" s="573">
        <f t="shared" ref="AO236" si="2869">LEFT($B235, SEARCH("%",$B235,1)-1)/100</f>
        <v>3.7000000000000002E-3</v>
      </c>
      <c r="AP236" s="573">
        <f t="shared" ref="AP236" si="2870">LEFT($B235, SEARCH("%",$B235,1)-1)/100</f>
        <v>3.7000000000000002E-3</v>
      </c>
      <c r="AQ236" s="573">
        <f t="shared" ref="AQ236" si="2871">LEFT($B235, SEARCH("%",$B235,1)-1)/100</f>
        <v>3.7000000000000002E-3</v>
      </c>
      <c r="AR236" s="573">
        <f t="shared" ref="AR236" si="2872">LEFT($B235, SEARCH("%",$B235,1)-1)/100</f>
        <v>3.7000000000000002E-3</v>
      </c>
      <c r="AS236" s="573"/>
      <c r="AT236" s="573">
        <f t="shared" ref="AT236" si="2873">LEFT($B235, SEARCH("%",$B235,1)-1)/100</f>
        <v>3.7000000000000002E-3</v>
      </c>
      <c r="AU236" s="573">
        <f t="shared" ref="AU236" si="2874">LEFT($B235, SEARCH("%",$B235,1)-1)/100</f>
        <v>3.7000000000000002E-3</v>
      </c>
      <c r="AV236" s="573">
        <f t="shared" ref="AV236" si="2875">LEFT($B235, SEARCH("%",$B235,1)-1)/100</f>
        <v>3.7000000000000002E-3</v>
      </c>
      <c r="AW236" s="623">
        <f t="shared" ref="AW236" si="2876">LEFT($B235, SEARCH("%",$B235,1)-1)/100</f>
        <v>3.7000000000000002E-3</v>
      </c>
      <c r="AX236" s="573">
        <f t="shared" ref="AX236" si="2877">LEFT($B235, SEARCH("%",$B235,1)-1)/100</f>
        <v>3.7000000000000002E-3</v>
      </c>
      <c r="AY236" s="573"/>
      <c r="AZ236" s="573">
        <f t="shared" ref="AZ236" si="2878">LEFT($B235, SEARCH("%",$B235,1)-1)/100</f>
        <v>3.7000000000000002E-3</v>
      </c>
      <c r="BA236" s="573">
        <f t="shared" ref="BA236" si="2879">LEFT($B235, SEARCH("%",$B235,1)-1)/100</f>
        <v>3.7000000000000002E-3</v>
      </c>
      <c r="BB236" s="573">
        <f t="shared" ref="BB236" si="2880">LEFT($B235, SEARCH("%",$B235,1)-1)/100</f>
        <v>3.7000000000000002E-3</v>
      </c>
      <c r="BC236" s="573">
        <f t="shared" ref="BC236" si="2881">LEFT($B235, SEARCH("%",$B235,1)-1)/100</f>
        <v>3.7000000000000002E-3</v>
      </c>
      <c r="BD236" s="573">
        <f t="shared" ref="BD236" si="2882">LEFT($B235, SEARCH("%",$B235,1)-1)/100</f>
        <v>3.7000000000000002E-3</v>
      </c>
      <c r="BE236" s="573"/>
      <c r="BF236" s="573">
        <f t="shared" ref="BF236" si="2883">LEFT($B235, SEARCH("%",$B235,1)-1)/100</f>
        <v>3.7000000000000002E-3</v>
      </c>
      <c r="BG236" s="573">
        <f t="shared" ref="BG236" si="2884">LEFT($B235, SEARCH("%",$B235,1)-1)/100</f>
        <v>3.7000000000000002E-3</v>
      </c>
      <c r="BH236" s="573">
        <f t="shared" ref="BH236" si="2885">LEFT($B235, SEARCH("%",$B235,1)-1)/100</f>
        <v>3.7000000000000002E-3</v>
      </c>
      <c r="BI236" s="573">
        <f t="shared" ref="BI236" si="2886">LEFT($B235, SEARCH("%",$B235,1)-1)/100</f>
        <v>3.7000000000000002E-3</v>
      </c>
      <c r="BJ236" s="573">
        <f t="shared" ref="BJ236" si="2887">LEFT($B235, SEARCH("%",$B235,1)-1)/100</f>
        <v>3.7000000000000002E-3</v>
      </c>
      <c r="BK236" s="573"/>
      <c r="BL236" s="573">
        <f t="shared" ref="BL236" si="2888">LEFT($B235, SEARCH("%",$B235,1)-1)/100</f>
        <v>3.7000000000000002E-3</v>
      </c>
      <c r="BM236" s="573">
        <f t="shared" ref="BM236" si="2889">LEFT($B235, SEARCH("%",$B235,1)-1)/100</f>
        <v>3.7000000000000002E-3</v>
      </c>
      <c r="BN236" s="573">
        <f t="shared" ref="BN236" si="2890">LEFT($B235, SEARCH("%",$B235,1)-1)/100</f>
        <v>3.7000000000000002E-3</v>
      </c>
      <c r="BO236" s="573">
        <f t="shared" ref="BO236" si="2891">LEFT($B235, SEARCH("%",$B235,1)-1)/100</f>
        <v>3.7000000000000002E-3</v>
      </c>
      <c r="BP236" s="573">
        <f t="shared" ref="BP236" si="2892">LEFT($B235, SEARCH("%",$B235,1)-1)/100</f>
        <v>3.7000000000000002E-3</v>
      </c>
      <c r="BQ236" s="573"/>
      <c r="BR236" s="573">
        <f t="shared" ref="BR236" si="2893">LEFT($B235, SEARCH("%",$B235,1)-1)/100</f>
        <v>3.7000000000000002E-3</v>
      </c>
      <c r="BS236" s="573">
        <f t="shared" ref="BS236" si="2894">LEFT($B235, SEARCH("%",$B235,1)-1)/100</f>
        <v>3.7000000000000002E-3</v>
      </c>
      <c r="BT236" s="573">
        <f t="shared" ref="BT236" si="2895">LEFT($B235, SEARCH("%",$B235,1)-1)/100</f>
        <v>3.7000000000000002E-3</v>
      </c>
      <c r="BU236" s="573">
        <f t="shared" ref="BU236" si="2896">LEFT($B235, SEARCH("%",$B235,1)-1)/100</f>
        <v>3.7000000000000002E-3</v>
      </c>
      <c r="BV236" s="573">
        <f t="shared" ref="BV236" si="2897">LEFT($B235, SEARCH("%",$B235,1)-1)/100</f>
        <v>3.7000000000000002E-3</v>
      </c>
      <c r="BW236" s="573"/>
      <c r="BX236" s="573">
        <f t="shared" ref="BX236" si="2898">LEFT($B235, SEARCH("%",$B235,1)-1)/100</f>
        <v>3.7000000000000002E-3</v>
      </c>
      <c r="BY236" s="573">
        <f t="shared" ref="BY236" si="2899">LEFT($B235, SEARCH("%",$B235,1)-1)/100</f>
        <v>3.7000000000000002E-3</v>
      </c>
      <c r="BZ236" s="573">
        <f t="shared" ref="BZ236" si="2900">LEFT($B235, SEARCH("%",$B235,1)-1)/100</f>
        <v>3.7000000000000002E-3</v>
      </c>
      <c r="CA236" s="573">
        <f t="shared" ref="CA236" si="2901">LEFT($B235, SEARCH("%",$B235,1)-1)/100</f>
        <v>3.7000000000000002E-3</v>
      </c>
      <c r="CB236" s="573">
        <f t="shared" ref="CB236" si="2902">LEFT($B235, SEARCH("%",$B235,1)-1)/100</f>
        <v>3.7000000000000002E-3</v>
      </c>
      <c r="CC236" s="573"/>
      <c r="CD236" s="573">
        <f t="shared" ref="CD236" si="2903">LEFT($B235, SEARCH("%",$B235,1)-1)/100</f>
        <v>3.7000000000000002E-3</v>
      </c>
      <c r="CE236" s="573">
        <f t="shared" ref="CE236" si="2904">LEFT($B235, SEARCH("%",$B235,1)-1)/100</f>
        <v>3.7000000000000002E-3</v>
      </c>
      <c r="CF236" s="573">
        <f t="shared" ref="CF236" si="2905">LEFT($B235, SEARCH("%",$B235,1)-1)/100</f>
        <v>3.7000000000000002E-3</v>
      </c>
      <c r="CG236" s="573">
        <f t="shared" ref="CG236" si="2906">LEFT($B235, SEARCH("%",$B235,1)-1)/100</f>
        <v>3.7000000000000002E-3</v>
      </c>
      <c r="CH236" s="573">
        <f t="shared" ref="CH236" si="2907">LEFT($B235, SEARCH("%",$B235,1)-1)/100</f>
        <v>3.7000000000000002E-3</v>
      </c>
      <c r="CI236" s="573"/>
      <c r="CJ236" s="573">
        <f t="shared" ref="CJ236" si="2908">LEFT($B235, SEARCH("%",$B235,1)-1)/100</f>
        <v>3.7000000000000002E-3</v>
      </c>
      <c r="CK236" s="573">
        <f t="shared" ref="CK236" si="2909">LEFT($B235, SEARCH("%",$B235,1)-1)/100</f>
        <v>3.7000000000000002E-3</v>
      </c>
      <c r="CL236" s="573">
        <f t="shared" ref="CL236" si="2910">LEFT($B235, SEARCH("%",$B235,1)-1)/100</f>
        <v>3.7000000000000002E-3</v>
      </c>
      <c r="CM236" s="573">
        <f t="shared" ref="CM236" si="2911">LEFT($B235, SEARCH("%",$B235,1)-1)/100</f>
        <v>3.7000000000000002E-3</v>
      </c>
      <c r="CN236" s="573">
        <f t="shared" ref="CN236" si="2912">LEFT($B235, SEARCH("%",$B235,1)-1)/100</f>
        <v>3.7000000000000002E-3</v>
      </c>
      <c r="CO236" s="573"/>
      <c r="CP236" s="573"/>
    </row>
    <row r="237" spans="2:94" ht="12.95" hidden="1" customHeight="1" outlineLevel="1" x14ac:dyDescent="0.25">
      <c r="B237" s="2" t="s">
        <v>594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/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/>
      <c r="AN237" s="6">
        <v>0</v>
      </c>
      <c r="AO237" s="243">
        <v>0</v>
      </c>
      <c r="AP237" s="6">
        <v>0</v>
      </c>
      <c r="AQ237" s="243">
        <v>0</v>
      </c>
      <c r="AR237" s="243">
        <v>0</v>
      </c>
      <c r="AS237" s="6"/>
      <c r="AT237" s="6">
        <v>0</v>
      </c>
      <c r="AU237" s="243">
        <v>0</v>
      </c>
      <c r="AV237" s="243">
        <v>0</v>
      </c>
      <c r="AW237" s="164">
        <v>0</v>
      </c>
      <c r="AX237" s="6">
        <v>0</v>
      </c>
      <c r="AY237" s="6"/>
      <c r="AZ237" s="6">
        <v>0</v>
      </c>
      <c r="BA237" s="6">
        <v>0</v>
      </c>
      <c r="BB237" s="6">
        <v>0</v>
      </c>
      <c r="BC237" s="6">
        <v>0</v>
      </c>
      <c r="BD237" s="6">
        <v>0</v>
      </c>
      <c r="BE237" s="6"/>
      <c r="BF237" s="6">
        <v>0</v>
      </c>
      <c r="BG237" s="6">
        <v>0</v>
      </c>
      <c r="BH237" s="6">
        <v>0</v>
      </c>
      <c r="BI237" s="6">
        <v>0</v>
      </c>
      <c r="BJ237" s="6">
        <v>0</v>
      </c>
      <c r="BK237" s="6"/>
      <c r="BL237" s="6">
        <v>0</v>
      </c>
      <c r="BM237" s="6">
        <v>0</v>
      </c>
      <c r="BN237" s="6">
        <v>0</v>
      </c>
      <c r="BO237" s="6">
        <v>0</v>
      </c>
      <c r="BP237" s="6">
        <v>0</v>
      </c>
      <c r="BQ237" s="6"/>
      <c r="BR237" s="6">
        <v>0</v>
      </c>
      <c r="BS237" s="6">
        <v>0</v>
      </c>
      <c r="BT237" s="6">
        <v>0</v>
      </c>
      <c r="BU237" s="6">
        <v>0</v>
      </c>
      <c r="BV237" s="6">
        <v>0</v>
      </c>
      <c r="BW237" s="6"/>
      <c r="BX237" s="6">
        <v>0</v>
      </c>
      <c r="BY237" s="6">
        <v>0</v>
      </c>
      <c r="BZ237" s="6">
        <v>0</v>
      </c>
      <c r="CA237" s="6">
        <v>0</v>
      </c>
      <c r="CB237" s="6">
        <v>0</v>
      </c>
      <c r="CC237" s="6"/>
      <c r="CD237" s="6">
        <v>0</v>
      </c>
      <c r="CE237" s="6">
        <v>0</v>
      </c>
      <c r="CF237" s="6">
        <v>0</v>
      </c>
      <c r="CG237" s="6">
        <v>0</v>
      </c>
      <c r="CH237" s="6">
        <v>0</v>
      </c>
      <c r="CI237" s="6"/>
      <c r="CJ237" s="6">
        <v>0</v>
      </c>
      <c r="CK237" s="6">
        <v>0</v>
      </c>
      <c r="CL237" s="6">
        <v>0</v>
      </c>
      <c r="CM237" s="6">
        <v>0</v>
      </c>
      <c r="CN237" s="6">
        <v>0</v>
      </c>
    </row>
    <row r="238" spans="2:94" ht="12.95" hidden="1" customHeight="1" outlineLevel="1" x14ac:dyDescent="0.25">
      <c r="B238" s="2" t="s">
        <v>40</v>
      </c>
      <c r="D238" s="573">
        <f>LEFT($B237, SEARCH("%",$B237,1)-1)/100</f>
        <v>1.38E-2</v>
      </c>
      <c r="E238" s="573">
        <f t="shared" ref="E238" si="2913">LEFT($B237, SEARCH("%",$B237,1)-1)/100</f>
        <v>1.38E-2</v>
      </c>
      <c r="F238" s="573">
        <f t="shared" ref="F238" si="2914">LEFT($B237, SEARCH("%",$B237,1)-1)/100</f>
        <v>1.38E-2</v>
      </c>
      <c r="G238" s="573">
        <f t="shared" ref="G238" si="2915">LEFT($B237, SEARCH("%",$B237,1)-1)/100</f>
        <v>1.38E-2</v>
      </c>
      <c r="H238" s="573">
        <f t="shared" ref="H238" si="2916">LEFT($B237, SEARCH("%",$B237,1)-1)/100</f>
        <v>1.38E-2</v>
      </c>
      <c r="I238" s="573"/>
      <c r="J238" s="573">
        <f t="shared" ref="J238" si="2917">LEFT($B237, SEARCH("%",$B237,1)-1)/100</f>
        <v>1.38E-2</v>
      </c>
      <c r="K238" s="573">
        <f t="shared" ref="K238" si="2918">LEFT($B237, SEARCH("%",$B237,1)-1)/100</f>
        <v>1.38E-2</v>
      </c>
      <c r="L238" s="573">
        <f t="shared" ref="L238" si="2919">LEFT($B237, SEARCH("%",$B237,1)-1)/100</f>
        <v>1.38E-2</v>
      </c>
      <c r="M238" s="573">
        <f t="shared" ref="M238" si="2920">LEFT($B237, SEARCH("%",$B237,1)-1)/100</f>
        <v>1.38E-2</v>
      </c>
      <c r="N238" s="573">
        <f t="shared" ref="N238" si="2921">LEFT($B237, SEARCH("%",$B237,1)-1)/100</f>
        <v>1.38E-2</v>
      </c>
      <c r="O238" s="573"/>
      <c r="P238" s="573">
        <f t="shared" ref="P238" si="2922">LEFT($B237, SEARCH("%",$B237,1)-1)/100</f>
        <v>1.38E-2</v>
      </c>
      <c r="Q238" s="573">
        <f t="shared" ref="Q238" si="2923">LEFT($B237, SEARCH("%",$B237,1)-1)/100</f>
        <v>1.38E-2</v>
      </c>
      <c r="R238" s="573">
        <f t="shared" ref="R238" si="2924">LEFT($B237, SEARCH("%",$B237,1)-1)/100</f>
        <v>1.38E-2</v>
      </c>
      <c r="S238" s="573">
        <f t="shared" ref="S238" si="2925">LEFT($B237, SEARCH("%",$B237,1)-1)/100</f>
        <v>1.38E-2</v>
      </c>
      <c r="T238" s="573">
        <f t="shared" ref="T238" si="2926">LEFT($B237, SEARCH("%",$B237,1)-1)/100</f>
        <v>1.38E-2</v>
      </c>
      <c r="U238" s="573"/>
      <c r="V238" s="573">
        <f t="shared" ref="V238" si="2927">LEFT($B237, SEARCH("%",$B237,1)-1)/100</f>
        <v>1.38E-2</v>
      </c>
      <c r="W238" s="573">
        <f t="shared" ref="W238" si="2928">LEFT($B237, SEARCH("%",$B237,1)-1)/100</f>
        <v>1.38E-2</v>
      </c>
      <c r="X238" s="573">
        <f t="shared" ref="X238" si="2929">LEFT($B237, SEARCH("%",$B237,1)-1)/100</f>
        <v>1.38E-2</v>
      </c>
      <c r="Y238" s="573">
        <f t="shared" ref="Y238" si="2930">LEFT($B237, SEARCH("%",$B237,1)-1)/100</f>
        <v>1.38E-2</v>
      </c>
      <c r="Z238" s="573">
        <f t="shared" ref="Z238" si="2931">LEFT($B237, SEARCH("%",$B237,1)-1)/100</f>
        <v>1.38E-2</v>
      </c>
      <c r="AA238" s="573"/>
      <c r="AB238" s="573">
        <f t="shared" ref="AB238" si="2932">LEFT($B237, SEARCH("%",$B237,1)-1)/100</f>
        <v>1.38E-2</v>
      </c>
      <c r="AC238" s="573">
        <f t="shared" ref="AC238" si="2933">LEFT($B237, SEARCH("%",$B237,1)-1)/100</f>
        <v>1.38E-2</v>
      </c>
      <c r="AD238" s="573">
        <f t="shared" ref="AD238" si="2934">LEFT($B237, SEARCH("%",$B237,1)-1)/100</f>
        <v>1.38E-2</v>
      </c>
      <c r="AE238" s="573">
        <f t="shared" ref="AE238" si="2935">LEFT($B237, SEARCH("%",$B237,1)-1)/100</f>
        <v>1.38E-2</v>
      </c>
      <c r="AF238" s="573">
        <f t="shared" ref="AF238" si="2936">LEFT($B237, SEARCH("%",$B237,1)-1)/100</f>
        <v>1.38E-2</v>
      </c>
      <c r="AG238" s="573"/>
      <c r="AH238" s="573">
        <f t="shared" ref="AH238" si="2937">LEFT($B237, SEARCH("%",$B237,1)-1)/100</f>
        <v>1.38E-2</v>
      </c>
      <c r="AI238" s="573">
        <f t="shared" ref="AI238" si="2938">LEFT($B237, SEARCH("%",$B237,1)-1)/100</f>
        <v>1.38E-2</v>
      </c>
      <c r="AJ238" s="573">
        <f t="shared" ref="AJ238" si="2939">LEFT($B237, SEARCH("%",$B237,1)-1)/100</f>
        <v>1.38E-2</v>
      </c>
      <c r="AK238" s="573">
        <f t="shared" ref="AK238" si="2940">LEFT($B237, SEARCH("%",$B237,1)-1)/100</f>
        <v>1.38E-2</v>
      </c>
      <c r="AL238" s="573">
        <f t="shared" ref="AL238" si="2941">LEFT($B237, SEARCH("%",$B237,1)-1)/100</f>
        <v>1.38E-2</v>
      </c>
      <c r="AM238" s="573"/>
      <c r="AN238" s="573">
        <f t="shared" ref="AN238" si="2942">LEFT($B237, SEARCH("%",$B237,1)-1)/100</f>
        <v>1.38E-2</v>
      </c>
      <c r="AO238" s="573">
        <f t="shared" ref="AO238" si="2943">LEFT($B237, SEARCH("%",$B237,1)-1)/100</f>
        <v>1.38E-2</v>
      </c>
      <c r="AP238" s="573">
        <f t="shared" ref="AP238" si="2944">LEFT($B237, SEARCH("%",$B237,1)-1)/100</f>
        <v>1.38E-2</v>
      </c>
      <c r="AQ238" s="573">
        <f t="shared" ref="AQ238" si="2945">LEFT($B237, SEARCH("%",$B237,1)-1)/100</f>
        <v>1.38E-2</v>
      </c>
      <c r="AR238" s="573">
        <f t="shared" ref="AR238" si="2946">LEFT($B237, SEARCH("%",$B237,1)-1)/100</f>
        <v>1.38E-2</v>
      </c>
      <c r="AS238" s="573"/>
      <c r="AT238" s="573">
        <f t="shared" ref="AT238" si="2947">LEFT($B237, SEARCH("%",$B237,1)-1)/100</f>
        <v>1.38E-2</v>
      </c>
      <c r="AU238" s="573">
        <f t="shared" ref="AU238" si="2948">LEFT($B237, SEARCH("%",$B237,1)-1)/100</f>
        <v>1.38E-2</v>
      </c>
      <c r="AV238" s="573">
        <f t="shared" ref="AV238" si="2949">LEFT($B237, SEARCH("%",$B237,1)-1)/100</f>
        <v>1.38E-2</v>
      </c>
      <c r="AW238" s="623">
        <f t="shared" ref="AW238" si="2950">LEFT($B237, SEARCH("%",$B237,1)-1)/100</f>
        <v>1.38E-2</v>
      </c>
      <c r="AX238" s="573">
        <f t="shared" ref="AX238" si="2951">LEFT($B237, SEARCH("%",$B237,1)-1)/100</f>
        <v>1.38E-2</v>
      </c>
      <c r="AY238" s="573"/>
      <c r="AZ238" s="573">
        <f t="shared" ref="AZ238" si="2952">LEFT($B237, SEARCH("%",$B237,1)-1)/100</f>
        <v>1.38E-2</v>
      </c>
      <c r="BA238" s="573">
        <f t="shared" ref="BA238" si="2953">LEFT($B237, SEARCH("%",$B237,1)-1)/100</f>
        <v>1.38E-2</v>
      </c>
      <c r="BB238" s="573">
        <f t="shared" ref="BB238" si="2954">LEFT($B237, SEARCH("%",$B237,1)-1)/100</f>
        <v>1.38E-2</v>
      </c>
      <c r="BC238" s="573">
        <f t="shared" ref="BC238" si="2955">LEFT($B237, SEARCH("%",$B237,1)-1)/100</f>
        <v>1.38E-2</v>
      </c>
      <c r="BD238" s="573">
        <f t="shared" ref="BD238" si="2956">LEFT($B237, SEARCH("%",$B237,1)-1)/100</f>
        <v>1.38E-2</v>
      </c>
      <c r="BE238" s="573"/>
      <c r="BF238" s="573">
        <f t="shared" ref="BF238" si="2957">LEFT($B237, SEARCH("%",$B237,1)-1)/100</f>
        <v>1.38E-2</v>
      </c>
      <c r="BG238" s="573">
        <f t="shared" ref="BG238" si="2958">LEFT($B237, SEARCH("%",$B237,1)-1)/100</f>
        <v>1.38E-2</v>
      </c>
      <c r="BH238" s="573">
        <f t="shared" ref="BH238" si="2959">LEFT($B237, SEARCH("%",$B237,1)-1)/100</f>
        <v>1.38E-2</v>
      </c>
      <c r="BI238" s="573">
        <f t="shared" ref="BI238" si="2960">LEFT($B237, SEARCH("%",$B237,1)-1)/100</f>
        <v>1.38E-2</v>
      </c>
      <c r="BJ238" s="573">
        <f t="shared" ref="BJ238" si="2961">LEFT($B237, SEARCH("%",$B237,1)-1)/100</f>
        <v>1.38E-2</v>
      </c>
      <c r="BK238" s="573"/>
      <c r="BL238" s="573">
        <f t="shared" ref="BL238" si="2962">LEFT($B237, SEARCH("%",$B237,1)-1)/100</f>
        <v>1.38E-2</v>
      </c>
      <c r="BM238" s="573">
        <f t="shared" ref="BM238" si="2963">LEFT($B237, SEARCH("%",$B237,1)-1)/100</f>
        <v>1.38E-2</v>
      </c>
      <c r="BN238" s="573">
        <f t="shared" ref="BN238" si="2964">LEFT($B237, SEARCH("%",$B237,1)-1)/100</f>
        <v>1.38E-2</v>
      </c>
      <c r="BO238" s="573">
        <f t="shared" ref="BO238" si="2965">LEFT($B237, SEARCH("%",$B237,1)-1)/100</f>
        <v>1.38E-2</v>
      </c>
      <c r="BP238" s="573">
        <f t="shared" ref="BP238" si="2966">LEFT($B237, SEARCH("%",$B237,1)-1)/100</f>
        <v>1.38E-2</v>
      </c>
      <c r="BQ238" s="573"/>
      <c r="BR238" s="573">
        <f t="shared" ref="BR238" si="2967">LEFT($B237, SEARCH("%",$B237,1)-1)/100</f>
        <v>1.38E-2</v>
      </c>
      <c r="BS238" s="573">
        <f t="shared" ref="BS238" si="2968">LEFT($B237, SEARCH("%",$B237,1)-1)/100</f>
        <v>1.38E-2</v>
      </c>
      <c r="BT238" s="573">
        <f t="shared" ref="BT238" si="2969">LEFT($B237, SEARCH("%",$B237,1)-1)/100</f>
        <v>1.38E-2</v>
      </c>
      <c r="BU238" s="573">
        <f t="shared" ref="BU238" si="2970">LEFT($B237, SEARCH("%",$B237,1)-1)/100</f>
        <v>1.38E-2</v>
      </c>
      <c r="BV238" s="573">
        <f t="shared" ref="BV238" si="2971">LEFT($B237, SEARCH("%",$B237,1)-1)/100</f>
        <v>1.38E-2</v>
      </c>
      <c r="BW238" s="573"/>
      <c r="BX238" s="573">
        <f t="shared" ref="BX238" si="2972">LEFT($B237, SEARCH("%",$B237,1)-1)/100</f>
        <v>1.38E-2</v>
      </c>
      <c r="BY238" s="573">
        <f t="shared" ref="BY238" si="2973">LEFT($B237, SEARCH("%",$B237,1)-1)/100</f>
        <v>1.38E-2</v>
      </c>
      <c r="BZ238" s="573">
        <f t="shared" ref="BZ238" si="2974">LEFT($B237, SEARCH("%",$B237,1)-1)/100</f>
        <v>1.38E-2</v>
      </c>
      <c r="CA238" s="573">
        <f t="shared" ref="CA238" si="2975">LEFT($B237, SEARCH("%",$B237,1)-1)/100</f>
        <v>1.38E-2</v>
      </c>
      <c r="CB238" s="573">
        <f t="shared" ref="CB238" si="2976">LEFT($B237, SEARCH("%",$B237,1)-1)/100</f>
        <v>1.38E-2</v>
      </c>
      <c r="CC238" s="573"/>
      <c r="CD238" s="573">
        <f t="shared" ref="CD238" si="2977">LEFT($B237, SEARCH("%",$B237,1)-1)/100</f>
        <v>1.38E-2</v>
      </c>
      <c r="CE238" s="573">
        <f t="shared" ref="CE238" si="2978">LEFT($B237, SEARCH("%",$B237,1)-1)/100</f>
        <v>1.38E-2</v>
      </c>
      <c r="CF238" s="573">
        <f t="shared" ref="CF238" si="2979">LEFT($B237, SEARCH("%",$B237,1)-1)/100</f>
        <v>1.38E-2</v>
      </c>
      <c r="CG238" s="573">
        <f t="shared" ref="CG238" si="2980">LEFT($B237, SEARCH("%",$B237,1)-1)/100</f>
        <v>1.38E-2</v>
      </c>
      <c r="CH238" s="573">
        <f t="shared" ref="CH238" si="2981">LEFT($B237, SEARCH("%",$B237,1)-1)/100</f>
        <v>1.38E-2</v>
      </c>
      <c r="CI238" s="573"/>
      <c r="CJ238" s="573">
        <f t="shared" ref="CJ238" si="2982">LEFT($B237, SEARCH("%",$B237,1)-1)/100</f>
        <v>1.38E-2</v>
      </c>
      <c r="CK238" s="573">
        <f t="shared" ref="CK238" si="2983">LEFT($B237, SEARCH("%",$B237,1)-1)/100</f>
        <v>1.38E-2</v>
      </c>
      <c r="CL238" s="573">
        <f t="shared" ref="CL238" si="2984">LEFT($B237, SEARCH("%",$B237,1)-1)/100</f>
        <v>1.38E-2</v>
      </c>
      <c r="CM238" s="573">
        <f t="shared" ref="CM238" si="2985">LEFT($B237, SEARCH("%",$B237,1)-1)/100</f>
        <v>1.38E-2</v>
      </c>
      <c r="CN238" s="573">
        <f t="shared" ref="CN238" si="2986">LEFT($B237, SEARCH("%",$B237,1)-1)/100</f>
        <v>1.38E-2</v>
      </c>
      <c r="CO238" s="573"/>
      <c r="CP238" s="573"/>
    </row>
    <row r="239" spans="2:94" ht="12.95" hidden="1" customHeight="1" outlineLevel="1" x14ac:dyDescent="0.25">
      <c r="B239" s="2" t="s">
        <v>581</v>
      </c>
      <c r="D239" s="2">
        <v>1245</v>
      </c>
      <c r="E239" s="2">
        <v>1245</v>
      </c>
      <c r="F239" s="2">
        <v>1245</v>
      </c>
      <c r="G239" s="2">
        <v>1246</v>
      </c>
      <c r="H239" s="2">
        <v>1246</v>
      </c>
      <c r="J239" s="2">
        <v>1246</v>
      </c>
      <c r="K239" s="2">
        <v>1246</v>
      </c>
      <c r="L239" s="2">
        <v>1246</v>
      </c>
      <c r="M239" s="2">
        <v>1246</v>
      </c>
      <c r="N239" s="2">
        <v>1246</v>
      </c>
      <c r="P239" s="2">
        <v>1246</v>
      </c>
      <c r="Q239" s="2">
        <v>1246</v>
      </c>
      <c r="R239" s="2">
        <v>1246</v>
      </c>
      <c r="S239" s="2">
        <v>1248</v>
      </c>
      <c r="T239" s="2">
        <v>1248</v>
      </c>
      <c r="V239" s="2">
        <v>1248</v>
      </c>
      <c r="W239" s="2">
        <v>1248</v>
      </c>
      <c r="X239" s="2">
        <v>1248</v>
      </c>
      <c r="Y239" s="2">
        <v>1248</v>
      </c>
      <c r="Z239" s="2">
        <v>1248</v>
      </c>
      <c r="AB239" s="6">
        <v>1248</v>
      </c>
      <c r="AC239" s="6">
        <v>1248</v>
      </c>
      <c r="AD239" s="6">
        <v>1248</v>
      </c>
      <c r="AE239" s="6"/>
      <c r="AF239" s="6">
        <v>0</v>
      </c>
      <c r="AG239" s="6"/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/>
      <c r="AN239" s="6">
        <v>0</v>
      </c>
      <c r="AO239" s="243">
        <v>0</v>
      </c>
      <c r="AP239" s="6">
        <v>0</v>
      </c>
      <c r="AQ239" s="243">
        <v>0</v>
      </c>
      <c r="AR239" s="243">
        <v>0</v>
      </c>
      <c r="AS239" s="6"/>
      <c r="AT239" s="6">
        <v>0</v>
      </c>
      <c r="AU239" s="243">
        <v>0</v>
      </c>
      <c r="AV239" s="243">
        <v>0</v>
      </c>
      <c r="AW239" s="164">
        <v>0</v>
      </c>
      <c r="AX239" s="6">
        <v>0</v>
      </c>
      <c r="AY239" s="6"/>
      <c r="AZ239" s="6">
        <v>0</v>
      </c>
      <c r="BA239" s="6">
        <v>0</v>
      </c>
      <c r="BB239" s="6">
        <v>0</v>
      </c>
      <c r="BC239" s="6">
        <v>0</v>
      </c>
      <c r="BD239" s="6">
        <v>0</v>
      </c>
      <c r="BE239" s="6"/>
      <c r="BF239" s="6">
        <v>0</v>
      </c>
      <c r="BG239" s="6">
        <v>0</v>
      </c>
      <c r="BH239" s="6">
        <v>0</v>
      </c>
      <c r="BI239" s="6">
        <v>0</v>
      </c>
      <c r="BJ239" s="6">
        <v>0</v>
      </c>
      <c r="BK239" s="6"/>
      <c r="BL239" s="6">
        <v>0</v>
      </c>
      <c r="BM239" s="6">
        <v>0</v>
      </c>
      <c r="BN239" s="6">
        <v>0</v>
      </c>
      <c r="BO239" s="6">
        <v>0</v>
      </c>
      <c r="BP239" s="6">
        <v>0</v>
      </c>
      <c r="BQ239" s="6"/>
      <c r="BR239" s="6">
        <v>0</v>
      </c>
      <c r="BS239" s="6">
        <v>0</v>
      </c>
      <c r="BT239" s="6">
        <v>0</v>
      </c>
      <c r="BU239" s="6">
        <v>0</v>
      </c>
      <c r="BV239" s="6">
        <v>0</v>
      </c>
      <c r="BW239" s="6"/>
      <c r="BX239" s="6">
        <v>0</v>
      </c>
      <c r="BY239" s="6">
        <v>0</v>
      </c>
      <c r="BZ239" s="6">
        <v>0</v>
      </c>
      <c r="CA239" s="6">
        <v>0</v>
      </c>
      <c r="CB239" s="6">
        <v>0</v>
      </c>
      <c r="CC239" s="6"/>
      <c r="CD239" s="6">
        <v>0</v>
      </c>
      <c r="CE239" s="6">
        <v>0</v>
      </c>
      <c r="CF239" s="6">
        <v>0</v>
      </c>
      <c r="CG239" s="6">
        <v>0</v>
      </c>
      <c r="CH239" s="6">
        <v>0</v>
      </c>
      <c r="CI239" s="6"/>
      <c r="CJ239" s="6">
        <v>0</v>
      </c>
      <c r="CK239" s="6">
        <v>0</v>
      </c>
      <c r="CL239" s="6">
        <v>0</v>
      </c>
      <c r="CM239" s="6">
        <v>0</v>
      </c>
      <c r="CN239" s="6">
        <v>0</v>
      </c>
    </row>
    <row r="240" spans="2:94" ht="12.95" hidden="1" customHeight="1" outlineLevel="1" x14ac:dyDescent="0.25">
      <c r="B240" s="2" t="s">
        <v>40</v>
      </c>
      <c r="D240" s="573">
        <f>LEFT($B239, SEARCH("%",$B239,1)-1)/100</f>
        <v>3.9E-2</v>
      </c>
      <c r="E240" s="573">
        <f t="shared" ref="E240" si="2987">LEFT($B239, SEARCH("%",$B239,1)-1)/100</f>
        <v>3.9E-2</v>
      </c>
      <c r="F240" s="573">
        <f t="shared" ref="F240" si="2988">LEFT($B239, SEARCH("%",$B239,1)-1)/100</f>
        <v>3.9E-2</v>
      </c>
      <c r="G240" s="573">
        <f t="shared" ref="G240" si="2989">LEFT($B239, SEARCH("%",$B239,1)-1)/100</f>
        <v>3.9E-2</v>
      </c>
      <c r="H240" s="573">
        <f t="shared" ref="H240" si="2990">LEFT($B239, SEARCH("%",$B239,1)-1)/100</f>
        <v>3.9E-2</v>
      </c>
      <c r="I240" s="573"/>
      <c r="J240" s="573">
        <f t="shared" ref="J240" si="2991">LEFT($B239, SEARCH("%",$B239,1)-1)/100</f>
        <v>3.9E-2</v>
      </c>
      <c r="K240" s="573">
        <f t="shared" ref="K240" si="2992">LEFT($B239, SEARCH("%",$B239,1)-1)/100</f>
        <v>3.9E-2</v>
      </c>
      <c r="L240" s="573">
        <f t="shared" ref="L240" si="2993">LEFT($B239, SEARCH("%",$B239,1)-1)/100</f>
        <v>3.9E-2</v>
      </c>
      <c r="M240" s="573">
        <f t="shared" ref="M240" si="2994">LEFT($B239, SEARCH("%",$B239,1)-1)/100</f>
        <v>3.9E-2</v>
      </c>
      <c r="N240" s="573">
        <f t="shared" ref="N240" si="2995">LEFT($B239, SEARCH("%",$B239,1)-1)/100</f>
        <v>3.9E-2</v>
      </c>
      <c r="O240" s="573"/>
      <c r="P240" s="573">
        <f t="shared" ref="P240" si="2996">LEFT($B239, SEARCH("%",$B239,1)-1)/100</f>
        <v>3.9E-2</v>
      </c>
      <c r="Q240" s="573">
        <f t="shared" ref="Q240" si="2997">LEFT($B239, SEARCH("%",$B239,1)-1)/100</f>
        <v>3.9E-2</v>
      </c>
      <c r="R240" s="573">
        <f t="shared" ref="R240" si="2998">LEFT($B239, SEARCH("%",$B239,1)-1)/100</f>
        <v>3.9E-2</v>
      </c>
      <c r="S240" s="573">
        <f t="shared" ref="S240" si="2999">LEFT($B239, SEARCH("%",$B239,1)-1)/100</f>
        <v>3.9E-2</v>
      </c>
      <c r="T240" s="573">
        <f t="shared" ref="T240" si="3000">LEFT($B239, SEARCH("%",$B239,1)-1)/100</f>
        <v>3.9E-2</v>
      </c>
      <c r="U240" s="573"/>
      <c r="V240" s="573">
        <f t="shared" ref="V240" si="3001">LEFT($B239, SEARCH("%",$B239,1)-1)/100</f>
        <v>3.9E-2</v>
      </c>
      <c r="W240" s="573">
        <f t="shared" ref="W240" si="3002">LEFT($B239, SEARCH("%",$B239,1)-1)/100</f>
        <v>3.9E-2</v>
      </c>
      <c r="X240" s="573">
        <f t="shared" ref="X240" si="3003">LEFT($B239, SEARCH("%",$B239,1)-1)/100</f>
        <v>3.9E-2</v>
      </c>
      <c r="Y240" s="573">
        <f t="shared" ref="Y240" si="3004">LEFT($B239, SEARCH("%",$B239,1)-1)/100</f>
        <v>3.9E-2</v>
      </c>
      <c r="Z240" s="573">
        <f t="shared" ref="Z240" si="3005">LEFT($B239, SEARCH("%",$B239,1)-1)/100</f>
        <v>3.9E-2</v>
      </c>
      <c r="AA240" s="573"/>
      <c r="AB240" s="573">
        <f t="shared" ref="AB240" si="3006">LEFT($B239, SEARCH("%",$B239,1)-1)/100</f>
        <v>3.9E-2</v>
      </c>
      <c r="AC240" s="573">
        <f t="shared" ref="AC240" si="3007">LEFT($B239, SEARCH("%",$B239,1)-1)/100</f>
        <v>3.9E-2</v>
      </c>
      <c r="AD240" s="573">
        <f t="shared" ref="AD240" si="3008">LEFT($B239, SEARCH("%",$B239,1)-1)/100</f>
        <v>3.9E-2</v>
      </c>
      <c r="AE240" s="573">
        <f t="shared" ref="AE240" si="3009">LEFT($B239, SEARCH("%",$B239,1)-1)/100</f>
        <v>3.9E-2</v>
      </c>
      <c r="AF240" s="573">
        <f t="shared" ref="AF240" si="3010">LEFT($B239, SEARCH("%",$B239,1)-1)/100</f>
        <v>3.9E-2</v>
      </c>
      <c r="AG240" s="573"/>
      <c r="AH240" s="573">
        <f t="shared" ref="AH240" si="3011">LEFT($B239, SEARCH("%",$B239,1)-1)/100</f>
        <v>3.9E-2</v>
      </c>
      <c r="AI240" s="573">
        <f t="shared" ref="AI240" si="3012">LEFT($B239, SEARCH("%",$B239,1)-1)/100</f>
        <v>3.9E-2</v>
      </c>
      <c r="AJ240" s="573">
        <f t="shared" ref="AJ240" si="3013">LEFT($B239, SEARCH("%",$B239,1)-1)/100</f>
        <v>3.9E-2</v>
      </c>
      <c r="AK240" s="573">
        <f t="shared" ref="AK240" si="3014">LEFT($B239, SEARCH("%",$B239,1)-1)/100</f>
        <v>3.9E-2</v>
      </c>
      <c r="AL240" s="573">
        <f t="shared" ref="AL240" si="3015">LEFT($B239, SEARCH("%",$B239,1)-1)/100</f>
        <v>3.9E-2</v>
      </c>
      <c r="AM240" s="573"/>
      <c r="AN240" s="573">
        <f t="shared" ref="AN240" si="3016">LEFT($B239, SEARCH("%",$B239,1)-1)/100</f>
        <v>3.9E-2</v>
      </c>
      <c r="AO240" s="573">
        <f t="shared" ref="AO240" si="3017">LEFT($B239, SEARCH("%",$B239,1)-1)/100</f>
        <v>3.9E-2</v>
      </c>
      <c r="AP240" s="573">
        <f t="shared" ref="AP240" si="3018">LEFT($B239, SEARCH("%",$B239,1)-1)/100</f>
        <v>3.9E-2</v>
      </c>
      <c r="AQ240" s="573">
        <f t="shared" ref="AQ240" si="3019">LEFT($B239, SEARCH("%",$B239,1)-1)/100</f>
        <v>3.9E-2</v>
      </c>
      <c r="AR240" s="573">
        <f t="shared" ref="AR240" si="3020">LEFT($B239, SEARCH("%",$B239,1)-1)/100</f>
        <v>3.9E-2</v>
      </c>
      <c r="AS240" s="573"/>
      <c r="AT240" s="573">
        <f t="shared" ref="AT240" si="3021">LEFT($B239, SEARCH("%",$B239,1)-1)/100</f>
        <v>3.9E-2</v>
      </c>
      <c r="AU240" s="573">
        <f t="shared" ref="AU240" si="3022">LEFT($B239, SEARCH("%",$B239,1)-1)/100</f>
        <v>3.9E-2</v>
      </c>
      <c r="AV240" s="573">
        <f t="shared" ref="AV240" si="3023">LEFT($B239, SEARCH("%",$B239,1)-1)/100</f>
        <v>3.9E-2</v>
      </c>
      <c r="AW240" s="623">
        <f t="shared" ref="AW240" si="3024">LEFT($B239, SEARCH("%",$B239,1)-1)/100</f>
        <v>3.9E-2</v>
      </c>
      <c r="AX240" s="573">
        <f t="shared" ref="AX240" si="3025">LEFT($B239, SEARCH("%",$B239,1)-1)/100</f>
        <v>3.9E-2</v>
      </c>
      <c r="AY240" s="573"/>
      <c r="AZ240" s="573">
        <f t="shared" ref="AZ240" si="3026">LEFT($B239, SEARCH("%",$B239,1)-1)/100</f>
        <v>3.9E-2</v>
      </c>
      <c r="BA240" s="573">
        <f t="shared" ref="BA240" si="3027">LEFT($B239, SEARCH("%",$B239,1)-1)/100</f>
        <v>3.9E-2</v>
      </c>
      <c r="BB240" s="573">
        <f t="shared" ref="BB240" si="3028">LEFT($B239, SEARCH("%",$B239,1)-1)/100</f>
        <v>3.9E-2</v>
      </c>
      <c r="BC240" s="573">
        <f t="shared" ref="BC240" si="3029">LEFT($B239, SEARCH("%",$B239,1)-1)/100</f>
        <v>3.9E-2</v>
      </c>
      <c r="BD240" s="573">
        <f t="shared" ref="BD240" si="3030">LEFT($B239, SEARCH("%",$B239,1)-1)/100</f>
        <v>3.9E-2</v>
      </c>
      <c r="BE240" s="573"/>
      <c r="BF240" s="573">
        <f t="shared" ref="BF240" si="3031">LEFT($B239, SEARCH("%",$B239,1)-1)/100</f>
        <v>3.9E-2</v>
      </c>
      <c r="BG240" s="573">
        <f t="shared" ref="BG240" si="3032">LEFT($B239, SEARCH("%",$B239,1)-1)/100</f>
        <v>3.9E-2</v>
      </c>
      <c r="BH240" s="573">
        <f t="shared" ref="BH240" si="3033">LEFT($B239, SEARCH("%",$B239,1)-1)/100</f>
        <v>3.9E-2</v>
      </c>
      <c r="BI240" s="573">
        <f t="shared" ref="BI240" si="3034">LEFT($B239, SEARCH("%",$B239,1)-1)/100</f>
        <v>3.9E-2</v>
      </c>
      <c r="BJ240" s="573">
        <f t="shared" ref="BJ240" si="3035">LEFT($B239, SEARCH("%",$B239,1)-1)/100</f>
        <v>3.9E-2</v>
      </c>
      <c r="BK240" s="573"/>
      <c r="BL240" s="573">
        <f t="shared" ref="BL240" si="3036">LEFT($B239, SEARCH("%",$B239,1)-1)/100</f>
        <v>3.9E-2</v>
      </c>
      <c r="BM240" s="573">
        <f t="shared" ref="BM240" si="3037">LEFT($B239, SEARCH("%",$B239,1)-1)/100</f>
        <v>3.9E-2</v>
      </c>
      <c r="BN240" s="573">
        <f t="shared" ref="BN240" si="3038">LEFT($B239, SEARCH("%",$B239,1)-1)/100</f>
        <v>3.9E-2</v>
      </c>
      <c r="BO240" s="573">
        <f t="shared" ref="BO240" si="3039">LEFT($B239, SEARCH("%",$B239,1)-1)/100</f>
        <v>3.9E-2</v>
      </c>
      <c r="BP240" s="573">
        <f t="shared" ref="BP240" si="3040">LEFT($B239, SEARCH("%",$B239,1)-1)/100</f>
        <v>3.9E-2</v>
      </c>
      <c r="BQ240" s="573"/>
      <c r="BR240" s="573">
        <f t="shared" ref="BR240" si="3041">LEFT($B239, SEARCH("%",$B239,1)-1)/100</f>
        <v>3.9E-2</v>
      </c>
      <c r="BS240" s="573">
        <f t="shared" ref="BS240" si="3042">LEFT($B239, SEARCH("%",$B239,1)-1)/100</f>
        <v>3.9E-2</v>
      </c>
      <c r="BT240" s="573">
        <f t="shared" ref="BT240" si="3043">LEFT($B239, SEARCH("%",$B239,1)-1)/100</f>
        <v>3.9E-2</v>
      </c>
      <c r="BU240" s="573">
        <f t="shared" ref="BU240" si="3044">LEFT($B239, SEARCH("%",$B239,1)-1)/100</f>
        <v>3.9E-2</v>
      </c>
      <c r="BV240" s="573">
        <f t="shared" ref="BV240" si="3045">LEFT($B239, SEARCH("%",$B239,1)-1)/100</f>
        <v>3.9E-2</v>
      </c>
      <c r="BW240" s="573"/>
      <c r="BX240" s="573">
        <f t="shared" ref="BX240" si="3046">LEFT($B239, SEARCH("%",$B239,1)-1)/100</f>
        <v>3.9E-2</v>
      </c>
      <c r="BY240" s="573">
        <f t="shared" ref="BY240" si="3047">LEFT($B239, SEARCH("%",$B239,1)-1)/100</f>
        <v>3.9E-2</v>
      </c>
      <c r="BZ240" s="573">
        <f t="shared" ref="BZ240" si="3048">LEFT($B239, SEARCH("%",$B239,1)-1)/100</f>
        <v>3.9E-2</v>
      </c>
      <c r="CA240" s="573">
        <f t="shared" ref="CA240" si="3049">LEFT($B239, SEARCH("%",$B239,1)-1)/100</f>
        <v>3.9E-2</v>
      </c>
      <c r="CB240" s="573">
        <f t="shared" ref="CB240" si="3050">LEFT($B239, SEARCH("%",$B239,1)-1)/100</f>
        <v>3.9E-2</v>
      </c>
      <c r="CC240" s="573"/>
      <c r="CD240" s="573">
        <f t="shared" ref="CD240" si="3051">LEFT($B239, SEARCH("%",$B239,1)-1)/100</f>
        <v>3.9E-2</v>
      </c>
      <c r="CE240" s="573">
        <f t="shared" ref="CE240" si="3052">LEFT($B239, SEARCH("%",$B239,1)-1)/100</f>
        <v>3.9E-2</v>
      </c>
      <c r="CF240" s="573">
        <f t="shared" ref="CF240" si="3053">LEFT($B239, SEARCH("%",$B239,1)-1)/100</f>
        <v>3.9E-2</v>
      </c>
      <c r="CG240" s="573">
        <f t="shared" ref="CG240" si="3054">LEFT($B239, SEARCH("%",$B239,1)-1)/100</f>
        <v>3.9E-2</v>
      </c>
      <c r="CH240" s="573">
        <f t="shared" ref="CH240" si="3055">LEFT($B239, SEARCH("%",$B239,1)-1)/100</f>
        <v>3.9E-2</v>
      </c>
      <c r="CI240" s="573"/>
      <c r="CJ240" s="573">
        <f t="shared" ref="CJ240" si="3056">LEFT($B239, SEARCH("%",$B239,1)-1)/100</f>
        <v>3.9E-2</v>
      </c>
      <c r="CK240" s="573">
        <f t="shared" ref="CK240" si="3057">LEFT($B239, SEARCH("%",$B239,1)-1)/100</f>
        <v>3.9E-2</v>
      </c>
      <c r="CL240" s="573">
        <f t="shared" ref="CL240" si="3058">LEFT($B239, SEARCH("%",$B239,1)-1)/100</f>
        <v>3.9E-2</v>
      </c>
      <c r="CM240" s="573">
        <f t="shared" ref="CM240" si="3059">LEFT($B239, SEARCH("%",$B239,1)-1)/100</f>
        <v>3.9E-2</v>
      </c>
      <c r="CN240" s="573">
        <f t="shared" ref="CN240" si="3060">LEFT($B239, SEARCH("%",$B239,1)-1)/100</f>
        <v>3.9E-2</v>
      </c>
      <c r="CO240" s="573"/>
      <c r="CP240" s="573"/>
    </row>
    <row r="241" spans="2:94" ht="12.95" hidden="1" customHeight="1" outlineLevel="1" x14ac:dyDescent="0.25">
      <c r="B241" s="2" t="s">
        <v>582</v>
      </c>
      <c r="D241" s="2">
        <v>752</v>
      </c>
      <c r="E241" s="2">
        <v>752</v>
      </c>
      <c r="F241" s="2">
        <v>752</v>
      </c>
      <c r="G241" s="2">
        <v>752</v>
      </c>
      <c r="H241" s="2">
        <v>752</v>
      </c>
      <c r="J241" s="2">
        <v>752</v>
      </c>
      <c r="K241" s="2">
        <v>752</v>
      </c>
      <c r="L241" s="2">
        <v>752</v>
      </c>
      <c r="M241" s="2">
        <v>752</v>
      </c>
      <c r="N241" s="2">
        <v>752</v>
      </c>
      <c r="P241" s="2">
        <v>752</v>
      </c>
      <c r="Q241" s="2">
        <v>752</v>
      </c>
      <c r="R241" s="2">
        <v>752</v>
      </c>
      <c r="S241" s="2">
        <v>752</v>
      </c>
      <c r="T241" s="2">
        <v>752</v>
      </c>
      <c r="V241" s="2">
        <v>752</v>
      </c>
      <c r="W241" s="2">
        <v>752</v>
      </c>
      <c r="X241" s="2">
        <v>752</v>
      </c>
      <c r="Y241" s="2">
        <v>752</v>
      </c>
      <c r="Z241" s="2">
        <v>752</v>
      </c>
      <c r="AB241" s="6">
        <v>752</v>
      </c>
      <c r="AC241" s="6">
        <v>752</v>
      </c>
      <c r="AD241" s="6">
        <v>752</v>
      </c>
      <c r="AE241" s="6">
        <v>752</v>
      </c>
      <c r="AF241" s="6">
        <v>752</v>
      </c>
      <c r="AG241" s="6"/>
      <c r="AH241" s="6">
        <v>752</v>
      </c>
      <c r="AI241" s="6">
        <v>752</v>
      </c>
      <c r="AJ241" s="6">
        <v>752</v>
      </c>
      <c r="AK241" s="6">
        <v>752</v>
      </c>
      <c r="AL241" s="6">
        <v>752</v>
      </c>
      <c r="AM241" s="6"/>
      <c r="AN241" s="6">
        <v>752</v>
      </c>
      <c r="AO241" s="243">
        <v>752</v>
      </c>
      <c r="AP241" s="6">
        <v>752</v>
      </c>
      <c r="AQ241" s="243">
        <v>752</v>
      </c>
      <c r="AR241" s="243">
        <v>752</v>
      </c>
      <c r="AS241" s="6"/>
      <c r="AT241" s="6">
        <v>752</v>
      </c>
      <c r="AU241" s="243">
        <v>752</v>
      </c>
      <c r="AV241" s="243">
        <v>752</v>
      </c>
      <c r="AW241" s="164">
        <v>752</v>
      </c>
      <c r="AX241" s="6">
        <v>752</v>
      </c>
      <c r="AY241" s="6"/>
      <c r="AZ241" s="6">
        <v>752</v>
      </c>
      <c r="BA241" s="6">
        <v>752</v>
      </c>
      <c r="BB241" s="6">
        <v>752</v>
      </c>
      <c r="BC241" s="6">
        <v>752</v>
      </c>
      <c r="BD241" s="6">
        <v>752</v>
      </c>
      <c r="BE241" s="6"/>
      <c r="BF241" s="6">
        <v>752</v>
      </c>
      <c r="BG241" s="6">
        <v>752</v>
      </c>
      <c r="BH241" s="6">
        <v>752</v>
      </c>
      <c r="BI241" s="6">
        <v>752</v>
      </c>
      <c r="BJ241" s="6">
        <v>752</v>
      </c>
      <c r="BK241" s="6"/>
      <c r="BL241" s="6">
        <v>752</v>
      </c>
      <c r="BM241" s="6">
        <v>752</v>
      </c>
      <c r="BN241" s="6">
        <v>752</v>
      </c>
      <c r="BO241" s="6">
        <v>752</v>
      </c>
      <c r="BP241" s="6">
        <v>752</v>
      </c>
      <c r="BQ241" s="6"/>
      <c r="BR241" s="6">
        <v>752</v>
      </c>
      <c r="BS241" s="6">
        <v>752</v>
      </c>
      <c r="BT241" s="6">
        <v>752</v>
      </c>
      <c r="BU241" s="6">
        <v>752</v>
      </c>
      <c r="BV241" s="6">
        <v>752</v>
      </c>
      <c r="BW241" s="6"/>
      <c r="BX241" s="6">
        <v>752</v>
      </c>
      <c r="BY241" s="6">
        <v>752</v>
      </c>
      <c r="BZ241" s="6">
        <v>752</v>
      </c>
      <c r="CA241" s="6">
        <v>752</v>
      </c>
      <c r="CB241" s="6">
        <v>752</v>
      </c>
      <c r="CC241" s="6"/>
      <c r="CD241" s="6">
        <v>752</v>
      </c>
      <c r="CE241" s="6">
        <v>752</v>
      </c>
      <c r="CF241" s="6">
        <v>752</v>
      </c>
      <c r="CG241" s="6">
        <v>752</v>
      </c>
      <c r="CH241" s="6">
        <v>752</v>
      </c>
      <c r="CI241" s="6"/>
      <c r="CJ241" s="6">
        <v>752</v>
      </c>
      <c r="CK241" s="6">
        <v>752</v>
      </c>
      <c r="CL241" s="6">
        <v>752</v>
      </c>
      <c r="CM241" s="6">
        <v>752</v>
      </c>
      <c r="CN241" s="6">
        <v>752</v>
      </c>
    </row>
    <row r="242" spans="2:94" ht="12.95" hidden="1" customHeight="1" outlineLevel="1" x14ac:dyDescent="0.25">
      <c r="B242" s="2" t="s">
        <v>40</v>
      </c>
      <c r="D242" s="573">
        <f>LEFT($B241, SEARCH("%",$B241,1)-1)/100</f>
        <v>5.2000000000000005E-2</v>
      </c>
      <c r="E242" s="573">
        <f t="shared" ref="E242" si="3061">LEFT($B241, SEARCH("%",$B241,1)-1)/100</f>
        <v>5.2000000000000005E-2</v>
      </c>
      <c r="F242" s="573">
        <f t="shared" ref="F242" si="3062">LEFT($B241, SEARCH("%",$B241,1)-1)/100</f>
        <v>5.2000000000000005E-2</v>
      </c>
      <c r="G242" s="573">
        <f t="shared" ref="G242" si="3063">LEFT($B241, SEARCH("%",$B241,1)-1)/100</f>
        <v>5.2000000000000005E-2</v>
      </c>
      <c r="H242" s="573">
        <f t="shared" ref="H242" si="3064">LEFT($B241, SEARCH("%",$B241,1)-1)/100</f>
        <v>5.2000000000000005E-2</v>
      </c>
      <c r="I242" s="573"/>
      <c r="J242" s="573">
        <f t="shared" ref="J242" si="3065">LEFT($B241, SEARCH("%",$B241,1)-1)/100</f>
        <v>5.2000000000000005E-2</v>
      </c>
      <c r="K242" s="573">
        <f t="shared" ref="K242" si="3066">LEFT($B241, SEARCH("%",$B241,1)-1)/100</f>
        <v>5.2000000000000005E-2</v>
      </c>
      <c r="L242" s="573">
        <f t="shared" ref="L242" si="3067">LEFT($B241, SEARCH("%",$B241,1)-1)/100</f>
        <v>5.2000000000000005E-2</v>
      </c>
      <c r="M242" s="573">
        <f t="shared" ref="M242" si="3068">LEFT($B241, SEARCH("%",$B241,1)-1)/100</f>
        <v>5.2000000000000005E-2</v>
      </c>
      <c r="N242" s="573">
        <f t="shared" ref="N242" si="3069">LEFT($B241, SEARCH("%",$B241,1)-1)/100</f>
        <v>5.2000000000000005E-2</v>
      </c>
      <c r="O242" s="573"/>
      <c r="P242" s="573">
        <f t="shared" ref="P242" si="3070">LEFT($B241, SEARCH("%",$B241,1)-1)/100</f>
        <v>5.2000000000000005E-2</v>
      </c>
      <c r="Q242" s="573">
        <f t="shared" ref="Q242" si="3071">LEFT($B241, SEARCH("%",$B241,1)-1)/100</f>
        <v>5.2000000000000005E-2</v>
      </c>
      <c r="R242" s="573">
        <f t="shared" ref="R242" si="3072">LEFT($B241, SEARCH("%",$B241,1)-1)/100</f>
        <v>5.2000000000000005E-2</v>
      </c>
      <c r="S242" s="573">
        <f t="shared" ref="S242" si="3073">LEFT($B241, SEARCH("%",$B241,1)-1)/100</f>
        <v>5.2000000000000005E-2</v>
      </c>
      <c r="T242" s="573">
        <f t="shared" ref="T242" si="3074">LEFT($B241, SEARCH("%",$B241,1)-1)/100</f>
        <v>5.2000000000000005E-2</v>
      </c>
      <c r="U242" s="573"/>
      <c r="V242" s="573">
        <f t="shared" ref="V242" si="3075">LEFT($B241, SEARCH("%",$B241,1)-1)/100</f>
        <v>5.2000000000000005E-2</v>
      </c>
      <c r="W242" s="573">
        <f t="shared" ref="W242" si="3076">LEFT($B241, SEARCH("%",$B241,1)-1)/100</f>
        <v>5.2000000000000005E-2</v>
      </c>
      <c r="X242" s="573">
        <f t="shared" ref="X242" si="3077">LEFT($B241, SEARCH("%",$B241,1)-1)/100</f>
        <v>5.2000000000000005E-2</v>
      </c>
      <c r="Y242" s="573">
        <f t="shared" ref="Y242" si="3078">LEFT($B241, SEARCH("%",$B241,1)-1)/100</f>
        <v>5.2000000000000005E-2</v>
      </c>
      <c r="Z242" s="573">
        <f t="shared" ref="Z242" si="3079">LEFT($B241, SEARCH("%",$B241,1)-1)/100</f>
        <v>5.2000000000000005E-2</v>
      </c>
      <c r="AA242" s="573"/>
      <c r="AB242" s="573">
        <f t="shared" ref="AB242" si="3080">LEFT($B241, SEARCH("%",$B241,1)-1)/100</f>
        <v>5.2000000000000005E-2</v>
      </c>
      <c r="AC242" s="573">
        <f t="shared" ref="AC242" si="3081">LEFT($B241, SEARCH("%",$B241,1)-1)/100</f>
        <v>5.2000000000000005E-2</v>
      </c>
      <c r="AD242" s="573">
        <f t="shared" ref="AD242" si="3082">LEFT($B241, SEARCH("%",$B241,1)-1)/100</f>
        <v>5.2000000000000005E-2</v>
      </c>
      <c r="AE242" s="573">
        <f t="shared" ref="AE242" si="3083">LEFT($B241, SEARCH("%",$B241,1)-1)/100</f>
        <v>5.2000000000000005E-2</v>
      </c>
      <c r="AF242" s="573">
        <f t="shared" ref="AF242" si="3084">LEFT($B241, SEARCH("%",$B241,1)-1)/100</f>
        <v>5.2000000000000005E-2</v>
      </c>
      <c r="AG242" s="573"/>
      <c r="AH242" s="573">
        <f t="shared" ref="AH242" si="3085">LEFT($B241, SEARCH("%",$B241,1)-1)/100</f>
        <v>5.2000000000000005E-2</v>
      </c>
      <c r="AI242" s="573">
        <f t="shared" ref="AI242" si="3086">LEFT($B241, SEARCH("%",$B241,1)-1)/100</f>
        <v>5.2000000000000005E-2</v>
      </c>
      <c r="AJ242" s="573">
        <f t="shared" ref="AJ242" si="3087">LEFT($B241, SEARCH("%",$B241,1)-1)/100</f>
        <v>5.2000000000000005E-2</v>
      </c>
      <c r="AK242" s="573">
        <f t="shared" ref="AK242" si="3088">LEFT($B241, SEARCH("%",$B241,1)-1)/100</f>
        <v>5.2000000000000005E-2</v>
      </c>
      <c r="AL242" s="573">
        <f t="shared" ref="AL242" si="3089">LEFT($B241, SEARCH("%",$B241,1)-1)/100</f>
        <v>5.2000000000000005E-2</v>
      </c>
      <c r="AM242" s="573"/>
      <c r="AN242" s="573">
        <f t="shared" ref="AN242" si="3090">LEFT($B241, SEARCH("%",$B241,1)-1)/100</f>
        <v>5.2000000000000005E-2</v>
      </c>
      <c r="AO242" s="573">
        <f t="shared" ref="AO242" si="3091">LEFT($B241, SEARCH("%",$B241,1)-1)/100</f>
        <v>5.2000000000000005E-2</v>
      </c>
      <c r="AP242" s="573">
        <f t="shared" ref="AP242" si="3092">LEFT($B241, SEARCH("%",$B241,1)-1)/100</f>
        <v>5.2000000000000005E-2</v>
      </c>
      <c r="AQ242" s="573">
        <f t="shared" ref="AQ242" si="3093">LEFT($B241, SEARCH("%",$B241,1)-1)/100</f>
        <v>5.2000000000000005E-2</v>
      </c>
      <c r="AR242" s="573">
        <f t="shared" ref="AR242" si="3094">LEFT($B241, SEARCH("%",$B241,1)-1)/100</f>
        <v>5.2000000000000005E-2</v>
      </c>
      <c r="AS242" s="573"/>
      <c r="AT242" s="573">
        <f t="shared" ref="AT242" si="3095">LEFT($B241, SEARCH("%",$B241,1)-1)/100</f>
        <v>5.2000000000000005E-2</v>
      </c>
      <c r="AU242" s="573">
        <f t="shared" ref="AU242" si="3096">LEFT($B241, SEARCH("%",$B241,1)-1)/100</f>
        <v>5.2000000000000005E-2</v>
      </c>
      <c r="AV242" s="573">
        <f t="shared" ref="AV242" si="3097">LEFT($B241, SEARCH("%",$B241,1)-1)/100</f>
        <v>5.2000000000000005E-2</v>
      </c>
      <c r="AW242" s="623">
        <f t="shared" ref="AW242" si="3098">LEFT($B241, SEARCH("%",$B241,1)-1)/100</f>
        <v>5.2000000000000005E-2</v>
      </c>
      <c r="AX242" s="573">
        <f t="shared" ref="AX242" si="3099">LEFT($B241, SEARCH("%",$B241,1)-1)/100</f>
        <v>5.2000000000000005E-2</v>
      </c>
      <c r="AY242" s="573"/>
      <c r="AZ242" s="573">
        <f t="shared" ref="AZ242" si="3100">LEFT($B241, SEARCH("%",$B241,1)-1)/100</f>
        <v>5.2000000000000005E-2</v>
      </c>
      <c r="BA242" s="573">
        <f t="shared" ref="BA242" si="3101">LEFT($B241, SEARCH("%",$B241,1)-1)/100</f>
        <v>5.2000000000000005E-2</v>
      </c>
      <c r="BB242" s="573">
        <f t="shared" ref="BB242" si="3102">LEFT($B241, SEARCH("%",$B241,1)-1)/100</f>
        <v>5.2000000000000005E-2</v>
      </c>
      <c r="BC242" s="573">
        <f t="shared" ref="BC242" si="3103">LEFT($B241, SEARCH("%",$B241,1)-1)/100</f>
        <v>5.2000000000000005E-2</v>
      </c>
      <c r="BD242" s="573">
        <f t="shared" ref="BD242" si="3104">LEFT($B241, SEARCH("%",$B241,1)-1)/100</f>
        <v>5.2000000000000005E-2</v>
      </c>
      <c r="BE242" s="573"/>
      <c r="BF242" s="573">
        <f t="shared" ref="BF242" si="3105">LEFT($B241, SEARCH("%",$B241,1)-1)/100</f>
        <v>5.2000000000000005E-2</v>
      </c>
      <c r="BG242" s="573">
        <f t="shared" ref="BG242" si="3106">LEFT($B241, SEARCH("%",$B241,1)-1)/100</f>
        <v>5.2000000000000005E-2</v>
      </c>
      <c r="BH242" s="573">
        <f t="shared" ref="BH242" si="3107">LEFT($B241, SEARCH("%",$B241,1)-1)/100</f>
        <v>5.2000000000000005E-2</v>
      </c>
      <c r="BI242" s="573">
        <f t="shared" ref="BI242" si="3108">LEFT($B241, SEARCH("%",$B241,1)-1)/100</f>
        <v>5.2000000000000005E-2</v>
      </c>
      <c r="BJ242" s="573">
        <f t="shared" ref="BJ242" si="3109">LEFT($B241, SEARCH("%",$B241,1)-1)/100</f>
        <v>5.2000000000000005E-2</v>
      </c>
      <c r="BK242" s="573"/>
      <c r="BL242" s="573">
        <f t="shared" ref="BL242" si="3110">LEFT($B241, SEARCH("%",$B241,1)-1)/100</f>
        <v>5.2000000000000005E-2</v>
      </c>
      <c r="BM242" s="573">
        <f t="shared" ref="BM242" si="3111">LEFT($B241, SEARCH("%",$B241,1)-1)/100</f>
        <v>5.2000000000000005E-2</v>
      </c>
      <c r="BN242" s="573">
        <f t="shared" ref="BN242" si="3112">LEFT($B241, SEARCH("%",$B241,1)-1)/100</f>
        <v>5.2000000000000005E-2</v>
      </c>
      <c r="BO242" s="573">
        <f t="shared" ref="BO242" si="3113">LEFT($B241, SEARCH("%",$B241,1)-1)/100</f>
        <v>5.2000000000000005E-2</v>
      </c>
      <c r="BP242" s="573">
        <f t="shared" ref="BP242" si="3114">LEFT($B241, SEARCH("%",$B241,1)-1)/100</f>
        <v>5.2000000000000005E-2</v>
      </c>
      <c r="BQ242" s="573"/>
      <c r="BR242" s="573">
        <f t="shared" ref="BR242" si="3115">LEFT($B241, SEARCH("%",$B241,1)-1)/100</f>
        <v>5.2000000000000005E-2</v>
      </c>
      <c r="BS242" s="573">
        <f t="shared" ref="BS242" si="3116">LEFT($B241, SEARCH("%",$B241,1)-1)/100</f>
        <v>5.2000000000000005E-2</v>
      </c>
      <c r="BT242" s="573">
        <f t="shared" ref="BT242" si="3117">LEFT($B241, SEARCH("%",$B241,1)-1)/100</f>
        <v>5.2000000000000005E-2</v>
      </c>
      <c r="BU242" s="573">
        <f t="shared" ref="BU242" si="3118">LEFT($B241, SEARCH("%",$B241,1)-1)/100</f>
        <v>5.2000000000000005E-2</v>
      </c>
      <c r="BV242" s="573">
        <f t="shared" ref="BV242" si="3119">LEFT($B241, SEARCH("%",$B241,1)-1)/100</f>
        <v>5.2000000000000005E-2</v>
      </c>
      <c r="BW242" s="573"/>
      <c r="BX242" s="573">
        <f t="shared" ref="BX242" si="3120">LEFT($B241, SEARCH("%",$B241,1)-1)/100</f>
        <v>5.2000000000000005E-2</v>
      </c>
      <c r="BY242" s="573">
        <f t="shared" ref="BY242" si="3121">LEFT($B241, SEARCH("%",$B241,1)-1)/100</f>
        <v>5.2000000000000005E-2</v>
      </c>
      <c r="BZ242" s="573">
        <f t="shared" ref="BZ242" si="3122">LEFT($B241, SEARCH("%",$B241,1)-1)/100</f>
        <v>5.2000000000000005E-2</v>
      </c>
      <c r="CA242" s="573">
        <f t="shared" ref="CA242" si="3123">LEFT($B241, SEARCH("%",$B241,1)-1)/100</f>
        <v>5.2000000000000005E-2</v>
      </c>
      <c r="CB242" s="573">
        <f t="shared" ref="CB242" si="3124">LEFT($B241, SEARCH("%",$B241,1)-1)/100</f>
        <v>5.2000000000000005E-2</v>
      </c>
      <c r="CC242" s="573"/>
      <c r="CD242" s="573">
        <f t="shared" ref="CD242" si="3125">LEFT($B241, SEARCH("%",$B241,1)-1)/100</f>
        <v>5.2000000000000005E-2</v>
      </c>
      <c r="CE242" s="573">
        <f t="shared" ref="CE242" si="3126">LEFT($B241, SEARCH("%",$B241,1)-1)/100</f>
        <v>5.2000000000000005E-2</v>
      </c>
      <c r="CF242" s="573">
        <f t="shared" ref="CF242" si="3127">LEFT($B241, SEARCH("%",$B241,1)-1)/100</f>
        <v>5.2000000000000005E-2</v>
      </c>
      <c r="CG242" s="573">
        <f t="shared" ref="CG242" si="3128">LEFT($B241, SEARCH("%",$B241,1)-1)/100</f>
        <v>5.2000000000000005E-2</v>
      </c>
      <c r="CH242" s="573">
        <f t="shared" ref="CH242" si="3129">LEFT($B241, SEARCH("%",$B241,1)-1)/100</f>
        <v>5.2000000000000005E-2</v>
      </c>
      <c r="CI242" s="573"/>
      <c r="CJ242" s="573">
        <f t="shared" ref="CJ242" si="3130">LEFT($B241, SEARCH("%",$B241,1)-1)/100</f>
        <v>5.2000000000000005E-2</v>
      </c>
      <c r="CK242" s="573">
        <f t="shared" ref="CK242" si="3131">LEFT($B241, SEARCH("%",$B241,1)-1)/100</f>
        <v>5.2000000000000005E-2</v>
      </c>
      <c r="CL242" s="573">
        <f t="shared" ref="CL242" si="3132">LEFT($B241, SEARCH("%",$B241,1)-1)/100</f>
        <v>5.2000000000000005E-2</v>
      </c>
      <c r="CM242" s="573">
        <f t="shared" ref="CM242" si="3133">LEFT($B241, SEARCH("%",$B241,1)-1)/100</f>
        <v>5.2000000000000005E-2</v>
      </c>
      <c r="CN242" s="573">
        <f t="shared" ref="CN242" si="3134">LEFT($B241, SEARCH("%",$B241,1)-1)/100</f>
        <v>5.2000000000000005E-2</v>
      </c>
      <c r="CO242" s="573"/>
      <c r="CP242" s="573"/>
    </row>
    <row r="243" spans="2:94" ht="12.95" hidden="1" customHeight="1" outlineLevel="1" x14ac:dyDescent="0.25">
      <c r="B243" s="2" t="s">
        <v>583</v>
      </c>
      <c r="D243" s="2">
        <v>68</v>
      </c>
      <c r="E243" s="2">
        <v>68</v>
      </c>
      <c r="F243" s="2">
        <v>68</v>
      </c>
      <c r="G243" s="2">
        <v>437</v>
      </c>
      <c r="H243" s="2">
        <v>437</v>
      </c>
      <c r="J243" s="2">
        <v>437</v>
      </c>
      <c r="K243" s="2">
        <v>437</v>
      </c>
      <c r="L243" s="2">
        <v>437</v>
      </c>
      <c r="M243" s="2">
        <v>437</v>
      </c>
      <c r="N243" s="2">
        <v>437</v>
      </c>
      <c r="P243" s="2">
        <v>437</v>
      </c>
      <c r="Q243" s="2">
        <v>437</v>
      </c>
      <c r="R243" s="2">
        <v>437</v>
      </c>
      <c r="S243" s="2">
        <v>128</v>
      </c>
      <c r="T243" s="2">
        <v>128</v>
      </c>
      <c r="V243" s="2">
        <v>128</v>
      </c>
      <c r="W243" s="2">
        <v>128</v>
      </c>
      <c r="X243" s="2">
        <v>128</v>
      </c>
      <c r="Y243" s="2">
        <v>128</v>
      </c>
      <c r="Z243" s="2">
        <v>128</v>
      </c>
      <c r="AB243" s="6">
        <v>128</v>
      </c>
      <c r="AC243" s="6">
        <v>128</v>
      </c>
      <c r="AD243" s="6">
        <v>128</v>
      </c>
      <c r="AE243" s="6">
        <v>0</v>
      </c>
      <c r="AF243" s="6">
        <v>0</v>
      </c>
      <c r="AG243" s="6"/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/>
      <c r="AN243" s="6">
        <v>0</v>
      </c>
      <c r="AO243" s="243">
        <v>0</v>
      </c>
      <c r="AP243" s="6">
        <v>0</v>
      </c>
      <c r="AQ243" s="243">
        <v>0</v>
      </c>
      <c r="AR243" s="243">
        <v>0</v>
      </c>
      <c r="AS243" s="6"/>
      <c r="AT243" s="6">
        <v>0</v>
      </c>
      <c r="AU243" s="243">
        <v>0</v>
      </c>
      <c r="AV243" s="243">
        <v>0</v>
      </c>
      <c r="AW243" s="164">
        <v>0</v>
      </c>
      <c r="AX243" s="6">
        <v>0</v>
      </c>
      <c r="AY243" s="6"/>
      <c r="AZ243" s="6">
        <v>0</v>
      </c>
      <c r="BA243" s="6">
        <v>0</v>
      </c>
      <c r="BB243" s="6">
        <v>0</v>
      </c>
      <c r="BC243" s="6">
        <v>0</v>
      </c>
      <c r="BD243" s="6">
        <v>0</v>
      </c>
      <c r="BE243" s="6"/>
      <c r="BF243" s="6">
        <v>0</v>
      </c>
      <c r="BG243" s="6">
        <v>0</v>
      </c>
      <c r="BH243" s="6">
        <v>0</v>
      </c>
      <c r="BI243" s="6">
        <v>0</v>
      </c>
      <c r="BJ243" s="6">
        <v>0</v>
      </c>
      <c r="BK243" s="6"/>
      <c r="BL243" s="6">
        <v>0</v>
      </c>
      <c r="BM243" s="6">
        <v>0</v>
      </c>
      <c r="BN243" s="6">
        <v>0</v>
      </c>
      <c r="BO243" s="6">
        <v>0</v>
      </c>
      <c r="BP243" s="6">
        <v>0</v>
      </c>
      <c r="BQ243" s="6"/>
      <c r="BR243" s="6">
        <v>0</v>
      </c>
      <c r="BS243" s="6">
        <v>0</v>
      </c>
      <c r="BT243" s="6">
        <v>0</v>
      </c>
      <c r="BU243" s="6">
        <v>0</v>
      </c>
      <c r="BV243" s="6">
        <v>0</v>
      </c>
      <c r="BW243" s="6"/>
      <c r="BX243" s="6">
        <v>0</v>
      </c>
      <c r="BY243" s="6">
        <v>0</v>
      </c>
      <c r="BZ243" s="6">
        <v>0</v>
      </c>
      <c r="CA243" s="6">
        <v>0</v>
      </c>
      <c r="CB243" s="6">
        <v>0</v>
      </c>
      <c r="CC243" s="6"/>
      <c r="CD243" s="6">
        <v>0</v>
      </c>
      <c r="CE243" s="6">
        <v>0</v>
      </c>
      <c r="CF243" s="6">
        <v>0</v>
      </c>
      <c r="CG243" s="6">
        <v>0</v>
      </c>
      <c r="CH243" s="6">
        <v>0</v>
      </c>
      <c r="CI243" s="6"/>
      <c r="CJ243" s="6">
        <v>0</v>
      </c>
      <c r="CK243" s="6">
        <v>0</v>
      </c>
      <c r="CL243" s="6">
        <v>0</v>
      </c>
      <c r="CM243" s="6">
        <v>0</v>
      </c>
      <c r="CN243" s="6">
        <v>0</v>
      </c>
    </row>
    <row r="244" spans="2:94" ht="12.95" hidden="1" customHeight="1" outlineLevel="1" x14ac:dyDescent="0.25">
      <c r="B244" s="2" t="s">
        <v>40</v>
      </c>
      <c r="D244" s="573">
        <v>7.0000000000000007E-2</v>
      </c>
      <c r="E244" s="573">
        <v>7.0000000000000007E-2</v>
      </c>
      <c r="F244" s="573">
        <v>7.0000000000000007E-2</v>
      </c>
      <c r="G244" s="573">
        <v>7.0000000000000007E-2</v>
      </c>
      <c r="H244" s="573">
        <v>7.0000000000000007E-2</v>
      </c>
      <c r="I244" s="573"/>
      <c r="J244" s="573">
        <v>7.0000000000000007E-2</v>
      </c>
      <c r="K244" s="573">
        <v>7.0000000000000007E-2</v>
      </c>
      <c r="L244" s="573">
        <v>7.0000000000000007E-2</v>
      </c>
      <c r="M244" s="573">
        <v>7.0000000000000007E-2</v>
      </c>
      <c r="N244" s="573">
        <v>7.0000000000000007E-2</v>
      </c>
      <c r="O244" s="573"/>
      <c r="P244" s="573">
        <v>7.0000000000000007E-2</v>
      </c>
      <c r="Q244" s="573">
        <v>7.0000000000000007E-2</v>
      </c>
      <c r="R244" s="573">
        <v>7.0000000000000007E-2</v>
      </c>
      <c r="S244" s="573">
        <v>7.0000000000000007E-2</v>
      </c>
      <c r="T244" s="573">
        <v>7.0000000000000007E-2</v>
      </c>
      <c r="U244" s="573"/>
      <c r="V244" s="573">
        <v>7.0000000000000007E-2</v>
      </c>
      <c r="W244" s="573">
        <v>7.0000000000000007E-2</v>
      </c>
      <c r="X244" s="573">
        <v>7.0000000000000007E-2</v>
      </c>
      <c r="Y244" s="573">
        <v>7.0000000000000007E-2</v>
      </c>
      <c r="Z244" s="573">
        <v>7.0000000000000007E-2</v>
      </c>
      <c r="AA244" s="573"/>
      <c r="AB244" s="573">
        <v>7.0000000000000007E-2</v>
      </c>
      <c r="AC244" s="573">
        <v>7.0000000000000007E-2</v>
      </c>
      <c r="AD244" s="573">
        <v>7.0000000000000007E-2</v>
      </c>
      <c r="AE244" s="573">
        <v>7.0000000000000007E-2</v>
      </c>
      <c r="AF244" s="573">
        <v>7.0000000000000007E-2</v>
      </c>
      <c r="AG244" s="573"/>
      <c r="AH244" s="573">
        <v>7.0000000000000007E-2</v>
      </c>
      <c r="AI244" s="573">
        <v>7.0000000000000007E-2</v>
      </c>
      <c r="AJ244" s="573">
        <v>7.0000000000000007E-2</v>
      </c>
      <c r="AK244" s="573">
        <v>7.0000000000000007E-2</v>
      </c>
      <c r="AL244" s="573">
        <v>7.0000000000000007E-2</v>
      </c>
      <c r="AM244" s="573"/>
      <c r="AN244" s="573">
        <v>7.0000000000000007E-2</v>
      </c>
      <c r="AO244" s="573">
        <v>7.0000000000000007E-2</v>
      </c>
      <c r="AP244" s="573">
        <v>7.0000000000000007E-2</v>
      </c>
      <c r="AQ244" s="573">
        <v>7.0000000000000007E-2</v>
      </c>
      <c r="AR244" s="573">
        <v>7.0000000000000007E-2</v>
      </c>
      <c r="AS244" s="573"/>
      <c r="AT244" s="573">
        <v>7.0000000000000007E-2</v>
      </c>
      <c r="AU244" s="573">
        <v>7.0000000000000007E-2</v>
      </c>
      <c r="AV244" s="573">
        <v>7.0000000000000007E-2</v>
      </c>
      <c r="AW244" s="623">
        <v>7.0000000000000007E-2</v>
      </c>
      <c r="AX244" s="573">
        <v>7.0000000000000007E-2</v>
      </c>
      <c r="AY244" s="573"/>
      <c r="AZ244" s="573">
        <v>7.0000000000000007E-2</v>
      </c>
      <c r="BA244" s="573">
        <v>7.0000000000000007E-2</v>
      </c>
      <c r="BB244" s="573">
        <v>7.0000000000000007E-2</v>
      </c>
      <c r="BC244" s="573">
        <v>7.0000000000000007E-2</v>
      </c>
      <c r="BD244" s="573">
        <v>7.0000000000000007E-2</v>
      </c>
      <c r="BE244" s="573"/>
      <c r="BF244" s="573">
        <v>7.0000000000000007E-2</v>
      </c>
      <c r="BG244" s="573">
        <v>7.0000000000000007E-2</v>
      </c>
      <c r="BH244" s="573">
        <v>7.0000000000000007E-2</v>
      </c>
      <c r="BI244" s="573">
        <v>7.0000000000000007E-2</v>
      </c>
      <c r="BJ244" s="573">
        <v>7.0000000000000007E-2</v>
      </c>
      <c r="BK244" s="573"/>
      <c r="BL244" s="573">
        <v>7.0000000000000007E-2</v>
      </c>
      <c r="BM244" s="573">
        <v>7.0000000000000007E-2</v>
      </c>
      <c r="BN244" s="573">
        <v>7.0000000000000007E-2</v>
      </c>
      <c r="BO244" s="573">
        <v>7.0000000000000007E-2</v>
      </c>
      <c r="BP244" s="573">
        <v>7.0000000000000007E-2</v>
      </c>
      <c r="BQ244" s="573"/>
      <c r="BR244" s="573">
        <v>7.0000000000000007E-2</v>
      </c>
      <c r="BS244" s="573">
        <v>7.0000000000000007E-2</v>
      </c>
      <c r="BT244" s="573">
        <v>7.0000000000000007E-2</v>
      </c>
      <c r="BU244" s="573">
        <v>7.0000000000000007E-2</v>
      </c>
      <c r="BV244" s="573">
        <v>7.0000000000000007E-2</v>
      </c>
      <c r="BW244" s="573"/>
      <c r="BX244" s="573">
        <v>7.0000000000000007E-2</v>
      </c>
      <c r="BY244" s="573">
        <v>7.0000000000000007E-2</v>
      </c>
      <c r="BZ244" s="573">
        <v>7.0000000000000007E-2</v>
      </c>
      <c r="CA244" s="573">
        <v>7.0000000000000007E-2</v>
      </c>
      <c r="CB244" s="573">
        <v>7.0000000000000007E-2</v>
      </c>
      <c r="CC244" s="573"/>
      <c r="CD244" s="573">
        <v>7.0000000000000007E-2</v>
      </c>
      <c r="CE244" s="573">
        <v>7.0000000000000007E-2</v>
      </c>
      <c r="CF244" s="573">
        <v>7.0000000000000007E-2</v>
      </c>
      <c r="CG244" s="573">
        <v>7.0000000000000007E-2</v>
      </c>
      <c r="CH244" s="573">
        <v>7.0000000000000007E-2</v>
      </c>
      <c r="CI244" s="573"/>
      <c r="CJ244" s="573">
        <v>7.0000000000000007E-2</v>
      </c>
      <c r="CK244" s="573">
        <v>7.0000000000000007E-2</v>
      </c>
      <c r="CL244" s="573">
        <v>7.0000000000000007E-2</v>
      </c>
      <c r="CM244" s="573">
        <v>7.0000000000000007E-2</v>
      </c>
      <c r="CN244" s="573">
        <v>7.0000000000000007E-2</v>
      </c>
      <c r="CO244" s="573"/>
      <c r="CP244" s="573"/>
    </row>
    <row r="245" spans="2:94" ht="12.95" hidden="1" customHeight="1" outlineLevel="1" x14ac:dyDescent="0.25">
      <c r="B245" s="2" t="s">
        <v>584</v>
      </c>
      <c r="D245" s="2">
        <v>996</v>
      </c>
      <c r="E245" s="2">
        <v>996</v>
      </c>
      <c r="F245" s="2">
        <v>996</v>
      </c>
      <c r="G245" s="2">
        <v>997</v>
      </c>
      <c r="H245" s="2">
        <v>997</v>
      </c>
      <c r="J245" s="2">
        <v>997</v>
      </c>
      <c r="K245" s="2">
        <v>997</v>
      </c>
      <c r="L245" s="2">
        <v>997</v>
      </c>
      <c r="M245" s="2">
        <v>997</v>
      </c>
      <c r="N245" s="2">
        <v>997</v>
      </c>
      <c r="P245" s="2">
        <v>997</v>
      </c>
      <c r="Q245" s="2">
        <v>997</v>
      </c>
      <c r="R245" s="2">
        <v>997</v>
      </c>
      <c r="S245" s="2">
        <v>998</v>
      </c>
      <c r="T245" s="2">
        <v>998</v>
      </c>
      <c r="V245" s="2">
        <v>998</v>
      </c>
      <c r="W245" s="2">
        <v>998</v>
      </c>
      <c r="X245" s="2">
        <v>998</v>
      </c>
      <c r="Y245" s="2">
        <v>998</v>
      </c>
      <c r="Z245" s="2">
        <v>998</v>
      </c>
      <c r="AB245" s="6">
        <v>998</v>
      </c>
      <c r="AC245" s="6">
        <v>998</v>
      </c>
      <c r="AD245" s="6">
        <v>998</v>
      </c>
      <c r="AE245" s="6">
        <v>999</v>
      </c>
      <c r="AF245" s="6">
        <v>999</v>
      </c>
      <c r="AG245" s="6"/>
      <c r="AH245" s="6">
        <v>999</v>
      </c>
      <c r="AI245" s="6">
        <v>999</v>
      </c>
      <c r="AJ245" s="6">
        <v>999</v>
      </c>
      <c r="AK245" s="6">
        <v>999</v>
      </c>
      <c r="AL245" s="6">
        <v>999</v>
      </c>
      <c r="AM245" s="6"/>
      <c r="AN245" s="6">
        <v>999</v>
      </c>
      <c r="AO245" s="243">
        <v>999</v>
      </c>
      <c r="AP245" s="6">
        <v>999</v>
      </c>
      <c r="AQ245" s="243">
        <v>0</v>
      </c>
      <c r="AR245" s="243">
        <v>0</v>
      </c>
      <c r="AS245" s="6"/>
      <c r="AT245" s="6">
        <v>0</v>
      </c>
      <c r="AU245" s="243">
        <v>0</v>
      </c>
      <c r="AV245" s="243">
        <v>0</v>
      </c>
      <c r="AW245" s="164">
        <v>0</v>
      </c>
      <c r="AX245" s="6">
        <v>0</v>
      </c>
      <c r="AY245" s="6"/>
      <c r="AZ245" s="6">
        <v>0</v>
      </c>
      <c r="BA245" s="6">
        <v>0</v>
      </c>
      <c r="BB245" s="6">
        <v>0</v>
      </c>
      <c r="BC245" s="6">
        <v>0</v>
      </c>
      <c r="BD245" s="6">
        <v>0</v>
      </c>
      <c r="BE245" s="6"/>
      <c r="BF245" s="6">
        <v>0</v>
      </c>
      <c r="BG245" s="6">
        <v>0</v>
      </c>
      <c r="BH245" s="6">
        <v>0</v>
      </c>
      <c r="BI245" s="6">
        <v>0</v>
      </c>
      <c r="BJ245" s="6">
        <v>0</v>
      </c>
      <c r="BK245" s="6"/>
      <c r="BL245" s="6">
        <v>0</v>
      </c>
      <c r="BM245" s="6">
        <v>0</v>
      </c>
      <c r="BN245" s="6">
        <v>0</v>
      </c>
      <c r="BO245" s="6">
        <v>0</v>
      </c>
      <c r="BP245" s="6">
        <v>0</v>
      </c>
      <c r="BQ245" s="6"/>
      <c r="BR245" s="6">
        <v>0</v>
      </c>
      <c r="BS245" s="6">
        <v>0</v>
      </c>
      <c r="BT245" s="6">
        <v>0</v>
      </c>
      <c r="BU245" s="6">
        <v>0</v>
      </c>
      <c r="BV245" s="6">
        <v>0</v>
      </c>
      <c r="BW245" s="6"/>
      <c r="BX245" s="6">
        <v>0</v>
      </c>
      <c r="BY245" s="6">
        <v>0</v>
      </c>
      <c r="BZ245" s="6">
        <v>0</v>
      </c>
      <c r="CA245" s="6">
        <v>0</v>
      </c>
      <c r="CB245" s="6">
        <v>0</v>
      </c>
      <c r="CC245" s="6"/>
      <c r="CD245" s="6">
        <v>0</v>
      </c>
      <c r="CE245" s="6">
        <v>0</v>
      </c>
      <c r="CF245" s="6">
        <v>0</v>
      </c>
      <c r="CG245" s="6">
        <v>0</v>
      </c>
      <c r="CH245" s="6">
        <v>0</v>
      </c>
      <c r="CI245" s="6"/>
      <c r="CJ245" s="6">
        <v>0</v>
      </c>
      <c r="CK245" s="6">
        <v>0</v>
      </c>
      <c r="CL245" s="6">
        <v>0</v>
      </c>
      <c r="CM245" s="6">
        <v>0</v>
      </c>
      <c r="CN245" s="6">
        <v>0</v>
      </c>
    </row>
    <row r="246" spans="2:94" ht="12.95" hidden="1" customHeight="1" outlineLevel="1" x14ac:dyDescent="0.25">
      <c r="B246" s="2" t="s">
        <v>40</v>
      </c>
      <c r="D246" s="573">
        <f>LEFT($B245, SEARCH("%",$B245,1)-1)/100</f>
        <v>3.4000000000000002E-2</v>
      </c>
      <c r="E246" s="573">
        <f t="shared" ref="E246" si="3135">LEFT($B245, SEARCH("%",$B245,1)-1)/100</f>
        <v>3.4000000000000002E-2</v>
      </c>
      <c r="F246" s="573">
        <f t="shared" ref="F246" si="3136">LEFT($B245, SEARCH("%",$B245,1)-1)/100</f>
        <v>3.4000000000000002E-2</v>
      </c>
      <c r="G246" s="573">
        <f t="shared" ref="G246" si="3137">LEFT($B245, SEARCH("%",$B245,1)-1)/100</f>
        <v>3.4000000000000002E-2</v>
      </c>
      <c r="H246" s="573">
        <f t="shared" ref="H246" si="3138">LEFT($B245, SEARCH("%",$B245,1)-1)/100</f>
        <v>3.4000000000000002E-2</v>
      </c>
      <c r="I246" s="573"/>
      <c r="J246" s="573">
        <f t="shared" ref="J246" si="3139">LEFT($B245, SEARCH("%",$B245,1)-1)/100</f>
        <v>3.4000000000000002E-2</v>
      </c>
      <c r="K246" s="573">
        <f t="shared" ref="K246" si="3140">LEFT($B245, SEARCH("%",$B245,1)-1)/100</f>
        <v>3.4000000000000002E-2</v>
      </c>
      <c r="L246" s="573">
        <f t="shared" ref="L246" si="3141">LEFT($B245, SEARCH("%",$B245,1)-1)/100</f>
        <v>3.4000000000000002E-2</v>
      </c>
      <c r="M246" s="573">
        <f t="shared" ref="M246" si="3142">LEFT($B245, SEARCH("%",$B245,1)-1)/100</f>
        <v>3.4000000000000002E-2</v>
      </c>
      <c r="N246" s="573">
        <f t="shared" ref="N246" si="3143">LEFT($B245, SEARCH("%",$B245,1)-1)/100</f>
        <v>3.4000000000000002E-2</v>
      </c>
      <c r="O246" s="573"/>
      <c r="P246" s="573">
        <f t="shared" ref="P246" si="3144">LEFT($B245, SEARCH("%",$B245,1)-1)/100</f>
        <v>3.4000000000000002E-2</v>
      </c>
      <c r="Q246" s="573">
        <f t="shared" ref="Q246" si="3145">LEFT($B245, SEARCH("%",$B245,1)-1)/100</f>
        <v>3.4000000000000002E-2</v>
      </c>
      <c r="R246" s="573">
        <f t="shared" ref="R246" si="3146">LEFT($B245, SEARCH("%",$B245,1)-1)/100</f>
        <v>3.4000000000000002E-2</v>
      </c>
      <c r="S246" s="573">
        <f t="shared" ref="S246" si="3147">LEFT($B245, SEARCH("%",$B245,1)-1)/100</f>
        <v>3.4000000000000002E-2</v>
      </c>
      <c r="T246" s="573">
        <f t="shared" ref="T246" si="3148">LEFT($B245, SEARCH("%",$B245,1)-1)/100</f>
        <v>3.4000000000000002E-2</v>
      </c>
      <c r="U246" s="573"/>
      <c r="V246" s="573">
        <f t="shared" ref="V246" si="3149">LEFT($B245, SEARCH("%",$B245,1)-1)/100</f>
        <v>3.4000000000000002E-2</v>
      </c>
      <c r="W246" s="573">
        <f t="shared" ref="W246" si="3150">LEFT($B245, SEARCH("%",$B245,1)-1)/100</f>
        <v>3.4000000000000002E-2</v>
      </c>
      <c r="X246" s="573">
        <f t="shared" ref="X246" si="3151">LEFT($B245, SEARCH("%",$B245,1)-1)/100</f>
        <v>3.4000000000000002E-2</v>
      </c>
      <c r="Y246" s="573">
        <f t="shared" ref="Y246" si="3152">LEFT($B245, SEARCH("%",$B245,1)-1)/100</f>
        <v>3.4000000000000002E-2</v>
      </c>
      <c r="Z246" s="573">
        <f t="shared" ref="Z246" si="3153">LEFT($B245, SEARCH("%",$B245,1)-1)/100</f>
        <v>3.4000000000000002E-2</v>
      </c>
      <c r="AA246" s="573"/>
      <c r="AB246" s="573">
        <f t="shared" ref="AB246" si="3154">LEFT($B245, SEARCH("%",$B245,1)-1)/100</f>
        <v>3.4000000000000002E-2</v>
      </c>
      <c r="AC246" s="573">
        <f t="shared" ref="AC246" si="3155">LEFT($B245, SEARCH("%",$B245,1)-1)/100</f>
        <v>3.4000000000000002E-2</v>
      </c>
      <c r="AD246" s="573">
        <f t="shared" ref="AD246" si="3156">LEFT($B245, SEARCH("%",$B245,1)-1)/100</f>
        <v>3.4000000000000002E-2</v>
      </c>
      <c r="AE246" s="573">
        <f t="shared" ref="AE246" si="3157">LEFT($B245, SEARCH("%",$B245,1)-1)/100</f>
        <v>3.4000000000000002E-2</v>
      </c>
      <c r="AF246" s="573">
        <f t="shared" ref="AF246" si="3158">LEFT($B245, SEARCH("%",$B245,1)-1)/100</f>
        <v>3.4000000000000002E-2</v>
      </c>
      <c r="AG246" s="573"/>
      <c r="AH246" s="573">
        <f t="shared" ref="AH246" si="3159">LEFT($B245, SEARCH("%",$B245,1)-1)/100</f>
        <v>3.4000000000000002E-2</v>
      </c>
      <c r="AI246" s="573">
        <f t="shared" ref="AI246" si="3160">LEFT($B245, SEARCH("%",$B245,1)-1)/100</f>
        <v>3.4000000000000002E-2</v>
      </c>
      <c r="AJ246" s="573">
        <f t="shared" ref="AJ246" si="3161">LEFT($B245, SEARCH("%",$B245,1)-1)/100</f>
        <v>3.4000000000000002E-2</v>
      </c>
      <c r="AK246" s="573">
        <f t="shared" ref="AK246" si="3162">LEFT($B245, SEARCH("%",$B245,1)-1)/100</f>
        <v>3.4000000000000002E-2</v>
      </c>
      <c r="AL246" s="573">
        <f t="shared" ref="AL246" si="3163">LEFT($B245, SEARCH("%",$B245,1)-1)/100</f>
        <v>3.4000000000000002E-2</v>
      </c>
      <c r="AM246" s="573"/>
      <c r="AN246" s="573">
        <f t="shared" ref="AN246" si="3164">LEFT($B245, SEARCH("%",$B245,1)-1)/100</f>
        <v>3.4000000000000002E-2</v>
      </c>
      <c r="AO246" s="573">
        <f t="shared" ref="AO246" si="3165">LEFT($B245, SEARCH("%",$B245,1)-1)/100</f>
        <v>3.4000000000000002E-2</v>
      </c>
      <c r="AP246" s="573">
        <f t="shared" ref="AP246" si="3166">LEFT($B245, SEARCH("%",$B245,1)-1)/100</f>
        <v>3.4000000000000002E-2</v>
      </c>
      <c r="AQ246" s="573">
        <f t="shared" ref="AQ246" si="3167">LEFT($B245, SEARCH("%",$B245,1)-1)/100</f>
        <v>3.4000000000000002E-2</v>
      </c>
      <c r="AR246" s="573">
        <f t="shared" ref="AR246" si="3168">LEFT($B245, SEARCH("%",$B245,1)-1)/100</f>
        <v>3.4000000000000002E-2</v>
      </c>
      <c r="AS246" s="573"/>
      <c r="AT246" s="573">
        <f t="shared" ref="AT246" si="3169">LEFT($B245, SEARCH("%",$B245,1)-1)/100</f>
        <v>3.4000000000000002E-2</v>
      </c>
      <c r="AU246" s="573">
        <f t="shared" ref="AU246" si="3170">LEFT($B245, SEARCH("%",$B245,1)-1)/100</f>
        <v>3.4000000000000002E-2</v>
      </c>
      <c r="AV246" s="573">
        <f t="shared" ref="AV246" si="3171">LEFT($B245, SEARCH("%",$B245,1)-1)/100</f>
        <v>3.4000000000000002E-2</v>
      </c>
      <c r="AW246" s="623">
        <f t="shared" ref="AW246" si="3172">LEFT($B245, SEARCH("%",$B245,1)-1)/100</f>
        <v>3.4000000000000002E-2</v>
      </c>
      <c r="AX246" s="573">
        <f t="shared" ref="AX246" si="3173">LEFT($B245, SEARCH("%",$B245,1)-1)/100</f>
        <v>3.4000000000000002E-2</v>
      </c>
      <c r="AY246" s="573"/>
      <c r="AZ246" s="573">
        <f t="shared" ref="AZ246" si="3174">LEFT($B245, SEARCH("%",$B245,1)-1)/100</f>
        <v>3.4000000000000002E-2</v>
      </c>
      <c r="BA246" s="573">
        <f t="shared" ref="BA246" si="3175">LEFT($B245, SEARCH("%",$B245,1)-1)/100</f>
        <v>3.4000000000000002E-2</v>
      </c>
      <c r="BB246" s="573">
        <f t="shared" ref="BB246" si="3176">LEFT($B245, SEARCH("%",$B245,1)-1)/100</f>
        <v>3.4000000000000002E-2</v>
      </c>
      <c r="BC246" s="573">
        <f t="shared" ref="BC246" si="3177">LEFT($B245, SEARCH("%",$B245,1)-1)/100</f>
        <v>3.4000000000000002E-2</v>
      </c>
      <c r="BD246" s="573">
        <f t="shared" ref="BD246" si="3178">LEFT($B245, SEARCH("%",$B245,1)-1)/100</f>
        <v>3.4000000000000002E-2</v>
      </c>
      <c r="BE246" s="573"/>
      <c r="BF246" s="573">
        <f t="shared" ref="BF246" si="3179">LEFT($B245, SEARCH("%",$B245,1)-1)/100</f>
        <v>3.4000000000000002E-2</v>
      </c>
      <c r="BG246" s="573">
        <f t="shared" ref="BG246" si="3180">LEFT($B245, SEARCH("%",$B245,1)-1)/100</f>
        <v>3.4000000000000002E-2</v>
      </c>
      <c r="BH246" s="573">
        <f t="shared" ref="BH246" si="3181">LEFT($B245, SEARCH("%",$B245,1)-1)/100</f>
        <v>3.4000000000000002E-2</v>
      </c>
      <c r="BI246" s="573">
        <f t="shared" ref="BI246" si="3182">LEFT($B245, SEARCH("%",$B245,1)-1)/100</f>
        <v>3.4000000000000002E-2</v>
      </c>
      <c r="BJ246" s="573">
        <f t="shared" ref="BJ246" si="3183">LEFT($B245, SEARCH("%",$B245,1)-1)/100</f>
        <v>3.4000000000000002E-2</v>
      </c>
      <c r="BK246" s="573"/>
      <c r="BL246" s="573">
        <f t="shared" ref="BL246" si="3184">LEFT($B245, SEARCH("%",$B245,1)-1)/100</f>
        <v>3.4000000000000002E-2</v>
      </c>
      <c r="BM246" s="573">
        <f t="shared" ref="BM246" si="3185">LEFT($B245, SEARCH("%",$B245,1)-1)/100</f>
        <v>3.4000000000000002E-2</v>
      </c>
      <c r="BN246" s="573">
        <f t="shared" ref="BN246" si="3186">LEFT($B245, SEARCH("%",$B245,1)-1)/100</f>
        <v>3.4000000000000002E-2</v>
      </c>
      <c r="BO246" s="573">
        <f t="shared" ref="BO246" si="3187">LEFT($B245, SEARCH("%",$B245,1)-1)/100</f>
        <v>3.4000000000000002E-2</v>
      </c>
      <c r="BP246" s="573">
        <f t="shared" ref="BP246" si="3188">LEFT($B245, SEARCH("%",$B245,1)-1)/100</f>
        <v>3.4000000000000002E-2</v>
      </c>
      <c r="BQ246" s="573"/>
      <c r="BR246" s="573">
        <f t="shared" ref="BR246" si="3189">LEFT($B245, SEARCH("%",$B245,1)-1)/100</f>
        <v>3.4000000000000002E-2</v>
      </c>
      <c r="BS246" s="573">
        <f t="shared" ref="BS246" si="3190">LEFT($B245, SEARCH("%",$B245,1)-1)/100</f>
        <v>3.4000000000000002E-2</v>
      </c>
      <c r="BT246" s="573">
        <f t="shared" ref="BT246" si="3191">LEFT($B245, SEARCH("%",$B245,1)-1)/100</f>
        <v>3.4000000000000002E-2</v>
      </c>
      <c r="BU246" s="573">
        <f t="shared" ref="BU246" si="3192">LEFT($B245, SEARCH("%",$B245,1)-1)/100</f>
        <v>3.4000000000000002E-2</v>
      </c>
      <c r="BV246" s="573">
        <f t="shared" ref="BV246" si="3193">LEFT($B245, SEARCH("%",$B245,1)-1)/100</f>
        <v>3.4000000000000002E-2</v>
      </c>
      <c r="BW246" s="573"/>
      <c r="BX246" s="573">
        <f t="shared" ref="BX246" si="3194">LEFT($B245, SEARCH("%",$B245,1)-1)/100</f>
        <v>3.4000000000000002E-2</v>
      </c>
      <c r="BY246" s="573">
        <f t="shared" ref="BY246" si="3195">LEFT($B245, SEARCH("%",$B245,1)-1)/100</f>
        <v>3.4000000000000002E-2</v>
      </c>
      <c r="BZ246" s="573">
        <f t="shared" ref="BZ246" si="3196">LEFT($B245, SEARCH("%",$B245,1)-1)/100</f>
        <v>3.4000000000000002E-2</v>
      </c>
      <c r="CA246" s="573">
        <f t="shared" ref="CA246" si="3197">LEFT($B245, SEARCH("%",$B245,1)-1)/100</f>
        <v>3.4000000000000002E-2</v>
      </c>
      <c r="CB246" s="573">
        <f t="shared" ref="CB246" si="3198">LEFT($B245, SEARCH("%",$B245,1)-1)/100</f>
        <v>3.4000000000000002E-2</v>
      </c>
      <c r="CC246" s="573"/>
      <c r="CD246" s="573">
        <f t="shared" ref="CD246" si="3199">LEFT($B245, SEARCH("%",$B245,1)-1)/100</f>
        <v>3.4000000000000002E-2</v>
      </c>
      <c r="CE246" s="573">
        <f t="shared" ref="CE246" si="3200">LEFT($B245, SEARCH("%",$B245,1)-1)/100</f>
        <v>3.4000000000000002E-2</v>
      </c>
      <c r="CF246" s="573">
        <f t="shared" ref="CF246" si="3201">LEFT($B245, SEARCH("%",$B245,1)-1)/100</f>
        <v>3.4000000000000002E-2</v>
      </c>
      <c r="CG246" s="573">
        <f t="shared" ref="CG246" si="3202">LEFT($B245, SEARCH("%",$B245,1)-1)/100</f>
        <v>3.4000000000000002E-2</v>
      </c>
      <c r="CH246" s="573">
        <f t="shared" ref="CH246" si="3203">LEFT($B245, SEARCH("%",$B245,1)-1)/100</f>
        <v>3.4000000000000002E-2</v>
      </c>
      <c r="CI246" s="573"/>
      <c r="CJ246" s="573">
        <f t="shared" ref="CJ246" si="3204">LEFT($B245, SEARCH("%",$B245,1)-1)/100</f>
        <v>3.4000000000000002E-2</v>
      </c>
      <c r="CK246" s="573">
        <f t="shared" ref="CK246" si="3205">LEFT($B245, SEARCH("%",$B245,1)-1)/100</f>
        <v>3.4000000000000002E-2</v>
      </c>
      <c r="CL246" s="573">
        <f t="shared" ref="CL246" si="3206">LEFT($B245, SEARCH("%",$B245,1)-1)/100</f>
        <v>3.4000000000000002E-2</v>
      </c>
      <c r="CM246" s="573">
        <f t="shared" ref="CM246" si="3207">LEFT($B245, SEARCH("%",$B245,1)-1)/100</f>
        <v>3.4000000000000002E-2</v>
      </c>
      <c r="CN246" s="573">
        <f t="shared" ref="CN246" si="3208">LEFT($B245, SEARCH("%",$B245,1)-1)/100</f>
        <v>3.4000000000000002E-2</v>
      </c>
      <c r="CO246" s="573"/>
      <c r="CP246" s="573"/>
    </row>
    <row r="247" spans="2:94" ht="12.95" hidden="1" customHeight="1" outlineLevel="1" x14ac:dyDescent="0.25">
      <c r="B247" s="2" t="s">
        <v>585</v>
      </c>
      <c r="D247" s="2">
        <v>493</v>
      </c>
      <c r="E247" s="2">
        <v>493</v>
      </c>
      <c r="F247" s="2">
        <v>493</v>
      </c>
      <c r="G247" s="2">
        <v>493</v>
      </c>
      <c r="H247" s="2">
        <v>493</v>
      </c>
      <c r="J247" s="2">
        <v>493</v>
      </c>
      <c r="K247" s="2">
        <v>493</v>
      </c>
      <c r="L247" s="2">
        <v>493</v>
      </c>
      <c r="M247" s="2">
        <v>493</v>
      </c>
      <c r="N247" s="2">
        <v>493</v>
      </c>
      <c r="P247" s="2">
        <v>493</v>
      </c>
      <c r="Q247" s="2">
        <v>493</v>
      </c>
      <c r="R247" s="2">
        <v>493</v>
      </c>
      <c r="S247" s="2">
        <v>493</v>
      </c>
      <c r="T247" s="2">
        <v>493</v>
      </c>
      <c r="V247" s="2">
        <v>493</v>
      </c>
      <c r="W247" s="2">
        <v>493</v>
      </c>
      <c r="X247" s="2">
        <v>493</v>
      </c>
      <c r="Y247" s="2">
        <v>493</v>
      </c>
      <c r="Z247" s="2">
        <v>493</v>
      </c>
      <c r="AB247" s="6">
        <v>493</v>
      </c>
      <c r="AC247" s="6">
        <v>493</v>
      </c>
      <c r="AD247" s="6">
        <v>493</v>
      </c>
      <c r="AE247" s="6">
        <v>493</v>
      </c>
      <c r="AF247" s="6">
        <v>493</v>
      </c>
      <c r="AG247" s="6"/>
      <c r="AH247" s="6">
        <v>493</v>
      </c>
      <c r="AI247" s="6">
        <v>493</v>
      </c>
      <c r="AJ247" s="6">
        <v>493</v>
      </c>
      <c r="AK247" s="6">
        <v>493</v>
      </c>
      <c r="AL247" s="6">
        <v>493</v>
      </c>
      <c r="AM247" s="6"/>
      <c r="AN247" s="6">
        <v>493</v>
      </c>
      <c r="AO247" s="243">
        <v>493</v>
      </c>
      <c r="AP247" s="6">
        <v>493</v>
      </c>
      <c r="AQ247" s="243">
        <v>494</v>
      </c>
      <c r="AR247" s="243">
        <v>494</v>
      </c>
      <c r="AS247" s="6"/>
      <c r="AT247" s="6">
        <v>494</v>
      </c>
      <c r="AU247" s="243">
        <v>494</v>
      </c>
      <c r="AV247" s="243">
        <v>494</v>
      </c>
      <c r="AW247" s="164">
        <v>494</v>
      </c>
      <c r="AX247" s="6">
        <v>494</v>
      </c>
      <c r="AY247" s="6"/>
      <c r="AZ247" s="6">
        <v>494</v>
      </c>
      <c r="BA247" s="6">
        <v>494</v>
      </c>
      <c r="BB247" s="6">
        <v>494</v>
      </c>
      <c r="BC247" s="6">
        <v>494</v>
      </c>
      <c r="BD247" s="6">
        <v>494</v>
      </c>
      <c r="BE247" s="6"/>
      <c r="BF247" s="6">
        <v>494</v>
      </c>
      <c r="BG247" s="6">
        <v>494</v>
      </c>
      <c r="BH247" s="6">
        <v>494</v>
      </c>
      <c r="BI247" s="40">
        <v>494</v>
      </c>
      <c r="BJ247" s="6">
        <v>494</v>
      </c>
      <c r="BK247" s="6"/>
      <c r="BL247" s="6">
        <v>494</v>
      </c>
      <c r="BM247" s="6">
        <v>494</v>
      </c>
      <c r="BN247" s="6">
        <v>494</v>
      </c>
      <c r="BO247" s="40">
        <v>494</v>
      </c>
      <c r="BP247" s="6">
        <v>494</v>
      </c>
      <c r="BQ247" s="6"/>
      <c r="BR247" s="6">
        <v>494</v>
      </c>
      <c r="BS247" s="6">
        <v>494</v>
      </c>
      <c r="BT247" s="6">
        <v>494</v>
      </c>
      <c r="BU247" s="40">
        <v>494</v>
      </c>
      <c r="BV247" s="6">
        <v>494</v>
      </c>
      <c r="BW247" s="6"/>
      <c r="BX247" s="6">
        <v>494</v>
      </c>
      <c r="BY247" s="6">
        <v>494</v>
      </c>
      <c r="BZ247" s="6">
        <v>494</v>
      </c>
      <c r="CA247" s="40">
        <v>494</v>
      </c>
      <c r="CB247" s="6">
        <v>494</v>
      </c>
      <c r="CC247" s="6"/>
      <c r="CD247" s="6">
        <v>494</v>
      </c>
      <c r="CE247" s="6">
        <v>494</v>
      </c>
      <c r="CF247" s="6">
        <v>494</v>
      </c>
      <c r="CG247" s="40">
        <v>494</v>
      </c>
      <c r="CH247" s="6">
        <v>494</v>
      </c>
      <c r="CI247" s="6"/>
      <c r="CJ247" s="6">
        <v>494</v>
      </c>
      <c r="CK247" s="6">
        <v>494</v>
      </c>
      <c r="CL247" s="6">
        <v>494</v>
      </c>
      <c r="CM247" s="40">
        <v>494</v>
      </c>
      <c r="CN247" s="6">
        <v>494</v>
      </c>
    </row>
    <row r="248" spans="2:94" ht="12.95" hidden="1" customHeight="1" outlineLevel="1" x14ac:dyDescent="0.25">
      <c r="B248" s="2" t="s">
        <v>40</v>
      </c>
      <c r="D248" s="573">
        <f>LEFT($B247, SEARCH("%",$B247,1)-1)/100</f>
        <v>4.2999999999999997E-2</v>
      </c>
      <c r="E248" s="573">
        <f t="shared" ref="E248" si="3209">LEFT($B247, SEARCH("%",$B247,1)-1)/100</f>
        <v>4.2999999999999997E-2</v>
      </c>
      <c r="F248" s="573">
        <f t="shared" ref="F248" si="3210">LEFT($B247, SEARCH("%",$B247,1)-1)/100</f>
        <v>4.2999999999999997E-2</v>
      </c>
      <c r="G248" s="573">
        <f t="shared" ref="G248" si="3211">LEFT($B247, SEARCH("%",$B247,1)-1)/100</f>
        <v>4.2999999999999997E-2</v>
      </c>
      <c r="H248" s="573">
        <f t="shared" ref="H248" si="3212">LEFT($B247, SEARCH("%",$B247,1)-1)/100</f>
        <v>4.2999999999999997E-2</v>
      </c>
      <c r="I248" s="573"/>
      <c r="J248" s="573">
        <f t="shared" ref="J248" si="3213">LEFT($B247, SEARCH("%",$B247,1)-1)/100</f>
        <v>4.2999999999999997E-2</v>
      </c>
      <c r="K248" s="573">
        <f t="shared" ref="K248" si="3214">LEFT($B247, SEARCH("%",$B247,1)-1)/100</f>
        <v>4.2999999999999997E-2</v>
      </c>
      <c r="L248" s="573">
        <f t="shared" ref="L248" si="3215">LEFT($B247, SEARCH("%",$B247,1)-1)/100</f>
        <v>4.2999999999999997E-2</v>
      </c>
      <c r="M248" s="573">
        <f t="shared" ref="M248" si="3216">LEFT($B247, SEARCH("%",$B247,1)-1)/100</f>
        <v>4.2999999999999997E-2</v>
      </c>
      <c r="N248" s="573">
        <f t="shared" ref="N248" si="3217">LEFT($B247, SEARCH("%",$B247,1)-1)/100</f>
        <v>4.2999999999999997E-2</v>
      </c>
      <c r="O248" s="573"/>
      <c r="P248" s="573">
        <f t="shared" ref="P248" si="3218">LEFT($B247, SEARCH("%",$B247,1)-1)/100</f>
        <v>4.2999999999999997E-2</v>
      </c>
      <c r="Q248" s="573">
        <f t="shared" ref="Q248" si="3219">LEFT($B247, SEARCH("%",$B247,1)-1)/100</f>
        <v>4.2999999999999997E-2</v>
      </c>
      <c r="R248" s="573">
        <f t="shared" ref="R248" si="3220">LEFT($B247, SEARCH("%",$B247,1)-1)/100</f>
        <v>4.2999999999999997E-2</v>
      </c>
      <c r="S248" s="573">
        <f t="shared" ref="S248" si="3221">LEFT($B247, SEARCH("%",$B247,1)-1)/100</f>
        <v>4.2999999999999997E-2</v>
      </c>
      <c r="T248" s="573">
        <f t="shared" ref="T248" si="3222">LEFT($B247, SEARCH("%",$B247,1)-1)/100</f>
        <v>4.2999999999999997E-2</v>
      </c>
      <c r="U248" s="573"/>
      <c r="V248" s="573">
        <f t="shared" ref="V248" si="3223">LEFT($B247, SEARCH("%",$B247,1)-1)/100</f>
        <v>4.2999999999999997E-2</v>
      </c>
      <c r="W248" s="573">
        <f t="shared" ref="W248" si="3224">LEFT($B247, SEARCH("%",$B247,1)-1)/100</f>
        <v>4.2999999999999997E-2</v>
      </c>
      <c r="X248" s="573">
        <f t="shared" ref="X248" si="3225">LEFT($B247, SEARCH("%",$B247,1)-1)/100</f>
        <v>4.2999999999999997E-2</v>
      </c>
      <c r="Y248" s="573">
        <f t="shared" ref="Y248" si="3226">LEFT($B247, SEARCH("%",$B247,1)-1)/100</f>
        <v>4.2999999999999997E-2</v>
      </c>
      <c r="Z248" s="573">
        <f t="shared" ref="Z248" si="3227">LEFT($B247, SEARCH("%",$B247,1)-1)/100</f>
        <v>4.2999999999999997E-2</v>
      </c>
      <c r="AA248" s="573"/>
      <c r="AB248" s="573">
        <f t="shared" ref="AB248" si="3228">LEFT($B247, SEARCH("%",$B247,1)-1)/100</f>
        <v>4.2999999999999997E-2</v>
      </c>
      <c r="AC248" s="573">
        <f t="shared" ref="AC248" si="3229">LEFT($B247, SEARCH("%",$B247,1)-1)/100</f>
        <v>4.2999999999999997E-2</v>
      </c>
      <c r="AD248" s="573">
        <f t="shared" ref="AD248" si="3230">LEFT($B247, SEARCH("%",$B247,1)-1)/100</f>
        <v>4.2999999999999997E-2</v>
      </c>
      <c r="AE248" s="573">
        <f t="shared" ref="AE248" si="3231">LEFT($B247, SEARCH("%",$B247,1)-1)/100</f>
        <v>4.2999999999999997E-2</v>
      </c>
      <c r="AF248" s="573">
        <f t="shared" ref="AF248" si="3232">LEFT($B247, SEARCH("%",$B247,1)-1)/100</f>
        <v>4.2999999999999997E-2</v>
      </c>
      <c r="AG248" s="573"/>
      <c r="AH248" s="573">
        <f t="shared" ref="AH248" si="3233">LEFT($B247, SEARCH("%",$B247,1)-1)/100</f>
        <v>4.2999999999999997E-2</v>
      </c>
      <c r="AI248" s="573">
        <f t="shared" ref="AI248" si="3234">LEFT($B247, SEARCH("%",$B247,1)-1)/100</f>
        <v>4.2999999999999997E-2</v>
      </c>
      <c r="AJ248" s="573">
        <f t="shared" ref="AJ248" si="3235">LEFT($B247, SEARCH("%",$B247,1)-1)/100</f>
        <v>4.2999999999999997E-2</v>
      </c>
      <c r="AK248" s="573">
        <f t="shared" ref="AK248" si="3236">LEFT($B247, SEARCH("%",$B247,1)-1)/100</f>
        <v>4.2999999999999997E-2</v>
      </c>
      <c r="AL248" s="573">
        <f t="shared" ref="AL248" si="3237">LEFT($B247, SEARCH("%",$B247,1)-1)/100</f>
        <v>4.2999999999999997E-2</v>
      </c>
      <c r="AM248" s="573"/>
      <c r="AN248" s="573">
        <f t="shared" ref="AN248" si="3238">LEFT($B247, SEARCH("%",$B247,1)-1)/100</f>
        <v>4.2999999999999997E-2</v>
      </c>
      <c r="AO248" s="573">
        <f t="shared" ref="AO248" si="3239">LEFT($B247, SEARCH("%",$B247,1)-1)/100</f>
        <v>4.2999999999999997E-2</v>
      </c>
      <c r="AP248" s="573">
        <f t="shared" ref="AP248" si="3240">LEFT($B247, SEARCH("%",$B247,1)-1)/100</f>
        <v>4.2999999999999997E-2</v>
      </c>
      <c r="AQ248" s="573">
        <f t="shared" ref="AQ248" si="3241">LEFT($B247, SEARCH("%",$B247,1)-1)/100</f>
        <v>4.2999999999999997E-2</v>
      </c>
      <c r="AR248" s="573">
        <f t="shared" ref="AR248" si="3242">LEFT($B247, SEARCH("%",$B247,1)-1)/100</f>
        <v>4.2999999999999997E-2</v>
      </c>
      <c r="AS248" s="573"/>
      <c r="AT248" s="573">
        <f t="shared" ref="AT248" si="3243">LEFT($B247, SEARCH("%",$B247,1)-1)/100</f>
        <v>4.2999999999999997E-2</v>
      </c>
      <c r="AU248" s="573">
        <f t="shared" ref="AU248" si="3244">LEFT($B247, SEARCH("%",$B247,1)-1)/100</f>
        <v>4.2999999999999997E-2</v>
      </c>
      <c r="AV248" s="573">
        <f t="shared" ref="AV248" si="3245">LEFT($B247, SEARCH("%",$B247,1)-1)/100</f>
        <v>4.2999999999999997E-2</v>
      </c>
      <c r="AW248" s="623">
        <f t="shared" ref="AW248" si="3246">LEFT($B247, SEARCH("%",$B247,1)-1)/100</f>
        <v>4.2999999999999997E-2</v>
      </c>
      <c r="AX248" s="573">
        <f t="shared" ref="AX248" si="3247">LEFT($B247, SEARCH("%",$B247,1)-1)/100</f>
        <v>4.2999999999999997E-2</v>
      </c>
      <c r="AY248" s="573"/>
      <c r="AZ248" s="573">
        <f t="shared" ref="AZ248" si="3248">LEFT($B247, SEARCH("%",$B247,1)-1)/100</f>
        <v>4.2999999999999997E-2</v>
      </c>
      <c r="BA248" s="573">
        <f t="shared" ref="BA248" si="3249">LEFT($B247, SEARCH("%",$B247,1)-1)/100</f>
        <v>4.2999999999999997E-2</v>
      </c>
      <c r="BB248" s="573">
        <f t="shared" ref="BB248" si="3250">LEFT($B247, SEARCH("%",$B247,1)-1)/100</f>
        <v>4.2999999999999997E-2</v>
      </c>
      <c r="BC248" s="573">
        <f t="shared" ref="BC248" si="3251">LEFT($B247, SEARCH("%",$B247,1)-1)/100</f>
        <v>4.2999999999999997E-2</v>
      </c>
      <c r="BD248" s="573">
        <f t="shared" ref="BD248" si="3252">LEFT($B247, SEARCH("%",$B247,1)-1)/100</f>
        <v>4.2999999999999997E-2</v>
      </c>
      <c r="BE248" s="573"/>
      <c r="BF248" s="573">
        <f t="shared" ref="BF248" si="3253">LEFT($B247, SEARCH("%",$B247,1)-1)/100</f>
        <v>4.2999999999999997E-2</v>
      </c>
      <c r="BG248" s="573">
        <f t="shared" ref="BG248" si="3254">LEFT($B247, SEARCH("%",$B247,1)-1)/100</f>
        <v>4.2999999999999997E-2</v>
      </c>
      <c r="BH248" s="573">
        <f t="shared" ref="BH248" si="3255">LEFT($B247, SEARCH("%",$B247,1)-1)/100</f>
        <v>4.2999999999999997E-2</v>
      </c>
      <c r="BI248" s="573">
        <f t="shared" ref="BI248" si="3256">LEFT($B247, SEARCH("%",$B247,1)-1)/100</f>
        <v>4.2999999999999997E-2</v>
      </c>
      <c r="BJ248" s="573">
        <f t="shared" ref="BJ248" si="3257">LEFT($B247, SEARCH("%",$B247,1)-1)/100</f>
        <v>4.2999999999999997E-2</v>
      </c>
      <c r="BK248" s="573"/>
      <c r="BL248" s="573">
        <f t="shared" ref="BL248" si="3258">LEFT($B247, SEARCH("%",$B247,1)-1)/100</f>
        <v>4.2999999999999997E-2</v>
      </c>
      <c r="BM248" s="573">
        <f t="shared" ref="BM248" si="3259">LEFT($B247, SEARCH("%",$B247,1)-1)/100</f>
        <v>4.2999999999999997E-2</v>
      </c>
      <c r="BN248" s="573">
        <f t="shared" ref="BN248" si="3260">LEFT($B247, SEARCH("%",$B247,1)-1)/100</f>
        <v>4.2999999999999997E-2</v>
      </c>
      <c r="BO248" s="573">
        <f t="shared" ref="BO248" si="3261">LEFT($B247, SEARCH("%",$B247,1)-1)/100</f>
        <v>4.2999999999999997E-2</v>
      </c>
      <c r="BP248" s="573">
        <f t="shared" ref="BP248" si="3262">LEFT($B247, SEARCH("%",$B247,1)-1)/100</f>
        <v>4.2999999999999997E-2</v>
      </c>
      <c r="BQ248" s="573"/>
      <c r="BR248" s="573">
        <f t="shared" ref="BR248" si="3263">LEFT($B247, SEARCH("%",$B247,1)-1)/100</f>
        <v>4.2999999999999997E-2</v>
      </c>
      <c r="BS248" s="573">
        <f t="shared" ref="BS248" si="3264">LEFT($B247, SEARCH("%",$B247,1)-1)/100</f>
        <v>4.2999999999999997E-2</v>
      </c>
      <c r="BT248" s="573">
        <f t="shared" ref="BT248" si="3265">LEFT($B247, SEARCH("%",$B247,1)-1)/100</f>
        <v>4.2999999999999997E-2</v>
      </c>
      <c r="BU248" s="573">
        <f t="shared" ref="BU248" si="3266">LEFT($B247, SEARCH("%",$B247,1)-1)/100</f>
        <v>4.2999999999999997E-2</v>
      </c>
      <c r="BV248" s="573">
        <f t="shared" ref="BV248" si="3267">LEFT($B247, SEARCH("%",$B247,1)-1)/100</f>
        <v>4.2999999999999997E-2</v>
      </c>
      <c r="BW248" s="573"/>
      <c r="BX248" s="573">
        <f t="shared" ref="BX248" si="3268">LEFT($B247, SEARCH("%",$B247,1)-1)/100</f>
        <v>4.2999999999999997E-2</v>
      </c>
      <c r="BY248" s="573">
        <f t="shared" ref="BY248" si="3269">LEFT($B247, SEARCH("%",$B247,1)-1)/100</f>
        <v>4.2999999999999997E-2</v>
      </c>
      <c r="BZ248" s="573">
        <f t="shared" ref="BZ248" si="3270">LEFT($B247, SEARCH("%",$B247,1)-1)/100</f>
        <v>4.2999999999999997E-2</v>
      </c>
      <c r="CA248" s="573">
        <f t="shared" ref="CA248" si="3271">LEFT($B247, SEARCH("%",$B247,1)-1)/100</f>
        <v>4.2999999999999997E-2</v>
      </c>
      <c r="CB248" s="573">
        <f t="shared" ref="CB248" si="3272">LEFT($B247, SEARCH("%",$B247,1)-1)/100</f>
        <v>4.2999999999999997E-2</v>
      </c>
      <c r="CC248" s="573"/>
      <c r="CD248" s="573">
        <f t="shared" ref="CD248" si="3273">LEFT($B247, SEARCH("%",$B247,1)-1)/100</f>
        <v>4.2999999999999997E-2</v>
      </c>
      <c r="CE248" s="573">
        <f t="shared" ref="CE248" si="3274">LEFT($B247, SEARCH("%",$B247,1)-1)/100</f>
        <v>4.2999999999999997E-2</v>
      </c>
      <c r="CF248" s="573">
        <f t="shared" ref="CF248" si="3275">LEFT($B247, SEARCH("%",$B247,1)-1)/100</f>
        <v>4.2999999999999997E-2</v>
      </c>
      <c r="CG248" s="573">
        <f t="shared" ref="CG248" si="3276">LEFT($B247, SEARCH("%",$B247,1)-1)/100</f>
        <v>4.2999999999999997E-2</v>
      </c>
      <c r="CH248" s="573">
        <f t="shared" ref="CH248" si="3277">LEFT($B247, SEARCH("%",$B247,1)-1)/100</f>
        <v>4.2999999999999997E-2</v>
      </c>
      <c r="CI248" s="573"/>
      <c r="CJ248" s="573">
        <f t="shared" ref="CJ248" si="3278">LEFT($B247, SEARCH("%",$B247,1)-1)/100</f>
        <v>4.2999999999999997E-2</v>
      </c>
      <c r="CK248" s="573">
        <f t="shared" ref="CK248" si="3279">LEFT($B247, SEARCH("%",$B247,1)-1)/100</f>
        <v>4.2999999999999997E-2</v>
      </c>
      <c r="CL248" s="573">
        <f t="shared" ref="CL248" si="3280">LEFT($B247, SEARCH("%",$B247,1)-1)/100</f>
        <v>4.2999999999999997E-2</v>
      </c>
      <c r="CM248" s="573">
        <f t="shared" ref="CM248" si="3281">LEFT($B247, SEARCH("%",$B247,1)-1)/100</f>
        <v>4.2999999999999997E-2</v>
      </c>
      <c r="CN248" s="573">
        <f t="shared" ref="CN248" si="3282">LEFT($B247, SEARCH("%",$B247,1)-1)/100</f>
        <v>4.2999999999999997E-2</v>
      </c>
      <c r="CO248" s="573"/>
      <c r="CP248" s="573"/>
    </row>
    <row r="249" spans="2:94" ht="12.95" hidden="1" customHeight="1" outlineLevel="1" x14ac:dyDescent="0.25">
      <c r="B249" s="2" t="s">
        <v>586</v>
      </c>
      <c r="D249" s="2">
        <v>494</v>
      </c>
      <c r="E249" s="2">
        <v>494</v>
      </c>
      <c r="F249" s="2">
        <v>494</v>
      </c>
      <c r="G249" s="2">
        <v>494</v>
      </c>
      <c r="H249" s="2">
        <v>494</v>
      </c>
      <c r="J249" s="2">
        <v>494</v>
      </c>
      <c r="K249" s="2">
        <v>494</v>
      </c>
      <c r="L249" s="2">
        <v>494</v>
      </c>
      <c r="M249" s="2">
        <v>494</v>
      </c>
      <c r="N249" s="2">
        <v>494</v>
      </c>
      <c r="P249" s="2">
        <v>494</v>
      </c>
      <c r="Q249" s="2">
        <v>494</v>
      </c>
      <c r="R249" s="2">
        <v>494</v>
      </c>
      <c r="S249" s="2">
        <v>494</v>
      </c>
      <c r="T249" s="2">
        <v>494</v>
      </c>
      <c r="V249" s="2">
        <v>494</v>
      </c>
      <c r="W249" s="2">
        <v>494</v>
      </c>
      <c r="X249" s="2">
        <v>494</v>
      </c>
      <c r="Y249" s="2">
        <v>494</v>
      </c>
      <c r="Z249" s="2">
        <v>494</v>
      </c>
      <c r="AB249" s="6">
        <v>494</v>
      </c>
      <c r="AC249" s="6">
        <v>494</v>
      </c>
      <c r="AD249" s="6">
        <v>494</v>
      </c>
      <c r="AE249" s="6">
        <v>494</v>
      </c>
      <c r="AF249" s="6">
        <v>494</v>
      </c>
      <c r="AG249" s="6"/>
      <c r="AH249" s="6">
        <v>494</v>
      </c>
      <c r="AI249" s="6">
        <v>494</v>
      </c>
      <c r="AJ249" s="6">
        <v>494</v>
      </c>
      <c r="AK249" s="6">
        <v>494</v>
      </c>
      <c r="AL249" s="6">
        <v>494</v>
      </c>
      <c r="AM249" s="6"/>
      <c r="AN249" s="6">
        <v>494</v>
      </c>
      <c r="AO249" s="243">
        <v>494</v>
      </c>
      <c r="AP249" s="6">
        <v>494</v>
      </c>
      <c r="AQ249" s="243">
        <v>494</v>
      </c>
      <c r="AR249" s="243">
        <v>494</v>
      </c>
      <c r="AS249" s="6"/>
      <c r="AT249" s="6">
        <v>494</v>
      </c>
      <c r="AU249" s="243">
        <v>494</v>
      </c>
      <c r="AV249" s="243">
        <v>494</v>
      </c>
      <c r="AW249" s="164">
        <v>494</v>
      </c>
      <c r="AX249" s="6">
        <v>494</v>
      </c>
      <c r="AY249" s="6"/>
      <c r="AZ249" s="6">
        <v>494</v>
      </c>
      <c r="BA249" s="6">
        <v>494</v>
      </c>
      <c r="BB249" s="6">
        <v>494</v>
      </c>
      <c r="BC249" s="6">
        <v>494</v>
      </c>
      <c r="BD249" s="6">
        <v>494</v>
      </c>
      <c r="BE249" s="6"/>
      <c r="BF249" s="6">
        <v>494</v>
      </c>
      <c r="BG249" s="6">
        <v>494</v>
      </c>
      <c r="BH249" s="6">
        <v>494</v>
      </c>
      <c r="BI249" s="6">
        <v>494</v>
      </c>
      <c r="BJ249" s="6">
        <v>494</v>
      </c>
      <c r="BK249" s="6"/>
      <c r="BL249" s="6">
        <v>494</v>
      </c>
      <c r="BM249" s="6">
        <v>494</v>
      </c>
      <c r="BN249" s="6">
        <v>494</v>
      </c>
      <c r="BO249" s="6">
        <v>494</v>
      </c>
      <c r="BP249" s="6">
        <v>494</v>
      </c>
      <c r="BQ249" s="6"/>
      <c r="BR249" s="6">
        <v>494</v>
      </c>
      <c r="BS249" s="6">
        <v>494</v>
      </c>
      <c r="BT249" s="6">
        <v>494</v>
      </c>
      <c r="BU249" s="6">
        <v>494</v>
      </c>
      <c r="BV249" s="6">
        <v>494</v>
      </c>
      <c r="BW249" s="6"/>
      <c r="BX249" s="6">
        <v>494</v>
      </c>
      <c r="BY249" s="6">
        <v>494</v>
      </c>
      <c r="BZ249" s="6">
        <v>494</v>
      </c>
      <c r="CA249" s="6">
        <v>494</v>
      </c>
      <c r="CB249" s="6">
        <v>494</v>
      </c>
      <c r="CC249" s="6"/>
      <c r="CD249" s="6">
        <v>494</v>
      </c>
      <c r="CE249" s="6">
        <v>494</v>
      </c>
      <c r="CF249" s="6">
        <v>494</v>
      </c>
      <c r="CG249" s="6">
        <v>494</v>
      </c>
      <c r="CH249" s="6">
        <v>494</v>
      </c>
      <c r="CI249" s="6"/>
      <c r="CJ249" s="6">
        <v>494</v>
      </c>
      <c r="CK249" s="6">
        <v>494</v>
      </c>
      <c r="CL249" s="6">
        <v>494</v>
      </c>
      <c r="CM249" s="6">
        <v>494</v>
      </c>
      <c r="CN249" s="6">
        <v>494</v>
      </c>
    </row>
    <row r="250" spans="2:94" ht="12.95" hidden="1" customHeight="1" outlineLevel="1" x14ac:dyDescent="0.25">
      <c r="B250" s="2" t="s">
        <v>40</v>
      </c>
      <c r="D250" s="573">
        <f>LEFT($B249, SEARCH("%",$B249,1)-1)/100</f>
        <v>4.7500000000000001E-2</v>
      </c>
      <c r="E250" s="573">
        <f t="shared" ref="E250" si="3283">LEFT($B249, SEARCH("%",$B249,1)-1)/100</f>
        <v>4.7500000000000001E-2</v>
      </c>
      <c r="F250" s="573">
        <f t="shared" ref="F250" si="3284">LEFT($B249, SEARCH("%",$B249,1)-1)/100</f>
        <v>4.7500000000000001E-2</v>
      </c>
      <c r="G250" s="573">
        <f t="shared" ref="G250" si="3285">LEFT($B249, SEARCH("%",$B249,1)-1)/100</f>
        <v>4.7500000000000001E-2</v>
      </c>
      <c r="H250" s="573">
        <f t="shared" ref="H250" si="3286">LEFT($B249, SEARCH("%",$B249,1)-1)/100</f>
        <v>4.7500000000000001E-2</v>
      </c>
      <c r="I250" s="573"/>
      <c r="J250" s="573">
        <f t="shared" ref="J250" si="3287">LEFT($B249, SEARCH("%",$B249,1)-1)/100</f>
        <v>4.7500000000000001E-2</v>
      </c>
      <c r="K250" s="573">
        <f t="shared" ref="K250" si="3288">LEFT($B249, SEARCH("%",$B249,1)-1)/100</f>
        <v>4.7500000000000001E-2</v>
      </c>
      <c r="L250" s="573">
        <f t="shared" ref="L250" si="3289">LEFT($B249, SEARCH("%",$B249,1)-1)/100</f>
        <v>4.7500000000000001E-2</v>
      </c>
      <c r="M250" s="573">
        <f t="shared" ref="M250" si="3290">LEFT($B249, SEARCH("%",$B249,1)-1)/100</f>
        <v>4.7500000000000001E-2</v>
      </c>
      <c r="N250" s="573">
        <f t="shared" ref="N250" si="3291">LEFT($B249, SEARCH("%",$B249,1)-1)/100</f>
        <v>4.7500000000000001E-2</v>
      </c>
      <c r="O250" s="573"/>
      <c r="P250" s="573">
        <f t="shared" ref="P250" si="3292">LEFT($B249, SEARCH("%",$B249,1)-1)/100</f>
        <v>4.7500000000000001E-2</v>
      </c>
      <c r="Q250" s="573">
        <f t="shared" ref="Q250" si="3293">LEFT($B249, SEARCH("%",$B249,1)-1)/100</f>
        <v>4.7500000000000001E-2</v>
      </c>
      <c r="R250" s="573">
        <f t="shared" ref="R250" si="3294">LEFT($B249, SEARCH("%",$B249,1)-1)/100</f>
        <v>4.7500000000000001E-2</v>
      </c>
      <c r="S250" s="573">
        <f t="shared" ref="S250" si="3295">LEFT($B249, SEARCH("%",$B249,1)-1)/100</f>
        <v>4.7500000000000001E-2</v>
      </c>
      <c r="T250" s="573">
        <f t="shared" ref="T250" si="3296">LEFT($B249, SEARCH("%",$B249,1)-1)/100</f>
        <v>4.7500000000000001E-2</v>
      </c>
      <c r="U250" s="573"/>
      <c r="V250" s="573">
        <f t="shared" ref="V250" si="3297">LEFT($B249, SEARCH("%",$B249,1)-1)/100</f>
        <v>4.7500000000000001E-2</v>
      </c>
      <c r="W250" s="573">
        <f t="shared" ref="W250" si="3298">LEFT($B249, SEARCH("%",$B249,1)-1)/100</f>
        <v>4.7500000000000001E-2</v>
      </c>
      <c r="X250" s="573">
        <f t="shared" ref="X250" si="3299">LEFT($B249, SEARCH("%",$B249,1)-1)/100</f>
        <v>4.7500000000000001E-2</v>
      </c>
      <c r="Y250" s="573">
        <f t="shared" ref="Y250" si="3300">LEFT($B249, SEARCH("%",$B249,1)-1)/100</f>
        <v>4.7500000000000001E-2</v>
      </c>
      <c r="Z250" s="573">
        <f t="shared" ref="Z250" si="3301">LEFT($B249, SEARCH("%",$B249,1)-1)/100</f>
        <v>4.7500000000000001E-2</v>
      </c>
      <c r="AA250" s="573"/>
      <c r="AB250" s="573">
        <f t="shared" ref="AB250" si="3302">LEFT($B249, SEARCH("%",$B249,1)-1)/100</f>
        <v>4.7500000000000001E-2</v>
      </c>
      <c r="AC250" s="573">
        <f t="shared" ref="AC250" si="3303">LEFT($B249, SEARCH("%",$B249,1)-1)/100</f>
        <v>4.7500000000000001E-2</v>
      </c>
      <c r="AD250" s="573">
        <f t="shared" ref="AD250" si="3304">LEFT($B249, SEARCH("%",$B249,1)-1)/100</f>
        <v>4.7500000000000001E-2</v>
      </c>
      <c r="AE250" s="573">
        <f t="shared" ref="AE250" si="3305">LEFT($B249, SEARCH("%",$B249,1)-1)/100</f>
        <v>4.7500000000000001E-2</v>
      </c>
      <c r="AF250" s="573">
        <f t="shared" ref="AF250" si="3306">LEFT($B249, SEARCH("%",$B249,1)-1)/100</f>
        <v>4.7500000000000001E-2</v>
      </c>
      <c r="AG250" s="573"/>
      <c r="AH250" s="573">
        <f t="shared" ref="AH250" si="3307">LEFT($B249, SEARCH("%",$B249,1)-1)/100</f>
        <v>4.7500000000000001E-2</v>
      </c>
      <c r="AI250" s="573">
        <f t="shared" ref="AI250" si="3308">LEFT($B249, SEARCH("%",$B249,1)-1)/100</f>
        <v>4.7500000000000001E-2</v>
      </c>
      <c r="AJ250" s="573">
        <f t="shared" ref="AJ250" si="3309">LEFT($B249, SEARCH("%",$B249,1)-1)/100</f>
        <v>4.7500000000000001E-2</v>
      </c>
      <c r="AK250" s="573">
        <f t="shared" ref="AK250" si="3310">LEFT($B249, SEARCH("%",$B249,1)-1)/100</f>
        <v>4.7500000000000001E-2</v>
      </c>
      <c r="AL250" s="573">
        <f t="shared" ref="AL250" si="3311">LEFT($B249, SEARCH("%",$B249,1)-1)/100</f>
        <v>4.7500000000000001E-2</v>
      </c>
      <c r="AM250" s="573"/>
      <c r="AN250" s="573">
        <f t="shared" ref="AN250" si="3312">LEFT($B249, SEARCH("%",$B249,1)-1)/100</f>
        <v>4.7500000000000001E-2</v>
      </c>
      <c r="AO250" s="573">
        <f t="shared" ref="AO250" si="3313">LEFT($B249, SEARCH("%",$B249,1)-1)/100</f>
        <v>4.7500000000000001E-2</v>
      </c>
      <c r="AP250" s="573">
        <f t="shared" ref="AP250" si="3314">LEFT($B249, SEARCH("%",$B249,1)-1)/100</f>
        <v>4.7500000000000001E-2</v>
      </c>
      <c r="AQ250" s="573">
        <f t="shared" ref="AQ250" si="3315">LEFT($B249, SEARCH("%",$B249,1)-1)/100</f>
        <v>4.7500000000000001E-2</v>
      </c>
      <c r="AR250" s="573">
        <f t="shared" ref="AR250" si="3316">LEFT($B249, SEARCH("%",$B249,1)-1)/100</f>
        <v>4.7500000000000001E-2</v>
      </c>
      <c r="AS250" s="573"/>
      <c r="AT250" s="573">
        <f t="shared" ref="AT250" si="3317">LEFT($B249, SEARCH("%",$B249,1)-1)/100</f>
        <v>4.7500000000000001E-2</v>
      </c>
      <c r="AU250" s="573">
        <f t="shared" ref="AU250" si="3318">LEFT($B249, SEARCH("%",$B249,1)-1)/100</f>
        <v>4.7500000000000001E-2</v>
      </c>
      <c r="AV250" s="573">
        <f t="shared" ref="AV250" si="3319">LEFT($B249, SEARCH("%",$B249,1)-1)/100</f>
        <v>4.7500000000000001E-2</v>
      </c>
      <c r="AW250" s="623">
        <f t="shared" ref="AW250" si="3320">LEFT($B249, SEARCH("%",$B249,1)-1)/100</f>
        <v>4.7500000000000001E-2</v>
      </c>
      <c r="AX250" s="573">
        <f t="shared" ref="AX250" si="3321">LEFT($B249, SEARCH("%",$B249,1)-1)/100</f>
        <v>4.7500000000000001E-2</v>
      </c>
      <c r="AY250" s="573"/>
      <c r="AZ250" s="573">
        <f t="shared" ref="AZ250" si="3322">LEFT($B249, SEARCH("%",$B249,1)-1)/100</f>
        <v>4.7500000000000001E-2</v>
      </c>
      <c r="BA250" s="573">
        <f t="shared" ref="BA250" si="3323">LEFT($B249, SEARCH("%",$B249,1)-1)/100</f>
        <v>4.7500000000000001E-2</v>
      </c>
      <c r="BB250" s="573">
        <f t="shared" ref="BB250" si="3324">LEFT($B249, SEARCH("%",$B249,1)-1)/100</f>
        <v>4.7500000000000001E-2</v>
      </c>
      <c r="BC250" s="573">
        <f t="shared" ref="BC250" si="3325">LEFT($B249, SEARCH("%",$B249,1)-1)/100</f>
        <v>4.7500000000000001E-2</v>
      </c>
      <c r="BD250" s="573">
        <f t="shared" ref="BD250" si="3326">LEFT($B249, SEARCH("%",$B249,1)-1)/100</f>
        <v>4.7500000000000001E-2</v>
      </c>
      <c r="BE250" s="573"/>
      <c r="BF250" s="573">
        <f t="shared" ref="BF250" si="3327">LEFT($B249, SEARCH("%",$B249,1)-1)/100</f>
        <v>4.7500000000000001E-2</v>
      </c>
      <c r="BG250" s="573">
        <f t="shared" ref="BG250" si="3328">LEFT($B249, SEARCH("%",$B249,1)-1)/100</f>
        <v>4.7500000000000001E-2</v>
      </c>
      <c r="BH250" s="573">
        <f t="shared" ref="BH250" si="3329">LEFT($B249, SEARCH("%",$B249,1)-1)/100</f>
        <v>4.7500000000000001E-2</v>
      </c>
      <c r="BI250" s="573">
        <f t="shared" ref="BI250" si="3330">LEFT($B249, SEARCH("%",$B249,1)-1)/100</f>
        <v>4.7500000000000001E-2</v>
      </c>
      <c r="BJ250" s="573">
        <f t="shared" ref="BJ250" si="3331">LEFT($B249, SEARCH("%",$B249,1)-1)/100</f>
        <v>4.7500000000000001E-2</v>
      </c>
      <c r="BK250" s="573"/>
      <c r="BL250" s="573">
        <f t="shared" ref="BL250" si="3332">LEFT($B249, SEARCH("%",$B249,1)-1)/100</f>
        <v>4.7500000000000001E-2</v>
      </c>
      <c r="BM250" s="573">
        <f t="shared" ref="BM250" si="3333">LEFT($B249, SEARCH("%",$B249,1)-1)/100</f>
        <v>4.7500000000000001E-2</v>
      </c>
      <c r="BN250" s="573">
        <f t="shared" ref="BN250" si="3334">LEFT($B249, SEARCH("%",$B249,1)-1)/100</f>
        <v>4.7500000000000001E-2</v>
      </c>
      <c r="BO250" s="573">
        <f t="shared" ref="BO250" si="3335">LEFT($B249, SEARCH("%",$B249,1)-1)/100</f>
        <v>4.7500000000000001E-2</v>
      </c>
      <c r="BP250" s="573">
        <f t="shared" ref="BP250" si="3336">LEFT($B249, SEARCH("%",$B249,1)-1)/100</f>
        <v>4.7500000000000001E-2</v>
      </c>
      <c r="BQ250" s="573"/>
      <c r="BR250" s="573">
        <f t="shared" ref="BR250" si="3337">LEFT($B249, SEARCH("%",$B249,1)-1)/100</f>
        <v>4.7500000000000001E-2</v>
      </c>
      <c r="BS250" s="573">
        <f t="shared" ref="BS250" si="3338">LEFT($B249, SEARCH("%",$B249,1)-1)/100</f>
        <v>4.7500000000000001E-2</v>
      </c>
      <c r="BT250" s="573">
        <f t="shared" ref="BT250" si="3339">LEFT($B249, SEARCH("%",$B249,1)-1)/100</f>
        <v>4.7500000000000001E-2</v>
      </c>
      <c r="BU250" s="573">
        <f t="shared" ref="BU250" si="3340">LEFT($B249, SEARCH("%",$B249,1)-1)/100</f>
        <v>4.7500000000000001E-2</v>
      </c>
      <c r="BV250" s="573">
        <f t="shared" ref="BV250" si="3341">LEFT($B249, SEARCH("%",$B249,1)-1)/100</f>
        <v>4.7500000000000001E-2</v>
      </c>
      <c r="BW250" s="573"/>
      <c r="BX250" s="573">
        <f t="shared" ref="BX250" si="3342">LEFT($B249, SEARCH("%",$B249,1)-1)/100</f>
        <v>4.7500000000000001E-2</v>
      </c>
      <c r="BY250" s="573">
        <f t="shared" ref="BY250" si="3343">LEFT($B249, SEARCH("%",$B249,1)-1)/100</f>
        <v>4.7500000000000001E-2</v>
      </c>
      <c r="BZ250" s="573">
        <f t="shared" ref="BZ250" si="3344">LEFT($B249, SEARCH("%",$B249,1)-1)/100</f>
        <v>4.7500000000000001E-2</v>
      </c>
      <c r="CA250" s="573">
        <f t="shared" ref="CA250" si="3345">LEFT($B249, SEARCH("%",$B249,1)-1)/100</f>
        <v>4.7500000000000001E-2</v>
      </c>
      <c r="CB250" s="573">
        <f t="shared" ref="CB250" si="3346">LEFT($B249, SEARCH("%",$B249,1)-1)/100</f>
        <v>4.7500000000000001E-2</v>
      </c>
      <c r="CC250" s="573"/>
      <c r="CD250" s="573">
        <f t="shared" ref="CD250" si="3347">LEFT($B249, SEARCH("%",$B249,1)-1)/100</f>
        <v>4.7500000000000001E-2</v>
      </c>
      <c r="CE250" s="573">
        <f t="shared" ref="CE250" si="3348">LEFT($B249, SEARCH("%",$B249,1)-1)/100</f>
        <v>4.7500000000000001E-2</v>
      </c>
      <c r="CF250" s="573">
        <f t="shared" ref="CF250" si="3349">LEFT($B249, SEARCH("%",$B249,1)-1)/100</f>
        <v>4.7500000000000001E-2</v>
      </c>
      <c r="CG250" s="573">
        <f t="shared" ref="CG250" si="3350">LEFT($B249, SEARCH("%",$B249,1)-1)/100</f>
        <v>4.7500000000000001E-2</v>
      </c>
      <c r="CH250" s="573">
        <f t="shared" ref="CH250" si="3351">LEFT($B249, SEARCH("%",$B249,1)-1)/100</f>
        <v>4.7500000000000001E-2</v>
      </c>
      <c r="CI250" s="573"/>
      <c r="CJ250" s="573">
        <f t="shared" ref="CJ250" si="3352">LEFT($B249, SEARCH("%",$B249,1)-1)/100</f>
        <v>4.7500000000000001E-2</v>
      </c>
      <c r="CK250" s="573">
        <f t="shared" ref="CK250" si="3353">LEFT($B249, SEARCH("%",$B249,1)-1)/100</f>
        <v>4.7500000000000001E-2</v>
      </c>
      <c r="CL250" s="573">
        <f t="shared" ref="CL250" si="3354">LEFT($B249, SEARCH("%",$B249,1)-1)/100</f>
        <v>4.7500000000000001E-2</v>
      </c>
      <c r="CM250" s="573">
        <f t="shared" ref="CM250" si="3355">LEFT($B249, SEARCH("%",$B249,1)-1)/100</f>
        <v>4.7500000000000001E-2</v>
      </c>
      <c r="CN250" s="573">
        <f t="shared" ref="CN250" si="3356">LEFT($B249, SEARCH("%",$B249,1)-1)/100</f>
        <v>4.7500000000000001E-2</v>
      </c>
      <c r="CO250" s="573"/>
      <c r="CP250" s="573"/>
    </row>
    <row r="251" spans="2:94" ht="12.95" hidden="1" customHeight="1" outlineLevel="1" x14ac:dyDescent="0.25">
      <c r="B251" s="2" t="s">
        <v>587</v>
      </c>
      <c r="S251" s="2">
        <v>497</v>
      </c>
      <c r="T251" s="2">
        <v>497</v>
      </c>
      <c r="V251" s="2">
        <v>497</v>
      </c>
      <c r="W251" s="2">
        <v>497</v>
      </c>
      <c r="X251" s="2">
        <v>497</v>
      </c>
      <c r="Y251" s="2">
        <v>497</v>
      </c>
      <c r="Z251" s="2">
        <v>497</v>
      </c>
      <c r="AB251" s="6">
        <v>497</v>
      </c>
      <c r="AC251" s="6">
        <v>497</v>
      </c>
      <c r="AD251" s="6">
        <v>497</v>
      </c>
      <c r="AE251" s="6">
        <v>498</v>
      </c>
      <c r="AF251" s="6">
        <v>498</v>
      </c>
      <c r="AG251" s="6"/>
      <c r="AH251" s="6">
        <v>498</v>
      </c>
      <c r="AI251" s="6">
        <v>498</v>
      </c>
      <c r="AJ251" s="6">
        <v>498</v>
      </c>
      <c r="AK251" s="6">
        <v>498</v>
      </c>
      <c r="AL251" s="6">
        <v>498</v>
      </c>
      <c r="AM251" s="6"/>
      <c r="AN251" s="6">
        <v>498</v>
      </c>
      <c r="AO251" s="243">
        <v>498</v>
      </c>
      <c r="AP251" s="6">
        <v>498</v>
      </c>
      <c r="AQ251" s="243">
        <v>498</v>
      </c>
      <c r="AR251" s="243">
        <v>498</v>
      </c>
      <c r="AS251" s="6"/>
      <c r="AT251" s="6">
        <v>498</v>
      </c>
      <c r="AU251" s="243">
        <v>498</v>
      </c>
      <c r="AV251" s="243">
        <v>498</v>
      </c>
      <c r="AW251" s="164">
        <v>498</v>
      </c>
      <c r="AX251" s="6">
        <v>498</v>
      </c>
      <c r="AY251" s="6"/>
      <c r="AZ251" s="6">
        <v>498</v>
      </c>
      <c r="BA251" s="6">
        <v>498</v>
      </c>
      <c r="BB251" s="6">
        <v>498</v>
      </c>
      <c r="BC251" s="6">
        <v>498</v>
      </c>
      <c r="BD251" s="6">
        <v>498</v>
      </c>
      <c r="BE251" s="6"/>
      <c r="BF251" s="6">
        <v>498</v>
      </c>
      <c r="BG251" s="6">
        <v>498</v>
      </c>
      <c r="BH251" s="6">
        <v>498</v>
      </c>
      <c r="BI251" s="6">
        <v>498</v>
      </c>
      <c r="BJ251" s="6">
        <v>498</v>
      </c>
      <c r="BK251" s="6"/>
      <c r="BL251" s="6">
        <v>498</v>
      </c>
      <c r="BM251" s="6">
        <v>498</v>
      </c>
      <c r="BN251" s="6">
        <v>498</v>
      </c>
      <c r="BO251" s="6">
        <v>498</v>
      </c>
      <c r="BP251" s="6">
        <v>498</v>
      </c>
      <c r="BQ251" s="6"/>
      <c r="BR251" s="6">
        <v>498</v>
      </c>
      <c r="BS251" s="6">
        <v>498</v>
      </c>
      <c r="BT251" s="6">
        <v>498</v>
      </c>
      <c r="BU251" s="6">
        <v>498</v>
      </c>
      <c r="BV251" s="6">
        <v>498</v>
      </c>
      <c r="BW251" s="6"/>
      <c r="BX251" s="6">
        <v>498</v>
      </c>
      <c r="BY251" s="6">
        <v>498</v>
      </c>
      <c r="BZ251" s="6">
        <v>498</v>
      </c>
      <c r="CA251" s="6">
        <v>498</v>
      </c>
      <c r="CB251" s="6">
        <v>498</v>
      </c>
      <c r="CC251" s="6"/>
      <c r="CD251" s="6">
        <v>498</v>
      </c>
      <c r="CE251" s="6">
        <v>498</v>
      </c>
      <c r="CF251" s="6">
        <v>498</v>
      </c>
      <c r="CG251" s="6">
        <v>498</v>
      </c>
      <c r="CH251" s="6">
        <v>498</v>
      </c>
      <c r="CI251" s="6"/>
      <c r="CJ251" s="6">
        <v>498</v>
      </c>
      <c r="CK251" s="6">
        <v>498</v>
      </c>
      <c r="CL251" s="6">
        <v>498</v>
      </c>
      <c r="CM251" s="6">
        <v>498</v>
      </c>
      <c r="CN251" s="6">
        <v>498</v>
      </c>
    </row>
    <row r="252" spans="2:94" ht="12.95" hidden="1" customHeight="1" outlineLevel="1" x14ac:dyDescent="0.25">
      <c r="B252" s="2" t="s">
        <v>40</v>
      </c>
      <c r="D252" s="573">
        <f>LEFT($B251, SEARCH("%",$B251,1)-1)/100</f>
        <v>2.6000000000000002E-2</v>
      </c>
      <c r="E252" s="573">
        <f t="shared" ref="E252" si="3357">LEFT($B251, SEARCH("%",$B251,1)-1)/100</f>
        <v>2.6000000000000002E-2</v>
      </c>
      <c r="F252" s="573">
        <f t="shared" ref="F252" si="3358">LEFT($B251, SEARCH("%",$B251,1)-1)/100</f>
        <v>2.6000000000000002E-2</v>
      </c>
      <c r="G252" s="573">
        <f t="shared" ref="G252" si="3359">LEFT($B251, SEARCH("%",$B251,1)-1)/100</f>
        <v>2.6000000000000002E-2</v>
      </c>
      <c r="H252" s="573">
        <f t="shared" ref="H252" si="3360">LEFT($B251, SEARCH("%",$B251,1)-1)/100</f>
        <v>2.6000000000000002E-2</v>
      </c>
      <c r="I252" s="573"/>
      <c r="J252" s="573">
        <f t="shared" ref="J252" si="3361">LEFT($B251, SEARCH("%",$B251,1)-1)/100</f>
        <v>2.6000000000000002E-2</v>
      </c>
      <c r="K252" s="573">
        <f t="shared" ref="K252" si="3362">LEFT($B251, SEARCH("%",$B251,1)-1)/100</f>
        <v>2.6000000000000002E-2</v>
      </c>
      <c r="L252" s="573">
        <f t="shared" ref="L252" si="3363">LEFT($B251, SEARCH("%",$B251,1)-1)/100</f>
        <v>2.6000000000000002E-2</v>
      </c>
      <c r="M252" s="573">
        <f t="shared" ref="M252" si="3364">LEFT($B251, SEARCH("%",$B251,1)-1)/100</f>
        <v>2.6000000000000002E-2</v>
      </c>
      <c r="N252" s="573">
        <f t="shared" ref="N252" si="3365">LEFT($B251, SEARCH("%",$B251,1)-1)/100</f>
        <v>2.6000000000000002E-2</v>
      </c>
      <c r="O252" s="573"/>
      <c r="P252" s="573">
        <f t="shared" ref="P252" si="3366">LEFT($B251, SEARCH("%",$B251,1)-1)/100</f>
        <v>2.6000000000000002E-2</v>
      </c>
      <c r="Q252" s="573">
        <f t="shared" ref="Q252" si="3367">LEFT($B251, SEARCH("%",$B251,1)-1)/100</f>
        <v>2.6000000000000002E-2</v>
      </c>
      <c r="R252" s="573">
        <f t="shared" ref="R252" si="3368">LEFT($B251, SEARCH("%",$B251,1)-1)/100</f>
        <v>2.6000000000000002E-2</v>
      </c>
      <c r="S252" s="573">
        <f t="shared" ref="S252" si="3369">LEFT($B251, SEARCH("%",$B251,1)-1)/100</f>
        <v>2.6000000000000002E-2</v>
      </c>
      <c r="T252" s="573">
        <f t="shared" ref="T252" si="3370">LEFT($B251, SEARCH("%",$B251,1)-1)/100</f>
        <v>2.6000000000000002E-2</v>
      </c>
      <c r="U252" s="573"/>
      <c r="V252" s="573">
        <f t="shared" ref="V252" si="3371">LEFT($B251, SEARCH("%",$B251,1)-1)/100</f>
        <v>2.6000000000000002E-2</v>
      </c>
      <c r="W252" s="573">
        <f t="shared" ref="W252" si="3372">LEFT($B251, SEARCH("%",$B251,1)-1)/100</f>
        <v>2.6000000000000002E-2</v>
      </c>
      <c r="X252" s="573">
        <f t="shared" ref="X252" si="3373">LEFT($B251, SEARCH("%",$B251,1)-1)/100</f>
        <v>2.6000000000000002E-2</v>
      </c>
      <c r="Y252" s="573">
        <f t="shared" ref="Y252" si="3374">LEFT($B251, SEARCH("%",$B251,1)-1)/100</f>
        <v>2.6000000000000002E-2</v>
      </c>
      <c r="Z252" s="573">
        <f t="shared" ref="Z252" si="3375">LEFT($B251, SEARCH("%",$B251,1)-1)/100</f>
        <v>2.6000000000000002E-2</v>
      </c>
      <c r="AA252" s="573"/>
      <c r="AB252" s="573">
        <f t="shared" ref="AB252" si="3376">LEFT($B251, SEARCH("%",$B251,1)-1)/100</f>
        <v>2.6000000000000002E-2</v>
      </c>
      <c r="AC252" s="573">
        <f t="shared" ref="AC252" si="3377">LEFT($B251, SEARCH("%",$B251,1)-1)/100</f>
        <v>2.6000000000000002E-2</v>
      </c>
      <c r="AD252" s="573">
        <f t="shared" ref="AD252" si="3378">LEFT($B251, SEARCH("%",$B251,1)-1)/100</f>
        <v>2.6000000000000002E-2</v>
      </c>
      <c r="AE252" s="573">
        <f t="shared" ref="AE252" si="3379">LEFT($B251, SEARCH("%",$B251,1)-1)/100</f>
        <v>2.6000000000000002E-2</v>
      </c>
      <c r="AF252" s="573">
        <f t="shared" ref="AF252" si="3380">LEFT($B251, SEARCH("%",$B251,1)-1)/100</f>
        <v>2.6000000000000002E-2</v>
      </c>
      <c r="AG252" s="573"/>
      <c r="AH252" s="573">
        <f t="shared" ref="AH252" si="3381">LEFT($B251, SEARCH("%",$B251,1)-1)/100</f>
        <v>2.6000000000000002E-2</v>
      </c>
      <c r="AI252" s="573">
        <f t="shared" ref="AI252" si="3382">LEFT($B251, SEARCH("%",$B251,1)-1)/100</f>
        <v>2.6000000000000002E-2</v>
      </c>
      <c r="AJ252" s="573">
        <f t="shared" ref="AJ252" si="3383">LEFT($B251, SEARCH("%",$B251,1)-1)/100</f>
        <v>2.6000000000000002E-2</v>
      </c>
      <c r="AK252" s="573">
        <f t="shared" ref="AK252" si="3384">LEFT($B251, SEARCH("%",$B251,1)-1)/100</f>
        <v>2.6000000000000002E-2</v>
      </c>
      <c r="AL252" s="573">
        <f t="shared" ref="AL252" si="3385">LEFT($B251, SEARCH("%",$B251,1)-1)/100</f>
        <v>2.6000000000000002E-2</v>
      </c>
      <c r="AM252" s="573"/>
      <c r="AN252" s="573">
        <f t="shared" ref="AN252" si="3386">LEFT($B251, SEARCH("%",$B251,1)-1)/100</f>
        <v>2.6000000000000002E-2</v>
      </c>
      <c r="AO252" s="573">
        <f t="shared" ref="AO252" si="3387">LEFT($B251, SEARCH("%",$B251,1)-1)/100</f>
        <v>2.6000000000000002E-2</v>
      </c>
      <c r="AP252" s="573">
        <f t="shared" ref="AP252" si="3388">LEFT($B251, SEARCH("%",$B251,1)-1)/100</f>
        <v>2.6000000000000002E-2</v>
      </c>
      <c r="AQ252" s="573">
        <f t="shared" ref="AQ252" si="3389">LEFT($B251, SEARCH("%",$B251,1)-1)/100</f>
        <v>2.6000000000000002E-2</v>
      </c>
      <c r="AR252" s="573">
        <f t="shared" ref="AR252" si="3390">LEFT($B251, SEARCH("%",$B251,1)-1)/100</f>
        <v>2.6000000000000002E-2</v>
      </c>
      <c r="AS252" s="573"/>
      <c r="AT252" s="573">
        <f t="shared" ref="AT252" si="3391">LEFT($B251, SEARCH("%",$B251,1)-1)/100</f>
        <v>2.6000000000000002E-2</v>
      </c>
      <c r="AU252" s="573">
        <f t="shared" ref="AU252" si="3392">LEFT($B251, SEARCH("%",$B251,1)-1)/100</f>
        <v>2.6000000000000002E-2</v>
      </c>
      <c r="AV252" s="573">
        <f t="shared" ref="AV252" si="3393">LEFT($B251, SEARCH("%",$B251,1)-1)/100</f>
        <v>2.6000000000000002E-2</v>
      </c>
      <c r="AW252" s="623">
        <f t="shared" ref="AW252" si="3394">LEFT($B251, SEARCH("%",$B251,1)-1)/100</f>
        <v>2.6000000000000002E-2</v>
      </c>
      <c r="AX252" s="573">
        <f t="shared" ref="AX252" si="3395">LEFT($B251, SEARCH("%",$B251,1)-1)/100</f>
        <v>2.6000000000000002E-2</v>
      </c>
      <c r="AY252" s="573"/>
      <c r="AZ252" s="573">
        <f t="shared" ref="AZ252" si="3396">LEFT($B251, SEARCH("%",$B251,1)-1)/100</f>
        <v>2.6000000000000002E-2</v>
      </c>
      <c r="BA252" s="573">
        <f t="shared" ref="BA252" si="3397">LEFT($B251, SEARCH("%",$B251,1)-1)/100</f>
        <v>2.6000000000000002E-2</v>
      </c>
      <c r="BB252" s="573">
        <f t="shared" ref="BB252" si="3398">LEFT($B251, SEARCH("%",$B251,1)-1)/100</f>
        <v>2.6000000000000002E-2</v>
      </c>
      <c r="BC252" s="573">
        <f t="shared" ref="BC252" si="3399">LEFT($B251, SEARCH("%",$B251,1)-1)/100</f>
        <v>2.6000000000000002E-2</v>
      </c>
      <c r="BD252" s="573">
        <f t="shared" ref="BD252" si="3400">LEFT($B251, SEARCH("%",$B251,1)-1)/100</f>
        <v>2.6000000000000002E-2</v>
      </c>
      <c r="BE252" s="573"/>
      <c r="BF252" s="573">
        <f t="shared" ref="BF252" si="3401">LEFT($B251, SEARCH("%",$B251,1)-1)/100</f>
        <v>2.6000000000000002E-2</v>
      </c>
      <c r="BG252" s="573">
        <f t="shared" ref="BG252" si="3402">LEFT($B251, SEARCH("%",$B251,1)-1)/100</f>
        <v>2.6000000000000002E-2</v>
      </c>
      <c r="BH252" s="573">
        <f t="shared" ref="BH252" si="3403">LEFT($B251, SEARCH("%",$B251,1)-1)/100</f>
        <v>2.6000000000000002E-2</v>
      </c>
      <c r="BI252" s="573">
        <f t="shared" ref="BI252" si="3404">LEFT($B251, SEARCH("%",$B251,1)-1)/100</f>
        <v>2.6000000000000002E-2</v>
      </c>
      <c r="BJ252" s="573">
        <f t="shared" ref="BJ252" si="3405">LEFT($B251, SEARCH("%",$B251,1)-1)/100</f>
        <v>2.6000000000000002E-2</v>
      </c>
      <c r="BK252" s="573"/>
      <c r="BL252" s="573">
        <f t="shared" ref="BL252" si="3406">LEFT($B251, SEARCH("%",$B251,1)-1)/100</f>
        <v>2.6000000000000002E-2</v>
      </c>
      <c r="BM252" s="573">
        <f t="shared" ref="BM252" si="3407">LEFT($B251, SEARCH("%",$B251,1)-1)/100</f>
        <v>2.6000000000000002E-2</v>
      </c>
      <c r="BN252" s="573">
        <f t="shared" ref="BN252" si="3408">LEFT($B251, SEARCH("%",$B251,1)-1)/100</f>
        <v>2.6000000000000002E-2</v>
      </c>
      <c r="BO252" s="573">
        <f t="shared" ref="BO252" si="3409">LEFT($B251, SEARCH("%",$B251,1)-1)/100</f>
        <v>2.6000000000000002E-2</v>
      </c>
      <c r="BP252" s="573">
        <f t="shared" ref="BP252" si="3410">LEFT($B251, SEARCH("%",$B251,1)-1)/100</f>
        <v>2.6000000000000002E-2</v>
      </c>
      <c r="BQ252" s="573"/>
      <c r="BR252" s="573">
        <f t="shared" ref="BR252" si="3411">LEFT($B251, SEARCH("%",$B251,1)-1)/100</f>
        <v>2.6000000000000002E-2</v>
      </c>
      <c r="BS252" s="573">
        <f t="shared" ref="BS252" si="3412">LEFT($B251, SEARCH("%",$B251,1)-1)/100</f>
        <v>2.6000000000000002E-2</v>
      </c>
      <c r="BT252" s="573">
        <f t="shared" ref="BT252" si="3413">LEFT($B251, SEARCH("%",$B251,1)-1)/100</f>
        <v>2.6000000000000002E-2</v>
      </c>
      <c r="BU252" s="573">
        <f t="shared" ref="BU252" si="3414">LEFT($B251, SEARCH("%",$B251,1)-1)/100</f>
        <v>2.6000000000000002E-2</v>
      </c>
      <c r="BV252" s="573">
        <f t="shared" ref="BV252" si="3415">LEFT($B251, SEARCH("%",$B251,1)-1)/100</f>
        <v>2.6000000000000002E-2</v>
      </c>
      <c r="BW252" s="573"/>
      <c r="BX252" s="573">
        <f t="shared" ref="BX252" si="3416">LEFT($B251, SEARCH("%",$B251,1)-1)/100</f>
        <v>2.6000000000000002E-2</v>
      </c>
      <c r="BY252" s="573">
        <f t="shared" ref="BY252" si="3417">LEFT($B251, SEARCH("%",$B251,1)-1)/100</f>
        <v>2.6000000000000002E-2</v>
      </c>
      <c r="BZ252" s="573">
        <f t="shared" ref="BZ252" si="3418">LEFT($B251, SEARCH("%",$B251,1)-1)/100</f>
        <v>2.6000000000000002E-2</v>
      </c>
      <c r="CA252" s="573">
        <f t="shared" ref="CA252" si="3419">LEFT($B251, SEARCH("%",$B251,1)-1)/100</f>
        <v>2.6000000000000002E-2</v>
      </c>
      <c r="CB252" s="573">
        <f t="shared" ref="CB252" si="3420">LEFT($B251, SEARCH("%",$B251,1)-1)/100</f>
        <v>2.6000000000000002E-2</v>
      </c>
      <c r="CC252" s="573"/>
      <c r="CD252" s="573">
        <f t="shared" ref="CD252" si="3421">LEFT($B251, SEARCH("%",$B251,1)-1)/100</f>
        <v>2.6000000000000002E-2</v>
      </c>
      <c r="CE252" s="573">
        <f t="shared" ref="CE252" si="3422">LEFT($B251, SEARCH("%",$B251,1)-1)/100</f>
        <v>2.6000000000000002E-2</v>
      </c>
      <c r="CF252" s="573">
        <f t="shared" ref="CF252" si="3423">LEFT($B251, SEARCH("%",$B251,1)-1)/100</f>
        <v>2.6000000000000002E-2</v>
      </c>
      <c r="CG252" s="573">
        <f t="shared" ref="CG252" si="3424">LEFT($B251, SEARCH("%",$B251,1)-1)/100</f>
        <v>2.6000000000000002E-2</v>
      </c>
      <c r="CH252" s="573">
        <f t="shared" ref="CH252" si="3425">LEFT($B251, SEARCH("%",$B251,1)-1)/100</f>
        <v>2.6000000000000002E-2</v>
      </c>
      <c r="CI252" s="573"/>
      <c r="CJ252" s="573">
        <f t="shared" ref="CJ252" si="3426">LEFT($B251, SEARCH("%",$B251,1)-1)/100</f>
        <v>2.6000000000000002E-2</v>
      </c>
      <c r="CK252" s="573">
        <f t="shared" ref="CK252" si="3427">LEFT($B251, SEARCH("%",$B251,1)-1)/100</f>
        <v>2.6000000000000002E-2</v>
      </c>
      <c r="CL252" s="573">
        <f t="shared" ref="CL252" si="3428">LEFT($B251, SEARCH("%",$B251,1)-1)/100</f>
        <v>2.6000000000000002E-2</v>
      </c>
      <c r="CM252" s="573">
        <f t="shared" ref="CM252" si="3429">LEFT($B251, SEARCH("%",$B251,1)-1)/100</f>
        <v>2.6000000000000002E-2</v>
      </c>
      <c r="CN252" s="573">
        <f t="shared" ref="CN252" si="3430">LEFT($B251, SEARCH("%",$B251,1)-1)/100</f>
        <v>2.6000000000000002E-2</v>
      </c>
      <c r="CO252" s="573"/>
      <c r="CP252" s="573"/>
    </row>
    <row r="253" spans="2:94" ht="12.95" hidden="1" customHeight="1" outlineLevel="1" x14ac:dyDescent="0.25">
      <c r="B253" s="2" t="s">
        <v>588</v>
      </c>
      <c r="S253" s="2">
        <v>982</v>
      </c>
      <c r="T253" s="2">
        <v>982</v>
      </c>
      <c r="V253" s="2">
        <v>982</v>
      </c>
      <c r="W253" s="2">
        <v>982</v>
      </c>
      <c r="X253" s="2">
        <v>982</v>
      </c>
      <c r="Y253" s="2">
        <v>982</v>
      </c>
      <c r="Z253" s="2">
        <v>982</v>
      </c>
      <c r="AB253" s="6">
        <v>982</v>
      </c>
      <c r="AC253" s="6">
        <v>982</v>
      </c>
      <c r="AD253" s="6">
        <v>982</v>
      </c>
      <c r="AE253" s="6">
        <v>983</v>
      </c>
      <c r="AF253" s="6">
        <v>983</v>
      </c>
      <c r="AG253" s="6"/>
      <c r="AH253" s="6">
        <v>983</v>
      </c>
      <c r="AI253" s="6">
        <v>983</v>
      </c>
      <c r="AJ253" s="6">
        <v>983</v>
      </c>
      <c r="AK253" s="6">
        <v>983</v>
      </c>
      <c r="AL253" s="6">
        <v>983</v>
      </c>
      <c r="AM253" s="6"/>
      <c r="AN253" s="6">
        <v>983</v>
      </c>
      <c r="AO253" s="243">
        <v>983</v>
      </c>
      <c r="AP253" s="6">
        <v>983</v>
      </c>
      <c r="AQ253" s="243">
        <v>984</v>
      </c>
      <c r="AR253" s="243">
        <v>984</v>
      </c>
      <c r="AS253" s="6"/>
      <c r="AT253" s="6">
        <v>984</v>
      </c>
      <c r="AU253" s="243">
        <v>984</v>
      </c>
      <c r="AV253" s="243">
        <v>984</v>
      </c>
      <c r="AW253" s="164">
        <v>984</v>
      </c>
      <c r="AX253" s="6">
        <v>984</v>
      </c>
      <c r="AY253" s="6"/>
      <c r="AZ253" s="6">
        <v>984</v>
      </c>
      <c r="BA253" s="6">
        <v>984</v>
      </c>
      <c r="BB253" s="6">
        <v>984</v>
      </c>
      <c r="BC253" s="6">
        <v>984</v>
      </c>
      <c r="BD253" s="6">
        <v>984</v>
      </c>
      <c r="BE253" s="6"/>
      <c r="BF253" s="6">
        <v>984</v>
      </c>
      <c r="BG253" s="6">
        <v>984</v>
      </c>
      <c r="BH253" s="6">
        <v>984</v>
      </c>
      <c r="BI253" s="6">
        <v>984</v>
      </c>
      <c r="BJ253" s="6">
        <v>984</v>
      </c>
      <c r="BK253" s="6"/>
      <c r="BL253" s="6">
        <v>984</v>
      </c>
      <c r="BM253" s="6">
        <v>984</v>
      </c>
      <c r="BN253" s="6">
        <v>984</v>
      </c>
      <c r="BO253" s="6">
        <v>984</v>
      </c>
      <c r="BP253" s="6">
        <v>984</v>
      </c>
      <c r="BQ253" s="6"/>
      <c r="BR253" s="6">
        <v>984</v>
      </c>
      <c r="BS253" s="6">
        <v>984</v>
      </c>
      <c r="BT253" s="6">
        <v>984</v>
      </c>
      <c r="BU253" s="6">
        <v>984</v>
      </c>
      <c r="BV253" s="6">
        <v>984</v>
      </c>
      <c r="BW253" s="6"/>
      <c r="BX253" s="6">
        <v>984</v>
      </c>
      <c r="BY253" s="6">
        <v>984</v>
      </c>
      <c r="BZ253" s="6">
        <v>984</v>
      </c>
      <c r="CA253" s="6">
        <v>984</v>
      </c>
      <c r="CB253" s="6">
        <v>984</v>
      </c>
      <c r="CC253" s="6"/>
      <c r="CD253" s="6">
        <v>984</v>
      </c>
      <c r="CE253" s="6">
        <v>984</v>
      </c>
      <c r="CF253" s="6">
        <v>984</v>
      </c>
      <c r="CG253" s="6">
        <v>984</v>
      </c>
      <c r="CH253" s="6">
        <v>984</v>
      </c>
      <c r="CI253" s="6"/>
      <c r="CJ253" s="6">
        <v>984</v>
      </c>
      <c r="CK253" s="6">
        <v>984</v>
      </c>
      <c r="CL253" s="6">
        <v>984</v>
      </c>
      <c r="CM253" s="6">
        <v>984</v>
      </c>
      <c r="CN253" s="6">
        <v>984</v>
      </c>
    </row>
    <row r="254" spans="2:94" ht="12.95" hidden="1" customHeight="1" outlineLevel="1" x14ac:dyDescent="0.25">
      <c r="B254" s="2" t="s">
        <v>40</v>
      </c>
      <c r="D254" s="573">
        <f>LEFT($B253, SEARCH("%",$B253,1)-1)/100</f>
        <v>3.2500000000000001E-2</v>
      </c>
      <c r="E254" s="573">
        <f t="shared" ref="E254" si="3431">LEFT($B253, SEARCH("%",$B253,1)-1)/100</f>
        <v>3.2500000000000001E-2</v>
      </c>
      <c r="F254" s="573">
        <f t="shared" ref="F254" si="3432">LEFT($B253, SEARCH("%",$B253,1)-1)/100</f>
        <v>3.2500000000000001E-2</v>
      </c>
      <c r="G254" s="573">
        <f t="shared" ref="G254" si="3433">LEFT($B253, SEARCH("%",$B253,1)-1)/100</f>
        <v>3.2500000000000001E-2</v>
      </c>
      <c r="H254" s="573">
        <f t="shared" ref="H254" si="3434">LEFT($B253, SEARCH("%",$B253,1)-1)/100</f>
        <v>3.2500000000000001E-2</v>
      </c>
      <c r="I254" s="573"/>
      <c r="J254" s="573">
        <f t="shared" ref="J254" si="3435">LEFT($B253, SEARCH("%",$B253,1)-1)/100</f>
        <v>3.2500000000000001E-2</v>
      </c>
      <c r="K254" s="573">
        <f t="shared" ref="K254" si="3436">LEFT($B253, SEARCH("%",$B253,1)-1)/100</f>
        <v>3.2500000000000001E-2</v>
      </c>
      <c r="L254" s="573">
        <f t="shared" ref="L254" si="3437">LEFT($B253, SEARCH("%",$B253,1)-1)/100</f>
        <v>3.2500000000000001E-2</v>
      </c>
      <c r="M254" s="573">
        <f t="shared" ref="M254" si="3438">LEFT($B253, SEARCH("%",$B253,1)-1)/100</f>
        <v>3.2500000000000001E-2</v>
      </c>
      <c r="N254" s="573">
        <f t="shared" ref="N254" si="3439">LEFT($B253, SEARCH("%",$B253,1)-1)/100</f>
        <v>3.2500000000000001E-2</v>
      </c>
      <c r="O254" s="573"/>
      <c r="P254" s="573">
        <f t="shared" ref="P254" si="3440">LEFT($B253, SEARCH("%",$B253,1)-1)/100</f>
        <v>3.2500000000000001E-2</v>
      </c>
      <c r="Q254" s="573">
        <f t="shared" ref="Q254" si="3441">LEFT($B253, SEARCH("%",$B253,1)-1)/100</f>
        <v>3.2500000000000001E-2</v>
      </c>
      <c r="R254" s="573">
        <f t="shared" ref="R254" si="3442">LEFT($B253, SEARCH("%",$B253,1)-1)/100</f>
        <v>3.2500000000000001E-2</v>
      </c>
      <c r="S254" s="573">
        <f t="shared" ref="S254" si="3443">LEFT($B253, SEARCH("%",$B253,1)-1)/100</f>
        <v>3.2500000000000001E-2</v>
      </c>
      <c r="T254" s="573">
        <f t="shared" ref="T254" si="3444">LEFT($B253, SEARCH("%",$B253,1)-1)/100</f>
        <v>3.2500000000000001E-2</v>
      </c>
      <c r="U254" s="573"/>
      <c r="V254" s="573">
        <f t="shared" ref="V254" si="3445">LEFT($B253, SEARCH("%",$B253,1)-1)/100</f>
        <v>3.2500000000000001E-2</v>
      </c>
      <c r="W254" s="573">
        <f t="shared" ref="W254" si="3446">LEFT($B253, SEARCH("%",$B253,1)-1)/100</f>
        <v>3.2500000000000001E-2</v>
      </c>
      <c r="X254" s="573">
        <f t="shared" ref="X254" si="3447">LEFT($B253, SEARCH("%",$B253,1)-1)/100</f>
        <v>3.2500000000000001E-2</v>
      </c>
      <c r="Y254" s="573">
        <f t="shared" ref="Y254" si="3448">LEFT($B253, SEARCH("%",$B253,1)-1)/100</f>
        <v>3.2500000000000001E-2</v>
      </c>
      <c r="Z254" s="573">
        <f t="shared" ref="Z254" si="3449">LEFT($B253, SEARCH("%",$B253,1)-1)/100</f>
        <v>3.2500000000000001E-2</v>
      </c>
      <c r="AA254" s="573"/>
      <c r="AB254" s="573">
        <f t="shared" ref="AB254" si="3450">LEFT($B253, SEARCH("%",$B253,1)-1)/100</f>
        <v>3.2500000000000001E-2</v>
      </c>
      <c r="AC254" s="573">
        <f t="shared" ref="AC254" si="3451">LEFT($B253, SEARCH("%",$B253,1)-1)/100</f>
        <v>3.2500000000000001E-2</v>
      </c>
      <c r="AD254" s="573">
        <f t="shared" ref="AD254" si="3452">LEFT($B253, SEARCH("%",$B253,1)-1)/100</f>
        <v>3.2500000000000001E-2</v>
      </c>
      <c r="AE254" s="573">
        <f t="shared" ref="AE254" si="3453">LEFT($B253, SEARCH("%",$B253,1)-1)/100</f>
        <v>3.2500000000000001E-2</v>
      </c>
      <c r="AF254" s="573">
        <f t="shared" ref="AF254" si="3454">LEFT($B253, SEARCH("%",$B253,1)-1)/100</f>
        <v>3.2500000000000001E-2</v>
      </c>
      <c r="AG254" s="573"/>
      <c r="AH254" s="573">
        <f t="shared" ref="AH254" si="3455">LEFT($B253, SEARCH("%",$B253,1)-1)/100</f>
        <v>3.2500000000000001E-2</v>
      </c>
      <c r="AI254" s="573">
        <f t="shared" ref="AI254" si="3456">LEFT($B253, SEARCH("%",$B253,1)-1)/100</f>
        <v>3.2500000000000001E-2</v>
      </c>
      <c r="AJ254" s="573">
        <f t="shared" ref="AJ254" si="3457">LEFT($B253, SEARCH("%",$B253,1)-1)/100</f>
        <v>3.2500000000000001E-2</v>
      </c>
      <c r="AK254" s="573">
        <f t="shared" ref="AK254" si="3458">LEFT($B253, SEARCH("%",$B253,1)-1)/100</f>
        <v>3.2500000000000001E-2</v>
      </c>
      <c r="AL254" s="573">
        <f t="shared" ref="AL254" si="3459">LEFT($B253, SEARCH("%",$B253,1)-1)/100</f>
        <v>3.2500000000000001E-2</v>
      </c>
      <c r="AM254" s="573"/>
      <c r="AN254" s="573">
        <f t="shared" ref="AN254" si="3460">LEFT($B253, SEARCH("%",$B253,1)-1)/100</f>
        <v>3.2500000000000001E-2</v>
      </c>
      <c r="AO254" s="573">
        <f t="shared" ref="AO254" si="3461">LEFT($B253, SEARCH("%",$B253,1)-1)/100</f>
        <v>3.2500000000000001E-2</v>
      </c>
      <c r="AP254" s="573">
        <f t="shared" ref="AP254" si="3462">LEFT($B253, SEARCH("%",$B253,1)-1)/100</f>
        <v>3.2500000000000001E-2</v>
      </c>
      <c r="AQ254" s="573">
        <f t="shared" ref="AQ254" si="3463">LEFT($B253, SEARCH("%",$B253,1)-1)/100</f>
        <v>3.2500000000000001E-2</v>
      </c>
      <c r="AR254" s="573">
        <f t="shared" ref="AR254" si="3464">LEFT($B253, SEARCH("%",$B253,1)-1)/100</f>
        <v>3.2500000000000001E-2</v>
      </c>
      <c r="AS254" s="573"/>
      <c r="AT254" s="573">
        <f t="shared" ref="AT254" si="3465">LEFT($B253, SEARCH("%",$B253,1)-1)/100</f>
        <v>3.2500000000000001E-2</v>
      </c>
      <c r="AU254" s="573">
        <f t="shared" ref="AU254" si="3466">LEFT($B253, SEARCH("%",$B253,1)-1)/100</f>
        <v>3.2500000000000001E-2</v>
      </c>
      <c r="AV254" s="573">
        <f t="shared" ref="AV254" si="3467">LEFT($B253, SEARCH("%",$B253,1)-1)/100</f>
        <v>3.2500000000000001E-2</v>
      </c>
      <c r="AW254" s="623">
        <f t="shared" ref="AW254" si="3468">LEFT($B253, SEARCH("%",$B253,1)-1)/100</f>
        <v>3.2500000000000001E-2</v>
      </c>
      <c r="AX254" s="573">
        <f t="shared" ref="AX254" si="3469">LEFT($B253, SEARCH("%",$B253,1)-1)/100</f>
        <v>3.2500000000000001E-2</v>
      </c>
      <c r="AY254" s="573"/>
      <c r="AZ254" s="573">
        <f t="shared" ref="AZ254" si="3470">LEFT($B253, SEARCH("%",$B253,1)-1)/100</f>
        <v>3.2500000000000001E-2</v>
      </c>
      <c r="BA254" s="573">
        <f t="shared" ref="BA254" si="3471">LEFT($B253, SEARCH("%",$B253,1)-1)/100</f>
        <v>3.2500000000000001E-2</v>
      </c>
      <c r="BB254" s="573">
        <f t="shared" ref="BB254" si="3472">LEFT($B253, SEARCH("%",$B253,1)-1)/100</f>
        <v>3.2500000000000001E-2</v>
      </c>
      <c r="BC254" s="573">
        <f t="shared" ref="BC254" si="3473">LEFT($B253, SEARCH("%",$B253,1)-1)/100</f>
        <v>3.2500000000000001E-2</v>
      </c>
      <c r="BD254" s="573">
        <f t="shared" ref="BD254" si="3474">LEFT($B253, SEARCH("%",$B253,1)-1)/100</f>
        <v>3.2500000000000001E-2</v>
      </c>
      <c r="BE254" s="573"/>
      <c r="BF254" s="573">
        <f t="shared" ref="BF254" si="3475">LEFT($B253, SEARCH("%",$B253,1)-1)/100</f>
        <v>3.2500000000000001E-2</v>
      </c>
      <c r="BG254" s="573">
        <f t="shared" ref="BG254" si="3476">LEFT($B253, SEARCH("%",$B253,1)-1)/100</f>
        <v>3.2500000000000001E-2</v>
      </c>
      <c r="BH254" s="573">
        <f t="shared" ref="BH254" si="3477">LEFT($B253, SEARCH("%",$B253,1)-1)/100</f>
        <v>3.2500000000000001E-2</v>
      </c>
      <c r="BI254" s="573">
        <f t="shared" ref="BI254" si="3478">LEFT($B253, SEARCH("%",$B253,1)-1)/100</f>
        <v>3.2500000000000001E-2</v>
      </c>
      <c r="BJ254" s="573">
        <f t="shared" ref="BJ254" si="3479">LEFT($B253, SEARCH("%",$B253,1)-1)/100</f>
        <v>3.2500000000000001E-2</v>
      </c>
      <c r="BK254" s="573"/>
      <c r="BL254" s="573">
        <f t="shared" ref="BL254" si="3480">LEFT($B253, SEARCH("%",$B253,1)-1)/100</f>
        <v>3.2500000000000001E-2</v>
      </c>
      <c r="BM254" s="573">
        <f t="shared" ref="BM254" si="3481">LEFT($B253, SEARCH("%",$B253,1)-1)/100</f>
        <v>3.2500000000000001E-2</v>
      </c>
      <c r="BN254" s="573">
        <f t="shared" ref="BN254" si="3482">LEFT($B253, SEARCH("%",$B253,1)-1)/100</f>
        <v>3.2500000000000001E-2</v>
      </c>
      <c r="BO254" s="573">
        <f t="shared" ref="BO254" si="3483">LEFT($B253, SEARCH("%",$B253,1)-1)/100</f>
        <v>3.2500000000000001E-2</v>
      </c>
      <c r="BP254" s="573">
        <f t="shared" ref="BP254" si="3484">LEFT($B253, SEARCH("%",$B253,1)-1)/100</f>
        <v>3.2500000000000001E-2</v>
      </c>
      <c r="BQ254" s="573"/>
      <c r="BR254" s="573">
        <f t="shared" ref="BR254" si="3485">LEFT($B253, SEARCH("%",$B253,1)-1)/100</f>
        <v>3.2500000000000001E-2</v>
      </c>
      <c r="BS254" s="573">
        <f t="shared" ref="BS254" si="3486">LEFT($B253, SEARCH("%",$B253,1)-1)/100</f>
        <v>3.2500000000000001E-2</v>
      </c>
      <c r="BT254" s="573">
        <f t="shared" ref="BT254" si="3487">LEFT($B253, SEARCH("%",$B253,1)-1)/100</f>
        <v>3.2500000000000001E-2</v>
      </c>
      <c r="BU254" s="573">
        <f t="shared" ref="BU254" si="3488">LEFT($B253, SEARCH("%",$B253,1)-1)/100</f>
        <v>3.2500000000000001E-2</v>
      </c>
      <c r="BV254" s="573">
        <f t="shared" ref="BV254" si="3489">LEFT($B253, SEARCH("%",$B253,1)-1)/100</f>
        <v>3.2500000000000001E-2</v>
      </c>
      <c r="BW254" s="573"/>
      <c r="BX254" s="573">
        <f t="shared" ref="BX254" si="3490">LEFT($B253, SEARCH("%",$B253,1)-1)/100</f>
        <v>3.2500000000000001E-2</v>
      </c>
      <c r="BY254" s="573">
        <f t="shared" ref="BY254" si="3491">LEFT($B253, SEARCH("%",$B253,1)-1)/100</f>
        <v>3.2500000000000001E-2</v>
      </c>
      <c r="BZ254" s="573">
        <f t="shared" ref="BZ254" si="3492">LEFT($B253, SEARCH("%",$B253,1)-1)/100</f>
        <v>3.2500000000000001E-2</v>
      </c>
      <c r="CA254" s="573">
        <f t="shared" ref="CA254" si="3493">LEFT($B253, SEARCH("%",$B253,1)-1)/100</f>
        <v>3.2500000000000001E-2</v>
      </c>
      <c r="CB254" s="573">
        <f t="shared" ref="CB254" si="3494">LEFT($B253, SEARCH("%",$B253,1)-1)/100</f>
        <v>3.2500000000000001E-2</v>
      </c>
      <c r="CC254" s="573"/>
      <c r="CD254" s="573">
        <f t="shared" ref="CD254" si="3495">LEFT($B253, SEARCH("%",$B253,1)-1)/100</f>
        <v>3.2500000000000001E-2</v>
      </c>
      <c r="CE254" s="573">
        <f t="shared" ref="CE254" si="3496">LEFT($B253, SEARCH("%",$B253,1)-1)/100</f>
        <v>3.2500000000000001E-2</v>
      </c>
      <c r="CF254" s="573">
        <f t="shared" ref="CF254" si="3497">LEFT($B253, SEARCH("%",$B253,1)-1)/100</f>
        <v>3.2500000000000001E-2</v>
      </c>
      <c r="CG254" s="573">
        <f t="shared" ref="CG254" si="3498">LEFT($B253, SEARCH("%",$B253,1)-1)/100</f>
        <v>3.2500000000000001E-2</v>
      </c>
      <c r="CH254" s="573">
        <f t="shared" ref="CH254" si="3499">LEFT($B253, SEARCH("%",$B253,1)-1)/100</f>
        <v>3.2500000000000001E-2</v>
      </c>
      <c r="CI254" s="573"/>
      <c r="CJ254" s="573">
        <f t="shared" ref="CJ254" si="3500">LEFT($B253, SEARCH("%",$B253,1)-1)/100</f>
        <v>3.2500000000000001E-2</v>
      </c>
      <c r="CK254" s="573">
        <f t="shared" ref="CK254" si="3501">LEFT($B253, SEARCH("%",$B253,1)-1)/100</f>
        <v>3.2500000000000001E-2</v>
      </c>
      <c r="CL254" s="573">
        <f t="shared" ref="CL254" si="3502">LEFT($B253, SEARCH("%",$B253,1)-1)/100</f>
        <v>3.2500000000000001E-2</v>
      </c>
      <c r="CM254" s="573">
        <f t="shared" ref="CM254" si="3503">LEFT($B253, SEARCH("%",$B253,1)-1)/100</f>
        <v>3.2500000000000001E-2</v>
      </c>
      <c r="CN254" s="573">
        <f t="shared" ref="CN254" si="3504">LEFT($B253, SEARCH("%",$B253,1)-1)/100</f>
        <v>3.2500000000000001E-2</v>
      </c>
      <c r="CO254" s="573"/>
      <c r="CP254" s="573"/>
    </row>
    <row r="255" spans="2:94" ht="12.95" hidden="1" customHeight="1" outlineLevel="1" x14ac:dyDescent="0.25">
      <c r="B255" s="2" t="s">
        <v>589</v>
      </c>
      <c r="W255" s="2">
        <v>800</v>
      </c>
      <c r="X255" s="2">
        <v>800</v>
      </c>
      <c r="Y255" s="2">
        <v>800</v>
      </c>
      <c r="Z255" s="2">
        <v>800</v>
      </c>
      <c r="AB255" s="6">
        <v>800</v>
      </c>
      <c r="AC255" s="6">
        <v>800</v>
      </c>
      <c r="AD255" s="6">
        <v>800</v>
      </c>
      <c r="AE255" s="6">
        <v>793</v>
      </c>
      <c r="AF255" s="6">
        <v>793</v>
      </c>
      <c r="AG255" s="6"/>
      <c r="AH255" s="6">
        <v>793</v>
      </c>
      <c r="AI255" s="6">
        <v>793</v>
      </c>
      <c r="AJ255" s="6">
        <v>793</v>
      </c>
      <c r="AK255" s="6">
        <v>794</v>
      </c>
      <c r="AL255" s="6">
        <v>794</v>
      </c>
      <c r="AM255" s="6"/>
      <c r="AN255" s="6">
        <v>794</v>
      </c>
      <c r="AO255" s="243">
        <v>794</v>
      </c>
      <c r="AP255" s="6">
        <v>794</v>
      </c>
      <c r="AQ255" s="243">
        <v>795</v>
      </c>
      <c r="AR255" s="243">
        <v>795</v>
      </c>
      <c r="AS255" s="6"/>
      <c r="AT255" s="6">
        <v>795</v>
      </c>
      <c r="AU255" s="243">
        <v>795</v>
      </c>
      <c r="AV255" s="243">
        <v>795</v>
      </c>
      <c r="AW255" s="164">
        <v>795</v>
      </c>
      <c r="AX255" s="6">
        <v>795</v>
      </c>
      <c r="AY255" s="6"/>
      <c r="AZ255" s="6">
        <v>795</v>
      </c>
      <c r="BA255" s="6">
        <v>795</v>
      </c>
      <c r="BB255" s="6">
        <v>795</v>
      </c>
      <c r="BC255" s="6">
        <v>795</v>
      </c>
      <c r="BD255" s="6">
        <v>795</v>
      </c>
      <c r="BE255" s="6"/>
      <c r="BF255" s="6">
        <v>795</v>
      </c>
      <c r="BG255" s="6">
        <v>795</v>
      </c>
      <c r="BH255" s="6">
        <v>795</v>
      </c>
      <c r="BI255" s="6">
        <v>795</v>
      </c>
      <c r="BJ255" s="6">
        <v>795</v>
      </c>
      <c r="BK255" s="6"/>
      <c r="BL255" s="6">
        <v>795</v>
      </c>
      <c r="BM255" s="6">
        <v>795</v>
      </c>
      <c r="BN255" s="6">
        <v>795</v>
      </c>
      <c r="BO255" s="6">
        <v>795</v>
      </c>
      <c r="BP255" s="6">
        <v>795</v>
      </c>
      <c r="BQ255" s="6"/>
      <c r="BR255" s="6">
        <v>795</v>
      </c>
      <c r="BS255" s="6">
        <v>795</v>
      </c>
      <c r="BT255" s="6">
        <v>795</v>
      </c>
      <c r="BU255" s="6">
        <v>795</v>
      </c>
      <c r="BV255" s="6">
        <v>795</v>
      </c>
      <c r="BW255" s="6"/>
      <c r="BX255" s="6">
        <v>795</v>
      </c>
      <c r="BY255" s="6">
        <v>795</v>
      </c>
      <c r="BZ255" s="6">
        <v>795</v>
      </c>
      <c r="CA255" s="6">
        <v>795</v>
      </c>
      <c r="CB255" s="6">
        <v>795</v>
      </c>
      <c r="CC255" s="6"/>
      <c r="CD255" s="6">
        <v>795</v>
      </c>
      <c r="CE255" s="6">
        <v>795</v>
      </c>
      <c r="CF255" s="6">
        <v>795</v>
      </c>
      <c r="CG255" s="6">
        <v>795</v>
      </c>
      <c r="CH255" s="6">
        <v>795</v>
      </c>
      <c r="CI255" s="6"/>
      <c r="CJ255" s="6">
        <v>795</v>
      </c>
      <c r="CK255" s="6">
        <v>795</v>
      </c>
      <c r="CL255" s="6">
        <v>795</v>
      </c>
      <c r="CM255" s="6">
        <v>795</v>
      </c>
      <c r="CN255" s="6">
        <v>795</v>
      </c>
    </row>
    <row r="256" spans="2:94" ht="12.95" hidden="1" customHeight="1" outlineLevel="1" x14ac:dyDescent="0.25">
      <c r="B256" s="2" t="s">
        <v>40</v>
      </c>
      <c r="D256" s="573">
        <f>LEFT($B255, SEARCH("%",$B255,1)-1)/100</f>
        <v>2.6000000000000002E-2</v>
      </c>
      <c r="E256" s="573">
        <f t="shared" ref="E256" si="3505">LEFT($B255, SEARCH("%",$B255,1)-1)/100</f>
        <v>2.6000000000000002E-2</v>
      </c>
      <c r="F256" s="573">
        <f t="shared" ref="F256" si="3506">LEFT($B255, SEARCH("%",$B255,1)-1)/100</f>
        <v>2.6000000000000002E-2</v>
      </c>
      <c r="G256" s="573">
        <f t="shared" ref="G256" si="3507">LEFT($B255, SEARCH("%",$B255,1)-1)/100</f>
        <v>2.6000000000000002E-2</v>
      </c>
      <c r="H256" s="573">
        <f t="shared" ref="H256" si="3508">LEFT($B255, SEARCH("%",$B255,1)-1)/100</f>
        <v>2.6000000000000002E-2</v>
      </c>
      <c r="I256" s="573"/>
      <c r="J256" s="573">
        <f t="shared" ref="J256" si="3509">LEFT($B255, SEARCH("%",$B255,1)-1)/100</f>
        <v>2.6000000000000002E-2</v>
      </c>
      <c r="K256" s="573">
        <f t="shared" ref="K256" si="3510">LEFT($B255, SEARCH("%",$B255,1)-1)/100</f>
        <v>2.6000000000000002E-2</v>
      </c>
      <c r="L256" s="573">
        <f t="shared" ref="L256" si="3511">LEFT($B255, SEARCH("%",$B255,1)-1)/100</f>
        <v>2.6000000000000002E-2</v>
      </c>
      <c r="M256" s="573">
        <f t="shared" ref="M256" si="3512">LEFT($B255, SEARCH("%",$B255,1)-1)/100</f>
        <v>2.6000000000000002E-2</v>
      </c>
      <c r="N256" s="573">
        <f t="shared" ref="N256" si="3513">LEFT($B255, SEARCH("%",$B255,1)-1)/100</f>
        <v>2.6000000000000002E-2</v>
      </c>
      <c r="O256" s="573"/>
      <c r="P256" s="573">
        <f t="shared" ref="P256" si="3514">LEFT($B255, SEARCH("%",$B255,1)-1)/100</f>
        <v>2.6000000000000002E-2</v>
      </c>
      <c r="Q256" s="573">
        <f t="shared" ref="Q256" si="3515">LEFT($B255, SEARCH("%",$B255,1)-1)/100</f>
        <v>2.6000000000000002E-2</v>
      </c>
      <c r="R256" s="573">
        <f t="shared" ref="R256" si="3516">LEFT($B255, SEARCH("%",$B255,1)-1)/100</f>
        <v>2.6000000000000002E-2</v>
      </c>
      <c r="S256" s="573">
        <f t="shared" ref="S256" si="3517">LEFT($B255, SEARCH("%",$B255,1)-1)/100</f>
        <v>2.6000000000000002E-2</v>
      </c>
      <c r="T256" s="573">
        <f t="shared" ref="T256" si="3518">LEFT($B255, SEARCH("%",$B255,1)-1)/100</f>
        <v>2.6000000000000002E-2</v>
      </c>
      <c r="U256" s="573"/>
      <c r="V256" s="573">
        <f t="shared" ref="V256" si="3519">LEFT($B255, SEARCH("%",$B255,1)-1)/100</f>
        <v>2.6000000000000002E-2</v>
      </c>
      <c r="W256" s="573">
        <f t="shared" ref="W256" si="3520">LEFT($B255, SEARCH("%",$B255,1)-1)/100</f>
        <v>2.6000000000000002E-2</v>
      </c>
      <c r="X256" s="573">
        <f t="shared" ref="X256" si="3521">LEFT($B255, SEARCH("%",$B255,1)-1)/100</f>
        <v>2.6000000000000002E-2</v>
      </c>
      <c r="Y256" s="573">
        <f t="shared" ref="Y256" si="3522">LEFT($B255, SEARCH("%",$B255,1)-1)/100</f>
        <v>2.6000000000000002E-2</v>
      </c>
      <c r="Z256" s="573">
        <f t="shared" ref="Z256" si="3523">LEFT($B255, SEARCH("%",$B255,1)-1)/100</f>
        <v>2.6000000000000002E-2</v>
      </c>
      <c r="AA256" s="573"/>
      <c r="AB256" s="573">
        <f t="shared" ref="AB256" si="3524">LEFT($B255, SEARCH("%",$B255,1)-1)/100</f>
        <v>2.6000000000000002E-2</v>
      </c>
      <c r="AC256" s="573">
        <f t="shared" ref="AC256" si="3525">LEFT($B255, SEARCH("%",$B255,1)-1)/100</f>
        <v>2.6000000000000002E-2</v>
      </c>
      <c r="AD256" s="573">
        <f t="shared" ref="AD256" si="3526">LEFT($B255, SEARCH("%",$B255,1)-1)/100</f>
        <v>2.6000000000000002E-2</v>
      </c>
      <c r="AE256" s="573">
        <f t="shared" ref="AE256" si="3527">LEFT($B255, SEARCH("%",$B255,1)-1)/100</f>
        <v>2.6000000000000002E-2</v>
      </c>
      <c r="AF256" s="573">
        <f t="shared" ref="AF256" si="3528">LEFT($B255, SEARCH("%",$B255,1)-1)/100</f>
        <v>2.6000000000000002E-2</v>
      </c>
      <c r="AG256" s="573"/>
      <c r="AH256" s="573">
        <f t="shared" ref="AH256" si="3529">LEFT($B255, SEARCH("%",$B255,1)-1)/100</f>
        <v>2.6000000000000002E-2</v>
      </c>
      <c r="AI256" s="573">
        <f t="shared" ref="AI256" si="3530">LEFT($B255, SEARCH("%",$B255,1)-1)/100</f>
        <v>2.6000000000000002E-2</v>
      </c>
      <c r="AJ256" s="573">
        <f t="shared" ref="AJ256" si="3531">LEFT($B255, SEARCH("%",$B255,1)-1)/100</f>
        <v>2.6000000000000002E-2</v>
      </c>
      <c r="AK256" s="573">
        <f t="shared" ref="AK256" si="3532">LEFT($B255, SEARCH("%",$B255,1)-1)/100</f>
        <v>2.6000000000000002E-2</v>
      </c>
      <c r="AL256" s="573">
        <f t="shared" ref="AL256" si="3533">LEFT($B255, SEARCH("%",$B255,1)-1)/100</f>
        <v>2.6000000000000002E-2</v>
      </c>
      <c r="AM256" s="573"/>
      <c r="AN256" s="573">
        <f t="shared" ref="AN256" si="3534">LEFT($B255, SEARCH("%",$B255,1)-1)/100</f>
        <v>2.6000000000000002E-2</v>
      </c>
      <c r="AO256" s="573">
        <f t="shared" ref="AO256" si="3535">LEFT($B255, SEARCH("%",$B255,1)-1)/100</f>
        <v>2.6000000000000002E-2</v>
      </c>
      <c r="AP256" s="573">
        <f t="shared" ref="AP256" si="3536">LEFT($B255, SEARCH("%",$B255,1)-1)/100</f>
        <v>2.6000000000000002E-2</v>
      </c>
      <c r="AQ256" s="573">
        <f t="shared" ref="AQ256" si="3537">LEFT($B255, SEARCH("%",$B255,1)-1)/100</f>
        <v>2.6000000000000002E-2</v>
      </c>
      <c r="AR256" s="573">
        <f t="shared" ref="AR256" si="3538">LEFT($B255, SEARCH("%",$B255,1)-1)/100</f>
        <v>2.6000000000000002E-2</v>
      </c>
      <c r="AS256" s="573"/>
      <c r="AT256" s="573">
        <f t="shared" ref="AT256" si="3539">LEFT($B255, SEARCH("%",$B255,1)-1)/100</f>
        <v>2.6000000000000002E-2</v>
      </c>
      <c r="AU256" s="573">
        <f t="shared" ref="AU256" si="3540">LEFT($B255, SEARCH("%",$B255,1)-1)/100</f>
        <v>2.6000000000000002E-2</v>
      </c>
      <c r="AV256" s="573">
        <f t="shared" ref="AV256" si="3541">LEFT($B255, SEARCH("%",$B255,1)-1)/100</f>
        <v>2.6000000000000002E-2</v>
      </c>
      <c r="AW256" s="623">
        <f t="shared" ref="AW256" si="3542">LEFT($B255, SEARCH("%",$B255,1)-1)/100</f>
        <v>2.6000000000000002E-2</v>
      </c>
      <c r="AX256" s="573">
        <f t="shared" ref="AX256" si="3543">LEFT($B255, SEARCH("%",$B255,1)-1)/100</f>
        <v>2.6000000000000002E-2</v>
      </c>
      <c r="AY256" s="573"/>
      <c r="AZ256" s="573">
        <f t="shared" ref="AZ256" si="3544">LEFT($B255, SEARCH("%",$B255,1)-1)/100</f>
        <v>2.6000000000000002E-2</v>
      </c>
      <c r="BA256" s="573">
        <f t="shared" ref="BA256" si="3545">LEFT($B255, SEARCH("%",$B255,1)-1)/100</f>
        <v>2.6000000000000002E-2</v>
      </c>
      <c r="BB256" s="573">
        <f t="shared" ref="BB256" si="3546">LEFT($B255, SEARCH("%",$B255,1)-1)/100</f>
        <v>2.6000000000000002E-2</v>
      </c>
      <c r="BC256" s="573">
        <f t="shared" ref="BC256" si="3547">LEFT($B255, SEARCH("%",$B255,1)-1)/100</f>
        <v>2.6000000000000002E-2</v>
      </c>
      <c r="BD256" s="573">
        <f t="shared" ref="BD256" si="3548">LEFT($B255, SEARCH("%",$B255,1)-1)/100</f>
        <v>2.6000000000000002E-2</v>
      </c>
      <c r="BE256" s="573"/>
      <c r="BF256" s="573">
        <f t="shared" ref="BF256" si="3549">LEFT($B255, SEARCH("%",$B255,1)-1)/100</f>
        <v>2.6000000000000002E-2</v>
      </c>
      <c r="BG256" s="573">
        <f t="shared" ref="BG256" si="3550">LEFT($B255, SEARCH("%",$B255,1)-1)/100</f>
        <v>2.6000000000000002E-2</v>
      </c>
      <c r="BH256" s="573">
        <f t="shared" ref="BH256" si="3551">LEFT($B255, SEARCH("%",$B255,1)-1)/100</f>
        <v>2.6000000000000002E-2</v>
      </c>
      <c r="BI256" s="573">
        <f t="shared" ref="BI256" si="3552">LEFT($B255, SEARCH("%",$B255,1)-1)/100</f>
        <v>2.6000000000000002E-2</v>
      </c>
      <c r="BJ256" s="573">
        <f t="shared" ref="BJ256" si="3553">LEFT($B255, SEARCH("%",$B255,1)-1)/100</f>
        <v>2.6000000000000002E-2</v>
      </c>
      <c r="BK256" s="573"/>
      <c r="BL256" s="573">
        <f t="shared" ref="BL256" si="3554">LEFT($B255, SEARCH("%",$B255,1)-1)/100</f>
        <v>2.6000000000000002E-2</v>
      </c>
      <c r="BM256" s="573">
        <f t="shared" ref="BM256" si="3555">LEFT($B255, SEARCH("%",$B255,1)-1)/100</f>
        <v>2.6000000000000002E-2</v>
      </c>
      <c r="BN256" s="573">
        <f t="shared" ref="BN256" si="3556">LEFT($B255, SEARCH("%",$B255,1)-1)/100</f>
        <v>2.6000000000000002E-2</v>
      </c>
      <c r="BO256" s="573">
        <f t="shared" ref="BO256" si="3557">LEFT($B255, SEARCH("%",$B255,1)-1)/100</f>
        <v>2.6000000000000002E-2</v>
      </c>
      <c r="BP256" s="573">
        <f t="shared" ref="BP256" si="3558">LEFT($B255, SEARCH("%",$B255,1)-1)/100</f>
        <v>2.6000000000000002E-2</v>
      </c>
      <c r="BQ256" s="573"/>
      <c r="BR256" s="573">
        <f t="shared" ref="BR256" si="3559">LEFT($B255, SEARCH("%",$B255,1)-1)/100</f>
        <v>2.6000000000000002E-2</v>
      </c>
      <c r="BS256" s="573">
        <f t="shared" ref="BS256" si="3560">LEFT($B255, SEARCH("%",$B255,1)-1)/100</f>
        <v>2.6000000000000002E-2</v>
      </c>
      <c r="BT256" s="573">
        <f t="shared" ref="BT256" si="3561">LEFT($B255, SEARCH("%",$B255,1)-1)/100</f>
        <v>2.6000000000000002E-2</v>
      </c>
      <c r="BU256" s="573">
        <f t="shared" ref="BU256" si="3562">LEFT($B255, SEARCH("%",$B255,1)-1)/100</f>
        <v>2.6000000000000002E-2</v>
      </c>
      <c r="BV256" s="573">
        <f t="shared" ref="BV256" si="3563">LEFT($B255, SEARCH("%",$B255,1)-1)/100</f>
        <v>2.6000000000000002E-2</v>
      </c>
      <c r="BW256" s="573"/>
      <c r="BX256" s="573">
        <f t="shared" ref="BX256" si="3564">LEFT($B255, SEARCH("%",$B255,1)-1)/100</f>
        <v>2.6000000000000002E-2</v>
      </c>
      <c r="BY256" s="573">
        <f t="shared" ref="BY256" si="3565">LEFT($B255, SEARCH("%",$B255,1)-1)/100</f>
        <v>2.6000000000000002E-2</v>
      </c>
      <c r="BZ256" s="573">
        <f t="shared" ref="BZ256" si="3566">LEFT($B255, SEARCH("%",$B255,1)-1)/100</f>
        <v>2.6000000000000002E-2</v>
      </c>
      <c r="CA256" s="573">
        <f t="shared" ref="CA256" si="3567">LEFT($B255, SEARCH("%",$B255,1)-1)/100</f>
        <v>2.6000000000000002E-2</v>
      </c>
      <c r="CB256" s="573">
        <f t="shared" ref="CB256" si="3568">LEFT($B255, SEARCH("%",$B255,1)-1)/100</f>
        <v>2.6000000000000002E-2</v>
      </c>
      <c r="CC256" s="573"/>
      <c r="CD256" s="573">
        <f t="shared" ref="CD256" si="3569">LEFT($B255, SEARCH("%",$B255,1)-1)/100</f>
        <v>2.6000000000000002E-2</v>
      </c>
      <c r="CE256" s="573">
        <f t="shared" ref="CE256" si="3570">LEFT($B255, SEARCH("%",$B255,1)-1)/100</f>
        <v>2.6000000000000002E-2</v>
      </c>
      <c r="CF256" s="573">
        <f t="shared" ref="CF256" si="3571">LEFT($B255, SEARCH("%",$B255,1)-1)/100</f>
        <v>2.6000000000000002E-2</v>
      </c>
      <c r="CG256" s="573">
        <f t="shared" ref="CG256" si="3572">LEFT($B255, SEARCH("%",$B255,1)-1)/100</f>
        <v>2.6000000000000002E-2</v>
      </c>
      <c r="CH256" s="573">
        <f t="shared" ref="CH256" si="3573">LEFT($B255, SEARCH("%",$B255,1)-1)/100</f>
        <v>2.6000000000000002E-2</v>
      </c>
      <c r="CI256" s="573"/>
      <c r="CJ256" s="573">
        <f t="shared" ref="CJ256" si="3574">LEFT($B255, SEARCH("%",$B255,1)-1)/100</f>
        <v>2.6000000000000002E-2</v>
      </c>
      <c r="CK256" s="573">
        <f t="shared" ref="CK256" si="3575">LEFT($B255, SEARCH("%",$B255,1)-1)/100</f>
        <v>2.6000000000000002E-2</v>
      </c>
      <c r="CL256" s="573">
        <f t="shared" ref="CL256" si="3576">LEFT($B255, SEARCH("%",$B255,1)-1)/100</f>
        <v>2.6000000000000002E-2</v>
      </c>
      <c r="CM256" s="573">
        <f t="shared" ref="CM256" si="3577">LEFT($B255, SEARCH("%",$B255,1)-1)/100</f>
        <v>2.6000000000000002E-2</v>
      </c>
      <c r="CN256" s="573">
        <f t="shared" ref="CN256" si="3578">LEFT($B255, SEARCH("%",$B255,1)-1)/100</f>
        <v>2.6000000000000002E-2</v>
      </c>
      <c r="CO256" s="573"/>
      <c r="CP256" s="573"/>
    </row>
    <row r="257" spans="2:94" ht="12.95" hidden="1" customHeight="1" outlineLevel="1" x14ac:dyDescent="0.25">
      <c r="B257" s="2" t="s">
        <v>590</v>
      </c>
      <c r="W257" s="2">
        <v>1200</v>
      </c>
      <c r="X257" s="2">
        <v>1200</v>
      </c>
      <c r="Y257" s="2">
        <v>1200</v>
      </c>
      <c r="Z257" s="2">
        <v>1200</v>
      </c>
      <c r="AB257" s="6">
        <v>1200</v>
      </c>
      <c r="AC257" s="6">
        <v>1200</v>
      </c>
      <c r="AD257" s="6">
        <v>1200</v>
      </c>
      <c r="AE257" s="6">
        <v>1185</v>
      </c>
      <c r="AF257" s="6">
        <v>1185</v>
      </c>
      <c r="AG257" s="6"/>
      <c r="AH257" s="6">
        <v>1185</v>
      </c>
      <c r="AI257" s="6">
        <v>1185</v>
      </c>
      <c r="AJ257" s="6">
        <v>1185</v>
      </c>
      <c r="AK257" s="6">
        <v>1186</v>
      </c>
      <c r="AL257" s="6">
        <v>1186</v>
      </c>
      <c r="AM257" s="6"/>
      <c r="AN257" s="6">
        <v>1186</v>
      </c>
      <c r="AO257" s="243">
        <v>1186</v>
      </c>
      <c r="AP257" s="6">
        <v>1186</v>
      </c>
      <c r="AQ257" s="243">
        <v>1186</v>
      </c>
      <c r="AR257" s="243">
        <v>1186</v>
      </c>
      <c r="AS257" s="6"/>
      <c r="AT257" s="6">
        <v>1186</v>
      </c>
      <c r="AU257" s="243">
        <v>1186</v>
      </c>
      <c r="AV257" s="243">
        <v>1186</v>
      </c>
      <c r="AW257" s="164">
        <v>1186</v>
      </c>
      <c r="AX257" s="6">
        <v>1186</v>
      </c>
      <c r="AY257" s="6"/>
      <c r="AZ257" s="6">
        <v>1186</v>
      </c>
      <c r="BA257" s="6">
        <v>1186</v>
      </c>
      <c r="BB257" s="6">
        <v>1186</v>
      </c>
      <c r="BC257" s="6">
        <v>1186</v>
      </c>
      <c r="BD257" s="6">
        <v>1186</v>
      </c>
      <c r="BE257" s="6"/>
      <c r="BF257" s="6">
        <v>1186</v>
      </c>
      <c r="BG257" s="6">
        <v>1186</v>
      </c>
      <c r="BH257" s="6">
        <v>1186</v>
      </c>
      <c r="BI257" s="6">
        <v>1186</v>
      </c>
      <c r="BJ257" s="6">
        <v>1186</v>
      </c>
      <c r="BK257" s="6"/>
      <c r="BL257" s="6">
        <v>1186</v>
      </c>
      <c r="BM257" s="6">
        <v>1186</v>
      </c>
      <c r="BN257" s="6">
        <v>1186</v>
      </c>
      <c r="BO257" s="6">
        <v>1186</v>
      </c>
      <c r="BP257" s="6">
        <v>1186</v>
      </c>
      <c r="BQ257" s="6"/>
      <c r="BR257" s="6">
        <v>1186</v>
      </c>
      <c r="BS257" s="6">
        <v>1186</v>
      </c>
      <c r="BT257" s="6">
        <v>1186</v>
      </c>
      <c r="BU257" s="6">
        <v>1186</v>
      </c>
      <c r="BV257" s="6">
        <v>1186</v>
      </c>
      <c r="BW257" s="6"/>
      <c r="BX257" s="6">
        <v>1186</v>
      </c>
      <c r="BY257" s="6">
        <v>1186</v>
      </c>
      <c r="BZ257" s="6">
        <v>1186</v>
      </c>
      <c r="CA257" s="6">
        <v>1186</v>
      </c>
      <c r="CB257" s="6">
        <v>1186</v>
      </c>
      <c r="CC257" s="6"/>
      <c r="CD257" s="6">
        <v>1186</v>
      </c>
      <c r="CE257" s="6">
        <v>1186</v>
      </c>
      <c r="CF257" s="6">
        <v>1186</v>
      </c>
      <c r="CG257" s="6">
        <v>1186</v>
      </c>
      <c r="CH257" s="6">
        <v>1186</v>
      </c>
      <c r="CI257" s="6"/>
      <c r="CJ257" s="6">
        <v>1186</v>
      </c>
      <c r="CK257" s="6">
        <v>1186</v>
      </c>
      <c r="CL257" s="6">
        <v>1186</v>
      </c>
      <c r="CM257" s="6">
        <v>1186</v>
      </c>
      <c r="CN257" s="6">
        <v>1186</v>
      </c>
    </row>
    <row r="258" spans="2:94" ht="12.95" hidden="1" customHeight="1" outlineLevel="1" x14ac:dyDescent="0.25">
      <c r="B258" s="2" t="s">
        <v>40</v>
      </c>
      <c r="D258" s="573">
        <f>LEFT($B257, SEARCH("%",$B257,1)-1)/100</f>
        <v>3.2500000000000001E-2</v>
      </c>
      <c r="E258" s="573">
        <f t="shared" ref="E258" si="3579">LEFT($B257, SEARCH("%",$B257,1)-1)/100</f>
        <v>3.2500000000000001E-2</v>
      </c>
      <c r="F258" s="573">
        <f t="shared" ref="F258" si="3580">LEFT($B257, SEARCH("%",$B257,1)-1)/100</f>
        <v>3.2500000000000001E-2</v>
      </c>
      <c r="G258" s="573">
        <f t="shared" ref="G258" si="3581">LEFT($B257, SEARCH("%",$B257,1)-1)/100</f>
        <v>3.2500000000000001E-2</v>
      </c>
      <c r="H258" s="573">
        <f t="shared" ref="H258" si="3582">LEFT($B257, SEARCH("%",$B257,1)-1)/100</f>
        <v>3.2500000000000001E-2</v>
      </c>
      <c r="I258" s="573"/>
      <c r="J258" s="573">
        <f t="shared" ref="J258" si="3583">LEFT($B257, SEARCH("%",$B257,1)-1)/100</f>
        <v>3.2500000000000001E-2</v>
      </c>
      <c r="K258" s="573">
        <f t="shared" ref="K258" si="3584">LEFT($B257, SEARCH("%",$B257,1)-1)/100</f>
        <v>3.2500000000000001E-2</v>
      </c>
      <c r="L258" s="573">
        <f t="shared" ref="L258" si="3585">LEFT($B257, SEARCH("%",$B257,1)-1)/100</f>
        <v>3.2500000000000001E-2</v>
      </c>
      <c r="M258" s="573">
        <f t="shared" ref="M258" si="3586">LEFT($B257, SEARCH("%",$B257,1)-1)/100</f>
        <v>3.2500000000000001E-2</v>
      </c>
      <c r="N258" s="573">
        <f t="shared" ref="N258" si="3587">LEFT($B257, SEARCH("%",$B257,1)-1)/100</f>
        <v>3.2500000000000001E-2</v>
      </c>
      <c r="O258" s="573"/>
      <c r="P258" s="573">
        <f t="shared" ref="P258" si="3588">LEFT($B257, SEARCH("%",$B257,1)-1)/100</f>
        <v>3.2500000000000001E-2</v>
      </c>
      <c r="Q258" s="573">
        <f t="shared" ref="Q258" si="3589">LEFT($B257, SEARCH("%",$B257,1)-1)/100</f>
        <v>3.2500000000000001E-2</v>
      </c>
      <c r="R258" s="573">
        <f t="shared" ref="R258" si="3590">LEFT($B257, SEARCH("%",$B257,1)-1)/100</f>
        <v>3.2500000000000001E-2</v>
      </c>
      <c r="S258" s="573">
        <f t="shared" ref="S258" si="3591">LEFT($B257, SEARCH("%",$B257,1)-1)/100</f>
        <v>3.2500000000000001E-2</v>
      </c>
      <c r="T258" s="573">
        <f t="shared" ref="T258" si="3592">LEFT($B257, SEARCH("%",$B257,1)-1)/100</f>
        <v>3.2500000000000001E-2</v>
      </c>
      <c r="U258" s="573"/>
      <c r="V258" s="573">
        <f t="shared" ref="V258" si="3593">LEFT($B257, SEARCH("%",$B257,1)-1)/100</f>
        <v>3.2500000000000001E-2</v>
      </c>
      <c r="W258" s="573">
        <f t="shared" ref="W258" si="3594">LEFT($B257, SEARCH("%",$B257,1)-1)/100</f>
        <v>3.2500000000000001E-2</v>
      </c>
      <c r="X258" s="573">
        <f t="shared" ref="X258" si="3595">LEFT($B257, SEARCH("%",$B257,1)-1)/100</f>
        <v>3.2500000000000001E-2</v>
      </c>
      <c r="Y258" s="573">
        <f t="shared" ref="Y258" si="3596">LEFT($B257, SEARCH("%",$B257,1)-1)/100</f>
        <v>3.2500000000000001E-2</v>
      </c>
      <c r="Z258" s="573">
        <f t="shared" ref="Z258" si="3597">LEFT($B257, SEARCH("%",$B257,1)-1)/100</f>
        <v>3.2500000000000001E-2</v>
      </c>
      <c r="AA258" s="573"/>
      <c r="AB258" s="573">
        <f t="shared" ref="AB258" si="3598">LEFT($B257, SEARCH("%",$B257,1)-1)/100</f>
        <v>3.2500000000000001E-2</v>
      </c>
      <c r="AC258" s="573">
        <f t="shared" ref="AC258" si="3599">LEFT($B257, SEARCH("%",$B257,1)-1)/100</f>
        <v>3.2500000000000001E-2</v>
      </c>
      <c r="AD258" s="573">
        <f t="shared" ref="AD258" si="3600">LEFT($B257, SEARCH("%",$B257,1)-1)/100</f>
        <v>3.2500000000000001E-2</v>
      </c>
      <c r="AE258" s="573">
        <f t="shared" ref="AE258" si="3601">LEFT($B257, SEARCH("%",$B257,1)-1)/100</f>
        <v>3.2500000000000001E-2</v>
      </c>
      <c r="AF258" s="573">
        <f t="shared" ref="AF258" si="3602">LEFT($B257, SEARCH("%",$B257,1)-1)/100</f>
        <v>3.2500000000000001E-2</v>
      </c>
      <c r="AG258" s="573"/>
      <c r="AH258" s="573">
        <f t="shared" ref="AH258" si="3603">LEFT($B257, SEARCH("%",$B257,1)-1)/100</f>
        <v>3.2500000000000001E-2</v>
      </c>
      <c r="AI258" s="573">
        <f t="shared" ref="AI258" si="3604">LEFT($B257, SEARCH("%",$B257,1)-1)/100</f>
        <v>3.2500000000000001E-2</v>
      </c>
      <c r="AJ258" s="573">
        <f t="shared" ref="AJ258" si="3605">LEFT($B257, SEARCH("%",$B257,1)-1)/100</f>
        <v>3.2500000000000001E-2</v>
      </c>
      <c r="AK258" s="573">
        <f t="shared" ref="AK258" si="3606">LEFT($B257, SEARCH("%",$B257,1)-1)/100</f>
        <v>3.2500000000000001E-2</v>
      </c>
      <c r="AL258" s="573">
        <f t="shared" ref="AL258" si="3607">LEFT($B257, SEARCH("%",$B257,1)-1)/100</f>
        <v>3.2500000000000001E-2</v>
      </c>
      <c r="AM258" s="573"/>
      <c r="AN258" s="573">
        <f t="shared" ref="AN258" si="3608">LEFT($B257, SEARCH("%",$B257,1)-1)/100</f>
        <v>3.2500000000000001E-2</v>
      </c>
      <c r="AO258" s="573">
        <f t="shared" ref="AO258" si="3609">LEFT($B257, SEARCH("%",$B257,1)-1)/100</f>
        <v>3.2500000000000001E-2</v>
      </c>
      <c r="AP258" s="573">
        <f t="shared" ref="AP258" si="3610">LEFT($B257, SEARCH("%",$B257,1)-1)/100</f>
        <v>3.2500000000000001E-2</v>
      </c>
      <c r="AQ258" s="573">
        <f t="shared" ref="AQ258" si="3611">LEFT($B257, SEARCH("%",$B257,1)-1)/100</f>
        <v>3.2500000000000001E-2</v>
      </c>
      <c r="AR258" s="573">
        <f t="shared" ref="AR258" si="3612">LEFT($B257, SEARCH("%",$B257,1)-1)/100</f>
        <v>3.2500000000000001E-2</v>
      </c>
      <c r="AS258" s="573"/>
      <c r="AT258" s="573">
        <f t="shared" ref="AT258" si="3613">LEFT($B257, SEARCH("%",$B257,1)-1)/100</f>
        <v>3.2500000000000001E-2</v>
      </c>
      <c r="AU258" s="573">
        <f t="shared" ref="AU258" si="3614">LEFT($B257, SEARCH("%",$B257,1)-1)/100</f>
        <v>3.2500000000000001E-2</v>
      </c>
      <c r="AV258" s="573">
        <f t="shared" ref="AV258" si="3615">LEFT($B257, SEARCH("%",$B257,1)-1)/100</f>
        <v>3.2500000000000001E-2</v>
      </c>
      <c r="AW258" s="623">
        <f t="shared" ref="AW258" si="3616">LEFT($B257, SEARCH("%",$B257,1)-1)/100</f>
        <v>3.2500000000000001E-2</v>
      </c>
      <c r="AX258" s="573">
        <f t="shared" ref="AX258" si="3617">LEFT($B257, SEARCH("%",$B257,1)-1)/100</f>
        <v>3.2500000000000001E-2</v>
      </c>
      <c r="AY258" s="573"/>
      <c r="AZ258" s="573">
        <f t="shared" ref="AZ258" si="3618">LEFT($B257, SEARCH("%",$B257,1)-1)/100</f>
        <v>3.2500000000000001E-2</v>
      </c>
      <c r="BA258" s="573">
        <f t="shared" ref="BA258" si="3619">LEFT($B257, SEARCH("%",$B257,1)-1)/100</f>
        <v>3.2500000000000001E-2</v>
      </c>
      <c r="BB258" s="573">
        <f t="shared" ref="BB258" si="3620">LEFT($B257, SEARCH("%",$B257,1)-1)/100</f>
        <v>3.2500000000000001E-2</v>
      </c>
      <c r="BC258" s="573">
        <f t="shared" ref="BC258" si="3621">LEFT($B257, SEARCH("%",$B257,1)-1)/100</f>
        <v>3.2500000000000001E-2</v>
      </c>
      <c r="BD258" s="573">
        <f t="shared" ref="BD258" si="3622">LEFT($B257, SEARCH("%",$B257,1)-1)/100</f>
        <v>3.2500000000000001E-2</v>
      </c>
      <c r="BE258" s="573"/>
      <c r="BF258" s="573">
        <f t="shared" ref="BF258" si="3623">LEFT($B257, SEARCH("%",$B257,1)-1)/100</f>
        <v>3.2500000000000001E-2</v>
      </c>
      <c r="BG258" s="573">
        <f t="shared" ref="BG258" si="3624">LEFT($B257, SEARCH("%",$B257,1)-1)/100</f>
        <v>3.2500000000000001E-2</v>
      </c>
      <c r="BH258" s="573">
        <f t="shared" ref="BH258" si="3625">LEFT($B257, SEARCH("%",$B257,1)-1)/100</f>
        <v>3.2500000000000001E-2</v>
      </c>
      <c r="BI258" s="573">
        <f t="shared" ref="BI258" si="3626">LEFT($B257, SEARCH("%",$B257,1)-1)/100</f>
        <v>3.2500000000000001E-2</v>
      </c>
      <c r="BJ258" s="573">
        <f t="shared" ref="BJ258" si="3627">LEFT($B257, SEARCH("%",$B257,1)-1)/100</f>
        <v>3.2500000000000001E-2</v>
      </c>
      <c r="BK258" s="573"/>
      <c r="BL258" s="573">
        <f t="shared" ref="BL258" si="3628">LEFT($B257, SEARCH("%",$B257,1)-1)/100</f>
        <v>3.2500000000000001E-2</v>
      </c>
      <c r="BM258" s="573">
        <f t="shared" ref="BM258" si="3629">LEFT($B257, SEARCH("%",$B257,1)-1)/100</f>
        <v>3.2500000000000001E-2</v>
      </c>
      <c r="BN258" s="573">
        <f t="shared" ref="BN258" si="3630">LEFT($B257, SEARCH("%",$B257,1)-1)/100</f>
        <v>3.2500000000000001E-2</v>
      </c>
      <c r="BO258" s="573">
        <f t="shared" ref="BO258" si="3631">LEFT($B257, SEARCH("%",$B257,1)-1)/100</f>
        <v>3.2500000000000001E-2</v>
      </c>
      <c r="BP258" s="573">
        <f t="shared" ref="BP258" si="3632">LEFT($B257, SEARCH("%",$B257,1)-1)/100</f>
        <v>3.2500000000000001E-2</v>
      </c>
      <c r="BQ258" s="573"/>
      <c r="BR258" s="573">
        <f t="shared" ref="BR258" si="3633">LEFT($B257, SEARCH("%",$B257,1)-1)/100</f>
        <v>3.2500000000000001E-2</v>
      </c>
      <c r="BS258" s="573">
        <f t="shared" ref="BS258" si="3634">LEFT($B257, SEARCH("%",$B257,1)-1)/100</f>
        <v>3.2500000000000001E-2</v>
      </c>
      <c r="BT258" s="573">
        <f t="shared" ref="BT258" si="3635">LEFT($B257, SEARCH("%",$B257,1)-1)/100</f>
        <v>3.2500000000000001E-2</v>
      </c>
      <c r="BU258" s="573">
        <f t="shared" ref="BU258" si="3636">LEFT($B257, SEARCH("%",$B257,1)-1)/100</f>
        <v>3.2500000000000001E-2</v>
      </c>
      <c r="BV258" s="573">
        <f t="shared" ref="BV258" si="3637">LEFT($B257, SEARCH("%",$B257,1)-1)/100</f>
        <v>3.2500000000000001E-2</v>
      </c>
      <c r="BW258" s="573"/>
      <c r="BX258" s="573">
        <f t="shared" ref="BX258" si="3638">LEFT($B257, SEARCH("%",$B257,1)-1)/100</f>
        <v>3.2500000000000001E-2</v>
      </c>
      <c r="BY258" s="573">
        <f t="shared" ref="BY258" si="3639">LEFT($B257, SEARCH("%",$B257,1)-1)/100</f>
        <v>3.2500000000000001E-2</v>
      </c>
      <c r="BZ258" s="573">
        <f t="shared" ref="BZ258" si="3640">LEFT($B257, SEARCH("%",$B257,1)-1)/100</f>
        <v>3.2500000000000001E-2</v>
      </c>
      <c r="CA258" s="573">
        <f t="shared" ref="CA258" si="3641">LEFT($B257, SEARCH("%",$B257,1)-1)/100</f>
        <v>3.2500000000000001E-2</v>
      </c>
      <c r="CB258" s="573">
        <f t="shared" ref="CB258" si="3642">LEFT($B257, SEARCH("%",$B257,1)-1)/100</f>
        <v>3.2500000000000001E-2</v>
      </c>
      <c r="CC258" s="573"/>
      <c r="CD258" s="573">
        <f t="shared" ref="CD258" si="3643">LEFT($B257, SEARCH("%",$B257,1)-1)/100</f>
        <v>3.2500000000000001E-2</v>
      </c>
      <c r="CE258" s="573">
        <f t="shared" ref="CE258" si="3644">LEFT($B257, SEARCH("%",$B257,1)-1)/100</f>
        <v>3.2500000000000001E-2</v>
      </c>
      <c r="CF258" s="573">
        <f t="shared" ref="CF258" si="3645">LEFT($B257, SEARCH("%",$B257,1)-1)/100</f>
        <v>3.2500000000000001E-2</v>
      </c>
      <c r="CG258" s="573">
        <f t="shared" ref="CG258" si="3646">LEFT($B257, SEARCH("%",$B257,1)-1)/100</f>
        <v>3.2500000000000001E-2</v>
      </c>
      <c r="CH258" s="573">
        <f t="shared" ref="CH258" si="3647">LEFT($B257, SEARCH("%",$B257,1)-1)/100</f>
        <v>3.2500000000000001E-2</v>
      </c>
      <c r="CI258" s="573"/>
      <c r="CJ258" s="573">
        <f t="shared" ref="CJ258" si="3648">LEFT($B257, SEARCH("%",$B257,1)-1)/100</f>
        <v>3.2500000000000001E-2</v>
      </c>
      <c r="CK258" s="573">
        <f t="shared" ref="CK258" si="3649">LEFT($B257, SEARCH("%",$B257,1)-1)/100</f>
        <v>3.2500000000000001E-2</v>
      </c>
      <c r="CL258" s="573">
        <f t="shared" ref="CL258" si="3650">LEFT($B257, SEARCH("%",$B257,1)-1)/100</f>
        <v>3.2500000000000001E-2</v>
      </c>
      <c r="CM258" s="573">
        <f t="shared" ref="CM258" si="3651">LEFT($B257, SEARCH("%",$B257,1)-1)/100</f>
        <v>3.2500000000000001E-2</v>
      </c>
      <c r="CN258" s="573">
        <f t="shared" ref="CN258" si="3652">LEFT($B257, SEARCH("%",$B257,1)-1)/100</f>
        <v>3.2500000000000001E-2</v>
      </c>
      <c r="CO258" s="573"/>
      <c r="CP258" s="573"/>
    </row>
    <row r="259" spans="2:94" ht="12.95" hidden="1" customHeight="1" outlineLevel="1" x14ac:dyDescent="0.25">
      <c r="B259" s="2" t="s">
        <v>591</v>
      </c>
      <c r="AB259" s="6"/>
      <c r="AC259" s="6"/>
      <c r="AD259" s="6"/>
      <c r="AE259" s="6">
        <v>495</v>
      </c>
      <c r="AF259" s="6">
        <v>495</v>
      </c>
      <c r="AG259" s="6"/>
      <c r="AH259" s="6">
        <v>495</v>
      </c>
      <c r="AI259" s="6">
        <v>495</v>
      </c>
      <c r="AJ259" s="6">
        <v>495</v>
      </c>
      <c r="AK259" s="6">
        <v>495</v>
      </c>
      <c r="AL259" s="6">
        <v>495</v>
      </c>
      <c r="AM259" s="6"/>
      <c r="AN259" s="6">
        <v>495</v>
      </c>
      <c r="AO259" s="243">
        <v>495</v>
      </c>
      <c r="AP259" s="6">
        <v>495</v>
      </c>
      <c r="AQ259" s="243">
        <v>496</v>
      </c>
      <c r="AR259" s="243">
        <v>495</v>
      </c>
      <c r="AS259" s="6"/>
      <c r="AT259" s="6">
        <v>495</v>
      </c>
      <c r="AU259" s="243">
        <v>495</v>
      </c>
      <c r="AV259" s="243">
        <v>495</v>
      </c>
      <c r="AW259" s="164">
        <v>495</v>
      </c>
      <c r="AX259" s="6">
        <v>495</v>
      </c>
      <c r="AY259" s="6"/>
      <c r="AZ259" s="6">
        <v>495</v>
      </c>
      <c r="BA259" s="6">
        <v>495</v>
      </c>
      <c r="BB259" s="6">
        <v>495</v>
      </c>
      <c r="BC259" s="6">
        <v>495</v>
      </c>
      <c r="BD259" s="6">
        <v>495</v>
      </c>
      <c r="BE259" s="6"/>
      <c r="BF259" s="6">
        <v>495</v>
      </c>
      <c r="BG259" s="6">
        <v>495</v>
      </c>
      <c r="BH259" s="6">
        <v>495</v>
      </c>
      <c r="BI259" s="6">
        <v>495</v>
      </c>
      <c r="BJ259" s="6">
        <v>495</v>
      </c>
      <c r="BK259" s="6"/>
      <c r="BL259" s="6">
        <v>495</v>
      </c>
      <c r="BM259" s="6">
        <v>495</v>
      </c>
      <c r="BN259" s="6">
        <v>495</v>
      </c>
      <c r="BO259" s="6">
        <v>495</v>
      </c>
      <c r="BP259" s="6">
        <v>495</v>
      </c>
      <c r="BQ259" s="6"/>
      <c r="BR259" s="6">
        <v>495</v>
      </c>
      <c r="BS259" s="6">
        <v>495</v>
      </c>
      <c r="BT259" s="6">
        <v>495</v>
      </c>
      <c r="BU259" s="6">
        <v>495</v>
      </c>
      <c r="BV259" s="6">
        <v>495</v>
      </c>
      <c r="BW259" s="6"/>
      <c r="BX259" s="6">
        <v>495</v>
      </c>
      <c r="BY259" s="6">
        <v>495</v>
      </c>
      <c r="BZ259" s="6">
        <v>495</v>
      </c>
      <c r="CA259" s="6">
        <v>495</v>
      </c>
      <c r="CB259" s="6">
        <v>495</v>
      </c>
      <c r="CC259" s="6"/>
      <c r="CD259" s="6">
        <v>495</v>
      </c>
      <c r="CE259" s="6">
        <v>495</v>
      </c>
      <c r="CF259" s="6">
        <v>495</v>
      </c>
      <c r="CG259" s="6">
        <v>495</v>
      </c>
      <c r="CH259" s="6">
        <v>495</v>
      </c>
      <c r="CI259" s="6"/>
      <c r="CJ259" s="6"/>
      <c r="CK259" s="6"/>
      <c r="CL259" s="6"/>
      <c r="CM259" s="6"/>
      <c r="CN259" s="6"/>
    </row>
    <row r="260" spans="2:94" ht="12.95" hidden="1" customHeight="1" outlineLevel="1" x14ac:dyDescent="0.25">
      <c r="B260" s="2" t="s">
        <v>40</v>
      </c>
      <c r="D260" s="573">
        <f>LEFT($B259, SEARCH("%",$B259,1)-1)/100</f>
        <v>1.9E-2</v>
      </c>
      <c r="E260" s="573">
        <f t="shared" ref="E260" si="3653">LEFT($B259, SEARCH("%",$B259,1)-1)/100</f>
        <v>1.9E-2</v>
      </c>
      <c r="F260" s="573">
        <f t="shared" ref="F260" si="3654">LEFT($B259, SEARCH("%",$B259,1)-1)/100</f>
        <v>1.9E-2</v>
      </c>
      <c r="G260" s="573">
        <f t="shared" ref="G260" si="3655">LEFT($B259, SEARCH("%",$B259,1)-1)/100</f>
        <v>1.9E-2</v>
      </c>
      <c r="H260" s="573">
        <f t="shared" ref="H260" si="3656">LEFT($B259, SEARCH("%",$B259,1)-1)/100</f>
        <v>1.9E-2</v>
      </c>
      <c r="I260" s="573"/>
      <c r="J260" s="573">
        <f t="shared" ref="J260" si="3657">LEFT($B259, SEARCH("%",$B259,1)-1)/100</f>
        <v>1.9E-2</v>
      </c>
      <c r="K260" s="573">
        <f t="shared" ref="K260" si="3658">LEFT($B259, SEARCH("%",$B259,1)-1)/100</f>
        <v>1.9E-2</v>
      </c>
      <c r="L260" s="573">
        <f t="shared" ref="L260" si="3659">LEFT($B259, SEARCH("%",$B259,1)-1)/100</f>
        <v>1.9E-2</v>
      </c>
      <c r="M260" s="573">
        <f t="shared" ref="M260" si="3660">LEFT($B259, SEARCH("%",$B259,1)-1)/100</f>
        <v>1.9E-2</v>
      </c>
      <c r="N260" s="573">
        <f t="shared" ref="N260" si="3661">LEFT($B259, SEARCH("%",$B259,1)-1)/100</f>
        <v>1.9E-2</v>
      </c>
      <c r="O260" s="573"/>
      <c r="P260" s="573">
        <f t="shared" ref="P260" si="3662">LEFT($B259, SEARCH("%",$B259,1)-1)/100</f>
        <v>1.9E-2</v>
      </c>
      <c r="Q260" s="573">
        <f t="shared" ref="Q260" si="3663">LEFT($B259, SEARCH("%",$B259,1)-1)/100</f>
        <v>1.9E-2</v>
      </c>
      <c r="R260" s="573">
        <f t="shared" ref="R260" si="3664">LEFT($B259, SEARCH("%",$B259,1)-1)/100</f>
        <v>1.9E-2</v>
      </c>
      <c r="S260" s="573">
        <f t="shared" ref="S260" si="3665">LEFT($B259, SEARCH("%",$B259,1)-1)/100</f>
        <v>1.9E-2</v>
      </c>
      <c r="T260" s="573">
        <f t="shared" ref="T260" si="3666">LEFT($B259, SEARCH("%",$B259,1)-1)/100</f>
        <v>1.9E-2</v>
      </c>
      <c r="U260" s="573"/>
      <c r="V260" s="573">
        <f t="shared" ref="V260" si="3667">LEFT($B259, SEARCH("%",$B259,1)-1)/100</f>
        <v>1.9E-2</v>
      </c>
      <c r="W260" s="573">
        <f t="shared" ref="W260" si="3668">LEFT($B259, SEARCH("%",$B259,1)-1)/100</f>
        <v>1.9E-2</v>
      </c>
      <c r="X260" s="573">
        <f t="shared" ref="X260" si="3669">LEFT($B259, SEARCH("%",$B259,1)-1)/100</f>
        <v>1.9E-2</v>
      </c>
      <c r="Y260" s="573">
        <f t="shared" ref="Y260" si="3670">LEFT($B259, SEARCH("%",$B259,1)-1)/100</f>
        <v>1.9E-2</v>
      </c>
      <c r="Z260" s="573">
        <f t="shared" ref="Z260" si="3671">LEFT($B259, SEARCH("%",$B259,1)-1)/100</f>
        <v>1.9E-2</v>
      </c>
      <c r="AA260" s="573"/>
      <c r="AB260" s="573">
        <f t="shared" ref="AB260" si="3672">LEFT($B259, SEARCH("%",$B259,1)-1)/100</f>
        <v>1.9E-2</v>
      </c>
      <c r="AC260" s="573">
        <f t="shared" ref="AC260" si="3673">LEFT($B259, SEARCH("%",$B259,1)-1)/100</f>
        <v>1.9E-2</v>
      </c>
      <c r="AD260" s="573">
        <f t="shared" ref="AD260" si="3674">LEFT($B259, SEARCH("%",$B259,1)-1)/100</f>
        <v>1.9E-2</v>
      </c>
      <c r="AE260" s="573">
        <f t="shared" ref="AE260" si="3675">LEFT($B259, SEARCH("%",$B259,1)-1)/100</f>
        <v>1.9E-2</v>
      </c>
      <c r="AF260" s="573">
        <f t="shared" ref="AF260" si="3676">LEFT($B259, SEARCH("%",$B259,1)-1)/100</f>
        <v>1.9E-2</v>
      </c>
      <c r="AG260" s="573"/>
      <c r="AH260" s="573">
        <f t="shared" ref="AH260" si="3677">LEFT($B259, SEARCH("%",$B259,1)-1)/100</f>
        <v>1.9E-2</v>
      </c>
      <c r="AI260" s="573">
        <f t="shared" ref="AI260" si="3678">LEFT($B259, SEARCH("%",$B259,1)-1)/100</f>
        <v>1.9E-2</v>
      </c>
      <c r="AJ260" s="573">
        <f t="shared" ref="AJ260" si="3679">LEFT($B259, SEARCH("%",$B259,1)-1)/100</f>
        <v>1.9E-2</v>
      </c>
      <c r="AK260" s="573">
        <f t="shared" ref="AK260" si="3680">LEFT($B259, SEARCH("%",$B259,1)-1)/100</f>
        <v>1.9E-2</v>
      </c>
      <c r="AL260" s="573">
        <f t="shared" ref="AL260" si="3681">LEFT($B259, SEARCH("%",$B259,1)-1)/100</f>
        <v>1.9E-2</v>
      </c>
      <c r="AM260" s="573"/>
      <c r="AN260" s="573">
        <f t="shared" ref="AN260" si="3682">LEFT($B259, SEARCH("%",$B259,1)-1)/100</f>
        <v>1.9E-2</v>
      </c>
      <c r="AO260" s="573">
        <f t="shared" ref="AO260" si="3683">LEFT($B259, SEARCH("%",$B259,1)-1)/100</f>
        <v>1.9E-2</v>
      </c>
      <c r="AP260" s="573">
        <f t="shared" ref="AP260" si="3684">LEFT($B259, SEARCH("%",$B259,1)-1)/100</f>
        <v>1.9E-2</v>
      </c>
      <c r="AQ260" s="573">
        <f t="shared" ref="AQ260" si="3685">LEFT($B259, SEARCH("%",$B259,1)-1)/100</f>
        <v>1.9E-2</v>
      </c>
      <c r="AR260" s="573">
        <f t="shared" ref="AR260" si="3686">LEFT($B259, SEARCH("%",$B259,1)-1)/100</f>
        <v>1.9E-2</v>
      </c>
      <c r="AS260" s="573"/>
      <c r="AT260" s="573">
        <f t="shared" ref="AT260" si="3687">LEFT($B259, SEARCH("%",$B259,1)-1)/100</f>
        <v>1.9E-2</v>
      </c>
      <c r="AU260" s="573">
        <f t="shared" ref="AU260" si="3688">LEFT($B259, SEARCH("%",$B259,1)-1)/100</f>
        <v>1.9E-2</v>
      </c>
      <c r="AV260" s="573">
        <f t="shared" ref="AV260" si="3689">LEFT($B259, SEARCH("%",$B259,1)-1)/100</f>
        <v>1.9E-2</v>
      </c>
      <c r="AW260" s="623">
        <f t="shared" ref="AW260" si="3690">LEFT($B259, SEARCH("%",$B259,1)-1)/100</f>
        <v>1.9E-2</v>
      </c>
      <c r="AX260" s="573">
        <f t="shared" ref="AX260" si="3691">LEFT($B259, SEARCH("%",$B259,1)-1)/100</f>
        <v>1.9E-2</v>
      </c>
      <c r="AY260" s="573"/>
      <c r="AZ260" s="573">
        <f t="shared" ref="AZ260" si="3692">LEFT($B259, SEARCH("%",$B259,1)-1)/100</f>
        <v>1.9E-2</v>
      </c>
      <c r="BA260" s="573">
        <f t="shared" ref="BA260" si="3693">LEFT($B259, SEARCH("%",$B259,1)-1)/100</f>
        <v>1.9E-2</v>
      </c>
      <c r="BB260" s="573">
        <f t="shared" ref="BB260" si="3694">LEFT($B259, SEARCH("%",$B259,1)-1)/100</f>
        <v>1.9E-2</v>
      </c>
      <c r="BC260" s="573">
        <f t="shared" ref="BC260" si="3695">LEFT($B259, SEARCH("%",$B259,1)-1)/100</f>
        <v>1.9E-2</v>
      </c>
      <c r="BD260" s="573">
        <f t="shared" ref="BD260" si="3696">LEFT($B259, SEARCH("%",$B259,1)-1)/100</f>
        <v>1.9E-2</v>
      </c>
      <c r="BE260" s="573"/>
      <c r="BF260" s="573">
        <f t="shared" ref="BF260" si="3697">LEFT($B259, SEARCH("%",$B259,1)-1)/100</f>
        <v>1.9E-2</v>
      </c>
      <c r="BG260" s="573">
        <f t="shared" ref="BG260" si="3698">LEFT($B259, SEARCH("%",$B259,1)-1)/100</f>
        <v>1.9E-2</v>
      </c>
      <c r="BH260" s="573">
        <f t="shared" ref="BH260" si="3699">LEFT($B259, SEARCH("%",$B259,1)-1)/100</f>
        <v>1.9E-2</v>
      </c>
      <c r="BI260" s="573">
        <f t="shared" ref="BI260" si="3700">LEFT($B259, SEARCH("%",$B259,1)-1)/100</f>
        <v>1.9E-2</v>
      </c>
      <c r="BJ260" s="573">
        <f t="shared" ref="BJ260" si="3701">LEFT($B259, SEARCH("%",$B259,1)-1)/100</f>
        <v>1.9E-2</v>
      </c>
      <c r="BK260" s="573"/>
      <c r="BL260" s="573">
        <f t="shared" ref="BL260" si="3702">LEFT($B259, SEARCH("%",$B259,1)-1)/100</f>
        <v>1.9E-2</v>
      </c>
      <c r="BM260" s="573">
        <f t="shared" ref="BM260" si="3703">LEFT($B259, SEARCH("%",$B259,1)-1)/100</f>
        <v>1.9E-2</v>
      </c>
      <c r="BN260" s="573">
        <f t="shared" ref="BN260" si="3704">LEFT($B259, SEARCH("%",$B259,1)-1)/100</f>
        <v>1.9E-2</v>
      </c>
      <c r="BO260" s="573">
        <f t="shared" ref="BO260" si="3705">LEFT($B259, SEARCH("%",$B259,1)-1)/100</f>
        <v>1.9E-2</v>
      </c>
      <c r="BP260" s="573">
        <f t="shared" ref="BP260" si="3706">LEFT($B259, SEARCH("%",$B259,1)-1)/100</f>
        <v>1.9E-2</v>
      </c>
      <c r="BQ260" s="573"/>
      <c r="BR260" s="573">
        <f t="shared" ref="BR260" si="3707">LEFT($B259, SEARCH("%",$B259,1)-1)/100</f>
        <v>1.9E-2</v>
      </c>
      <c r="BS260" s="573">
        <f t="shared" ref="BS260" si="3708">LEFT($B259, SEARCH("%",$B259,1)-1)/100</f>
        <v>1.9E-2</v>
      </c>
      <c r="BT260" s="573">
        <f t="shared" ref="BT260" si="3709">LEFT($B259, SEARCH("%",$B259,1)-1)/100</f>
        <v>1.9E-2</v>
      </c>
      <c r="BU260" s="573">
        <f t="shared" ref="BU260" si="3710">LEFT($B259, SEARCH("%",$B259,1)-1)/100</f>
        <v>1.9E-2</v>
      </c>
      <c r="BV260" s="573">
        <f t="shared" ref="BV260" si="3711">LEFT($B259, SEARCH("%",$B259,1)-1)/100</f>
        <v>1.9E-2</v>
      </c>
      <c r="BW260" s="573"/>
      <c r="BX260" s="573">
        <f t="shared" ref="BX260" si="3712">LEFT($B259, SEARCH("%",$B259,1)-1)/100</f>
        <v>1.9E-2</v>
      </c>
      <c r="BY260" s="573">
        <f t="shared" ref="BY260" si="3713">LEFT($B259, SEARCH("%",$B259,1)-1)/100</f>
        <v>1.9E-2</v>
      </c>
      <c r="BZ260" s="573">
        <f t="shared" ref="BZ260" si="3714">LEFT($B259, SEARCH("%",$B259,1)-1)/100</f>
        <v>1.9E-2</v>
      </c>
      <c r="CA260" s="573">
        <f t="shared" ref="CA260" si="3715">LEFT($B259, SEARCH("%",$B259,1)-1)/100</f>
        <v>1.9E-2</v>
      </c>
      <c r="CB260" s="573">
        <f t="shared" ref="CB260" si="3716">LEFT($B259, SEARCH("%",$B259,1)-1)/100</f>
        <v>1.9E-2</v>
      </c>
      <c r="CC260" s="573"/>
      <c r="CD260" s="573">
        <f t="shared" ref="CD260" si="3717">LEFT($B259, SEARCH("%",$B259,1)-1)/100</f>
        <v>1.9E-2</v>
      </c>
      <c r="CE260" s="573">
        <f t="shared" ref="CE260" si="3718">LEFT($B259, SEARCH("%",$B259,1)-1)/100</f>
        <v>1.9E-2</v>
      </c>
      <c r="CF260" s="573">
        <f t="shared" ref="CF260" si="3719">LEFT($B259, SEARCH("%",$B259,1)-1)/100</f>
        <v>1.9E-2</v>
      </c>
      <c r="CG260" s="573">
        <f t="shared" ref="CG260" si="3720">LEFT($B259, SEARCH("%",$B259,1)-1)/100</f>
        <v>1.9E-2</v>
      </c>
      <c r="CH260" s="573">
        <f t="shared" ref="CH260" si="3721">LEFT($B259, SEARCH("%",$B259,1)-1)/100</f>
        <v>1.9E-2</v>
      </c>
      <c r="CI260" s="573"/>
      <c r="CJ260" s="573">
        <f t="shared" ref="CJ260" si="3722">LEFT($B259, SEARCH("%",$B259,1)-1)/100</f>
        <v>1.9E-2</v>
      </c>
      <c r="CK260" s="573">
        <f t="shared" ref="CK260" si="3723">LEFT($B259, SEARCH("%",$B259,1)-1)/100</f>
        <v>1.9E-2</v>
      </c>
      <c r="CL260" s="573">
        <f t="shared" ref="CL260" si="3724">LEFT($B259, SEARCH("%",$B259,1)-1)/100</f>
        <v>1.9E-2</v>
      </c>
      <c r="CM260" s="573">
        <f t="shared" ref="CM260" si="3725">LEFT($B259, SEARCH("%",$B259,1)-1)/100</f>
        <v>1.9E-2</v>
      </c>
      <c r="CN260" s="573">
        <f t="shared" ref="CN260" si="3726">LEFT($B259, SEARCH("%",$B259,1)-1)/100</f>
        <v>1.9E-2</v>
      </c>
      <c r="CO260" s="573"/>
      <c r="CP260" s="573"/>
    </row>
    <row r="261" spans="2:94" ht="12.95" hidden="1" customHeight="1" outlineLevel="1" x14ac:dyDescent="0.25">
      <c r="B261" s="2">
        <f>Capitalization!B32</f>
        <v>0</v>
      </c>
      <c r="AB261" s="6">
        <f>Capitalization!E32</f>
        <v>0</v>
      </c>
      <c r="AC261" s="6">
        <f>AB261</f>
        <v>0</v>
      </c>
      <c r="AD261" s="6">
        <f t="shared" ref="AD261:AD286" si="3727">AC261</f>
        <v>0</v>
      </c>
      <c r="AE261" s="6">
        <f t="shared" ref="AE261:AE286" si="3728">AD261</f>
        <v>0</v>
      </c>
      <c r="AF261" s="6">
        <f t="shared" ref="AF261:AF286" si="3729">AE261</f>
        <v>0</v>
      </c>
      <c r="AG261" s="6"/>
      <c r="AH261" s="6">
        <f t="shared" ref="AH261:AH286" si="3730">AF261</f>
        <v>0</v>
      </c>
      <c r="AI261" s="6">
        <f t="shared" ref="AI261:AI286" si="3731">AH261</f>
        <v>0</v>
      </c>
      <c r="AJ261" s="6">
        <f t="shared" ref="AJ261:AJ286" si="3732">AI261</f>
        <v>0</v>
      </c>
      <c r="AK261" s="6">
        <f t="shared" ref="AK261:AK286" si="3733">AJ261</f>
        <v>0</v>
      </c>
      <c r="AL261" s="6">
        <f t="shared" ref="AL261:AL286" si="3734">AK261</f>
        <v>0</v>
      </c>
      <c r="AM261" s="6"/>
      <c r="AN261" s="6">
        <f t="shared" ref="AN261:AN286" si="3735">AL261</f>
        <v>0</v>
      </c>
      <c r="AO261" s="243">
        <f t="shared" ref="AO261:AO286" si="3736">AN261</f>
        <v>0</v>
      </c>
      <c r="AP261" s="6">
        <f t="shared" ref="AP261:AP286" si="3737">AO261</f>
        <v>0</v>
      </c>
      <c r="AQ261" s="243">
        <f t="shared" ref="AQ261:AQ286" si="3738">AP261</f>
        <v>0</v>
      </c>
      <c r="AR261" s="243">
        <f t="shared" ref="AR261:AR286" si="3739">AQ261</f>
        <v>0</v>
      </c>
      <c r="AS261" s="6"/>
      <c r="AT261" s="6">
        <f t="shared" ref="AT261:AT286" si="3740">AR261</f>
        <v>0</v>
      </c>
      <c r="AU261" s="243">
        <f t="shared" ref="AU261:AU286" si="3741">AT261</f>
        <v>0</v>
      </c>
      <c r="AV261" s="243">
        <f t="shared" ref="AV261:AV286" si="3742">AU261</f>
        <v>0</v>
      </c>
      <c r="AW261" s="164">
        <f t="shared" ref="AW261:AW286" si="3743">AV261</f>
        <v>0</v>
      </c>
      <c r="AX261" s="6">
        <f t="shared" ref="AX261:AX286" si="3744">AW261</f>
        <v>0</v>
      </c>
      <c r="AY261" s="6"/>
      <c r="AZ261" s="6">
        <f t="shared" ref="AZ261:AZ272" si="3745">DD261</f>
        <v>0</v>
      </c>
      <c r="BA261" s="6">
        <f t="shared" ref="BA261:BA286" si="3746">AZ261</f>
        <v>0</v>
      </c>
      <c r="BB261" s="6">
        <f t="shared" ref="BB261:BB286" si="3747">BA261</f>
        <v>0</v>
      </c>
      <c r="BC261" s="6">
        <f t="shared" ref="BC261:BC286" si="3748">BB261</f>
        <v>0</v>
      </c>
      <c r="BD261" s="6">
        <f t="shared" ref="BD261:BD286" si="3749">BC261</f>
        <v>0</v>
      </c>
      <c r="BE261" s="6"/>
      <c r="BF261" s="6">
        <f t="shared" ref="BF261:BF342" si="3750">BD261</f>
        <v>0</v>
      </c>
      <c r="BG261" s="6">
        <f t="shared" ref="BG261:BG342" si="3751">BF261</f>
        <v>0</v>
      </c>
      <c r="BH261" s="6">
        <f t="shared" ref="BH261:BH342" si="3752">BG261</f>
        <v>0</v>
      </c>
      <c r="BI261" s="6">
        <f t="shared" ref="BI261:BI342" si="3753">BH261</f>
        <v>0</v>
      </c>
      <c r="BJ261" s="6">
        <f t="shared" ref="BJ261:BJ342" si="3754">BI261</f>
        <v>0</v>
      </c>
      <c r="BK261" s="6"/>
      <c r="BL261" s="6">
        <f t="shared" ref="BL261:BL342" si="3755">BJ261</f>
        <v>0</v>
      </c>
      <c r="BM261" s="6">
        <f t="shared" ref="BM261:BM342" si="3756">BL261</f>
        <v>0</v>
      </c>
      <c r="BN261" s="6">
        <f t="shared" ref="BN261:BN342" si="3757">BM261</f>
        <v>0</v>
      </c>
      <c r="BO261" s="6">
        <f t="shared" ref="BO261:BO342" si="3758">BN261</f>
        <v>0</v>
      </c>
      <c r="BP261" s="6">
        <f t="shared" ref="BP261:BP342" si="3759">BO261</f>
        <v>0</v>
      </c>
      <c r="BQ261" s="6"/>
      <c r="BR261" s="6">
        <f t="shared" ref="BR261:BR342" si="3760">BP261</f>
        <v>0</v>
      </c>
      <c r="BS261" s="6">
        <f t="shared" ref="BS261:BS342" si="3761">BR261</f>
        <v>0</v>
      </c>
      <c r="BT261" s="6">
        <f t="shared" ref="BT261:BT342" si="3762">BS261</f>
        <v>0</v>
      </c>
      <c r="BU261" s="6">
        <f t="shared" ref="BU261:BU342" si="3763">BT261</f>
        <v>0</v>
      </c>
      <c r="BV261" s="6">
        <f t="shared" ref="BV261:BV342" si="3764">BU261</f>
        <v>0</v>
      </c>
      <c r="BW261" s="6"/>
      <c r="BX261" s="6">
        <f t="shared" ref="BX261:BX342" si="3765">BV261</f>
        <v>0</v>
      </c>
      <c r="BY261" s="6">
        <v>0</v>
      </c>
      <c r="BZ261" s="6">
        <f t="shared" ref="BZ261:BZ342" si="3766">BY261</f>
        <v>0</v>
      </c>
      <c r="CA261" s="6">
        <f t="shared" ref="CA261:CA342" si="3767">BZ261</f>
        <v>0</v>
      </c>
      <c r="CB261" s="6">
        <f t="shared" ref="CB261:CB342" si="3768">CA261</f>
        <v>0</v>
      </c>
      <c r="CC261" s="6"/>
      <c r="CD261" s="6">
        <f t="shared" ref="CD261:CD342" si="3769">CB261</f>
        <v>0</v>
      </c>
      <c r="CE261" s="6">
        <f t="shared" ref="CE261:CE342" si="3770">CD261</f>
        <v>0</v>
      </c>
      <c r="CF261" s="6">
        <f t="shared" ref="CF261:CF342" si="3771">CE261</f>
        <v>0</v>
      </c>
      <c r="CG261" s="6">
        <f t="shared" ref="CG261:CG342" si="3772">CF261</f>
        <v>0</v>
      </c>
      <c r="CH261" s="6">
        <f t="shared" ref="CH261:CH342" si="3773">CG261</f>
        <v>0</v>
      </c>
      <c r="CI261" s="6"/>
      <c r="CJ261" s="6"/>
      <c r="CK261" s="6"/>
      <c r="CL261" s="6"/>
      <c r="CM261" s="6"/>
      <c r="CN261" s="6"/>
    </row>
    <row r="262" spans="2:94" ht="12.95" hidden="1" customHeight="1" outlineLevel="1" x14ac:dyDescent="0.25">
      <c r="B262" s="2" t="s">
        <v>40</v>
      </c>
      <c r="AB262" s="25">
        <f>Capitalization!F32</f>
        <v>4.2999999999999997E-2</v>
      </c>
      <c r="AC262" s="25">
        <f t="shared" ref="AC262" si="3774">AB262</f>
        <v>4.2999999999999997E-2</v>
      </c>
      <c r="AD262" s="25">
        <f t="shared" si="3727"/>
        <v>4.2999999999999997E-2</v>
      </c>
      <c r="AE262" s="25">
        <f t="shared" si="3728"/>
        <v>4.2999999999999997E-2</v>
      </c>
      <c r="AF262" s="25">
        <f t="shared" si="3729"/>
        <v>4.2999999999999997E-2</v>
      </c>
      <c r="AG262" s="10"/>
      <c r="AH262" s="25">
        <f t="shared" si="3730"/>
        <v>4.2999999999999997E-2</v>
      </c>
      <c r="AI262" s="25">
        <f t="shared" si="3731"/>
        <v>4.2999999999999997E-2</v>
      </c>
      <c r="AJ262" s="25">
        <f t="shared" si="3732"/>
        <v>4.2999999999999997E-2</v>
      </c>
      <c r="AK262" s="25">
        <f t="shared" si="3733"/>
        <v>4.2999999999999997E-2</v>
      </c>
      <c r="AL262" s="25">
        <f t="shared" si="3734"/>
        <v>4.2999999999999997E-2</v>
      </c>
      <c r="AM262" s="10"/>
      <c r="AN262" s="25">
        <f t="shared" si="3735"/>
        <v>4.2999999999999997E-2</v>
      </c>
      <c r="AO262" s="261">
        <f t="shared" si="3736"/>
        <v>4.2999999999999997E-2</v>
      </c>
      <c r="AP262" s="25">
        <f t="shared" si="3737"/>
        <v>4.2999999999999997E-2</v>
      </c>
      <c r="AQ262" s="261">
        <f t="shared" si="3738"/>
        <v>4.2999999999999997E-2</v>
      </c>
      <c r="AR262" s="261">
        <f t="shared" si="3739"/>
        <v>4.2999999999999997E-2</v>
      </c>
      <c r="AS262" s="10"/>
      <c r="AT262" s="25">
        <f t="shared" si="3740"/>
        <v>4.2999999999999997E-2</v>
      </c>
      <c r="AU262" s="261">
        <f t="shared" si="3741"/>
        <v>4.2999999999999997E-2</v>
      </c>
      <c r="AV262" s="261">
        <f t="shared" si="3742"/>
        <v>4.2999999999999997E-2</v>
      </c>
      <c r="AW262" s="363">
        <f t="shared" si="3743"/>
        <v>4.2999999999999997E-2</v>
      </c>
      <c r="AX262" s="25">
        <f t="shared" si="3744"/>
        <v>4.2999999999999997E-2</v>
      </c>
      <c r="AY262" s="10"/>
      <c r="AZ262" s="25">
        <f t="shared" si="3745"/>
        <v>0</v>
      </c>
      <c r="BA262" s="25">
        <f t="shared" si="3746"/>
        <v>0</v>
      </c>
      <c r="BB262" s="25">
        <f t="shared" si="3747"/>
        <v>0</v>
      </c>
      <c r="BC262" s="25">
        <f t="shared" si="3748"/>
        <v>0</v>
      </c>
      <c r="BD262" s="25">
        <f t="shared" si="3749"/>
        <v>0</v>
      </c>
      <c r="BE262" s="10"/>
      <c r="BF262" s="25">
        <f t="shared" si="3750"/>
        <v>0</v>
      </c>
      <c r="BG262" s="25">
        <f t="shared" si="3751"/>
        <v>0</v>
      </c>
      <c r="BH262" s="25">
        <f t="shared" si="3752"/>
        <v>0</v>
      </c>
      <c r="BI262" s="25">
        <f t="shared" si="3753"/>
        <v>0</v>
      </c>
      <c r="BJ262" s="25">
        <f t="shared" si="3754"/>
        <v>0</v>
      </c>
      <c r="BK262" s="10"/>
      <c r="BL262" s="25">
        <f t="shared" si="3755"/>
        <v>0</v>
      </c>
      <c r="BM262" s="25">
        <f t="shared" si="3756"/>
        <v>0</v>
      </c>
      <c r="BN262" s="25">
        <f t="shared" si="3757"/>
        <v>0</v>
      </c>
      <c r="BO262" s="25">
        <f t="shared" si="3758"/>
        <v>0</v>
      </c>
      <c r="BP262" s="25">
        <f t="shared" si="3759"/>
        <v>0</v>
      </c>
      <c r="BQ262" s="10"/>
      <c r="BR262" s="25">
        <f t="shared" si="3760"/>
        <v>0</v>
      </c>
      <c r="BS262" s="25">
        <f t="shared" si="3761"/>
        <v>0</v>
      </c>
      <c r="BT262" s="25">
        <f t="shared" si="3762"/>
        <v>0</v>
      </c>
      <c r="BU262" s="25">
        <f t="shared" si="3763"/>
        <v>0</v>
      </c>
      <c r="BV262" s="25">
        <f t="shared" si="3764"/>
        <v>0</v>
      </c>
      <c r="BW262" s="10"/>
      <c r="BX262" s="25">
        <f t="shared" si="3765"/>
        <v>0</v>
      </c>
      <c r="BY262" s="25">
        <f t="shared" ref="BY262:BY342" si="3775">BX262</f>
        <v>0</v>
      </c>
      <c r="BZ262" s="25">
        <f t="shared" si="3766"/>
        <v>0</v>
      </c>
      <c r="CA262" s="25">
        <f t="shared" si="3767"/>
        <v>0</v>
      </c>
      <c r="CB262" s="25">
        <f t="shared" si="3768"/>
        <v>0</v>
      </c>
      <c r="CC262" s="10"/>
      <c r="CD262" s="25">
        <f t="shared" si="3769"/>
        <v>0</v>
      </c>
      <c r="CE262" s="25">
        <f t="shared" si="3770"/>
        <v>0</v>
      </c>
      <c r="CF262" s="25">
        <f t="shared" si="3771"/>
        <v>0</v>
      </c>
      <c r="CG262" s="25">
        <f t="shared" si="3772"/>
        <v>0</v>
      </c>
      <c r="CH262" s="25">
        <f t="shared" si="3773"/>
        <v>0</v>
      </c>
      <c r="CI262" s="10"/>
      <c r="CJ262" s="25"/>
      <c r="CK262" s="25"/>
      <c r="CL262" s="25"/>
      <c r="CM262" s="25"/>
      <c r="CN262" s="25"/>
    </row>
    <row r="263" spans="2:94" ht="12.95" hidden="1" customHeight="1" outlineLevel="1" x14ac:dyDescent="0.25">
      <c r="B263" s="2">
        <f>Capitalization!B33</f>
        <v>0</v>
      </c>
      <c r="AB263" s="6">
        <f>Capitalization!E33</f>
        <v>0</v>
      </c>
      <c r="AC263" s="6">
        <f>AB263</f>
        <v>0</v>
      </c>
      <c r="AD263" s="6">
        <f t="shared" si="3727"/>
        <v>0</v>
      </c>
      <c r="AE263" s="6">
        <f t="shared" si="3728"/>
        <v>0</v>
      </c>
      <c r="AF263" s="6">
        <f t="shared" si="3729"/>
        <v>0</v>
      </c>
      <c r="AG263" s="6"/>
      <c r="AH263" s="6">
        <f t="shared" si="3730"/>
        <v>0</v>
      </c>
      <c r="AI263" s="6">
        <f t="shared" si="3731"/>
        <v>0</v>
      </c>
      <c r="AJ263" s="6">
        <f t="shared" si="3732"/>
        <v>0</v>
      </c>
      <c r="AK263" s="6">
        <f t="shared" si="3733"/>
        <v>0</v>
      </c>
      <c r="AL263" s="6">
        <f t="shared" si="3734"/>
        <v>0</v>
      </c>
      <c r="AM263" s="6"/>
      <c r="AN263" s="6">
        <f t="shared" si="3735"/>
        <v>0</v>
      </c>
      <c r="AO263" s="243">
        <f t="shared" si="3736"/>
        <v>0</v>
      </c>
      <c r="AP263" s="6">
        <f t="shared" si="3737"/>
        <v>0</v>
      </c>
      <c r="AQ263" s="243">
        <f t="shared" si="3738"/>
        <v>0</v>
      </c>
      <c r="AR263" s="243">
        <f t="shared" si="3739"/>
        <v>0</v>
      </c>
      <c r="AS263" s="6"/>
      <c r="AT263" s="6">
        <f t="shared" si="3740"/>
        <v>0</v>
      </c>
      <c r="AU263" s="243">
        <f t="shared" si="3741"/>
        <v>0</v>
      </c>
      <c r="AV263" s="243">
        <f t="shared" si="3742"/>
        <v>0</v>
      </c>
      <c r="AW263" s="164">
        <f t="shared" si="3743"/>
        <v>0</v>
      </c>
      <c r="AX263" s="6">
        <f t="shared" si="3744"/>
        <v>0</v>
      </c>
      <c r="AY263" s="6"/>
      <c r="AZ263" s="6">
        <f t="shared" si="3745"/>
        <v>0</v>
      </c>
      <c r="BA263" s="6">
        <f t="shared" si="3746"/>
        <v>0</v>
      </c>
      <c r="BB263" s="6">
        <f t="shared" si="3747"/>
        <v>0</v>
      </c>
      <c r="BC263" s="6">
        <f t="shared" si="3748"/>
        <v>0</v>
      </c>
      <c r="BD263" s="6">
        <f t="shared" si="3749"/>
        <v>0</v>
      </c>
      <c r="BE263" s="6"/>
      <c r="BF263" s="6">
        <f t="shared" si="3750"/>
        <v>0</v>
      </c>
      <c r="BG263" s="6">
        <f t="shared" si="3751"/>
        <v>0</v>
      </c>
      <c r="BH263" s="6">
        <f t="shared" si="3752"/>
        <v>0</v>
      </c>
      <c r="BI263" s="6">
        <f t="shared" si="3753"/>
        <v>0</v>
      </c>
      <c r="BJ263" s="6">
        <f t="shared" si="3754"/>
        <v>0</v>
      </c>
      <c r="BK263" s="6"/>
      <c r="BL263" s="6">
        <f t="shared" si="3755"/>
        <v>0</v>
      </c>
      <c r="BM263" s="6">
        <f t="shared" si="3756"/>
        <v>0</v>
      </c>
      <c r="BN263" s="6">
        <f t="shared" si="3757"/>
        <v>0</v>
      </c>
      <c r="BO263" s="6">
        <f t="shared" si="3758"/>
        <v>0</v>
      </c>
      <c r="BP263" s="6">
        <f t="shared" si="3759"/>
        <v>0</v>
      </c>
      <c r="BQ263" s="6"/>
      <c r="BR263" s="6">
        <f t="shared" si="3760"/>
        <v>0</v>
      </c>
      <c r="BS263" s="6">
        <f t="shared" si="3761"/>
        <v>0</v>
      </c>
      <c r="BT263" s="6">
        <f t="shared" si="3762"/>
        <v>0</v>
      </c>
      <c r="BU263" s="6">
        <f t="shared" si="3763"/>
        <v>0</v>
      </c>
      <c r="BV263" s="6">
        <f t="shared" si="3764"/>
        <v>0</v>
      </c>
      <c r="BW263" s="6"/>
      <c r="BX263" s="6">
        <f t="shared" si="3765"/>
        <v>0</v>
      </c>
      <c r="BY263" s="6">
        <v>0</v>
      </c>
      <c r="BZ263" s="6">
        <f t="shared" si="3766"/>
        <v>0</v>
      </c>
      <c r="CA263" s="6">
        <f t="shared" si="3767"/>
        <v>0</v>
      </c>
      <c r="CB263" s="6">
        <f t="shared" si="3768"/>
        <v>0</v>
      </c>
      <c r="CC263" s="6"/>
      <c r="CD263" s="6">
        <f t="shared" si="3769"/>
        <v>0</v>
      </c>
      <c r="CE263" s="6">
        <f t="shared" si="3770"/>
        <v>0</v>
      </c>
      <c r="CF263" s="6">
        <f t="shared" si="3771"/>
        <v>0</v>
      </c>
      <c r="CG263" s="6">
        <f t="shared" si="3772"/>
        <v>0</v>
      </c>
      <c r="CH263" s="6">
        <f t="shared" si="3773"/>
        <v>0</v>
      </c>
      <c r="CI263" s="6"/>
      <c r="CJ263" s="6"/>
      <c r="CK263" s="6"/>
      <c r="CL263" s="6"/>
      <c r="CM263" s="6"/>
      <c r="CN263" s="6"/>
    </row>
    <row r="264" spans="2:94" ht="12.95" hidden="1" customHeight="1" outlineLevel="1" x14ac:dyDescent="0.25">
      <c r="B264" s="2" t="s">
        <v>40</v>
      </c>
      <c r="AB264" s="25">
        <f>Capitalization!F33</f>
        <v>4.7500000000000001E-2</v>
      </c>
      <c r="AC264" s="25">
        <f t="shared" ref="AC264" si="3776">AB264</f>
        <v>4.7500000000000001E-2</v>
      </c>
      <c r="AD264" s="25">
        <f t="shared" si="3727"/>
        <v>4.7500000000000001E-2</v>
      </c>
      <c r="AE264" s="25">
        <f t="shared" si="3728"/>
        <v>4.7500000000000001E-2</v>
      </c>
      <c r="AF264" s="25">
        <f t="shared" si="3729"/>
        <v>4.7500000000000001E-2</v>
      </c>
      <c r="AG264" s="10"/>
      <c r="AH264" s="25">
        <f t="shared" si="3730"/>
        <v>4.7500000000000001E-2</v>
      </c>
      <c r="AI264" s="25">
        <f t="shared" si="3731"/>
        <v>4.7500000000000001E-2</v>
      </c>
      <c r="AJ264" s="25">
        <f t="shared" si="3732"/>
        <v>4.7500000000000001E-2</v>
      </c>
      <c r="AK264" s="25">
        <f t="shared" si="3733"/>
        <v>4.7500000000000001E-2</v>
      </c>
      <c r="AL264" s="25">
        <f t="shared" si="3734"/>
        <v>4.7500000000000001E-2</v>
      </c>
      <c r="AM264" s="10"/>
      <c r="AN264" s="25">
        <f t="shared" si="3735"/>
        <v>4.7500000000000001E-2</v>
      </c>
      <c r="AO264" s="261">
        <f t="shared" si="3736"/>
        <v>4.7500000000000001E-2</v>
      </c>
      <c r="AP264" s="25">
        <f t="shared" si="3737"/>
        <v>4.7500000000000001E-2</v>
      </c>
      <c r="AQ264" s="261">
        <f t="shared" si="3738"/>
        <v>4.7500000000000001E-2</v>
      </c>
      <c r="AR264" s="261">
        <f t="shared" si="3739"/>
        <v>4.7500000000000001E-2</v>
      </c>
      <c r="AS264" s="10"/>
      <c r="AT264" s="25">
        <f t="shared" si="3740"/>
        <v>4.7500000000000001E-2</v>
      </c>
      <c r="AU264" s="261">
        <f t="shared" si="3741"/>
        <v>4.7500000000000001E-2</v>
      </c>
      <c r="AV264" s="261">
        <f t="shared" si="3742"/>
        <v>4.7500000000000001E-2</v>
      </c>
      <c r="AW264" s="363">
        <f t="shared" si="3743"/>
        <v>4.7500000000000001E-2</v>
      </c>
      <c r="AX264" s="25">
        <f t="shared" si="3744"/>
        <v>4.7500000000000001E-2</v>
      </c>
      <c r="AY264" s="10"/>
      <c r="AZ264" s="25">
        <f t="shared" si="3745"/>
        <v>0</v>
      </c>
      <c r="BA264" s="25">
        <f t="shared" si="3746"/>
        <v>0</v>
      </c>
      <c r="BB264" s="25">
        <f t="shared" si="3747"/>
        <v>0</v>
      </c>
      <c r="BC264" s="25">
        <f t="shared" si="3748"/>
        <v>0</v>
      </c>
      <c r="BD264" s="25">
        <f t="shared" si="3749"/>
        <v>0</v>
      </c>
      <c r="BE264" s="10"/>
      <c r="BF264" s="25">
        <f t="shared" si="3750"/>
        <v>0</v>
      </c>
      <c r="BG264" s="25">
        <f t="shared" si="3751"/>
        <v>0</v>
      </c>
      <c r="BH264" s="25">
        <f t="shared" si="3752"/>
        <v>0</v>
      </c>
      <c r="BI264" s="25">
        <f t="shared" si="3753"/>
        <v>0</v>
      </c>
      <c r="BJ264" s="25">
        <f t="shared" si="3754"/>
        <v>0</v>
      </c>
      <c r="BK264" s="10"/>
      <c r="BL264" s="25">
        <f t="shared" si="3755"/>
        <v>0</v>
      </c>
      <c r="BM264" s="25">
        <f t="shared" si="3756"/>
        <v>0</v>
      </c>
      <c r="BN264" s="25">
        <f t="shared" si="3757"/>
        <v>0</v>
      </c>
      <c r="BO264" s="25">
        <f t="shared" si="3758"/>
        <v>0</v>
      </c>
      <c r="BP264" s="25">
        <f t="shared" si="3759"/>
        <v>0</v>
      </c>
      <c r="BQ264" s="10"/>
      <c r="BR264" s="25">
        <f t="shared" si="3760"/>
        <v>0</v>
      </c>
      <c r="BS264" s="25">
        <f t="shared" si="3761"/>
        <v>0</v>
      </c>
      <c r="BT264" s="25">
        <f t="shared" si="3762"/>
        <v>0</v>
      </c>
      <c r="BU264" s="25">
        <f t="shared" si="3763"/>
        <v>0</v>
      </c>
      <c r="BV264" s="25">
        <f t="shared" si="3764"/>
        <v>0</v>
      </c>
      <c r="BW264" s="10"/>
      <c r="BX264" s="25">
        <f t="shared" si="3765"/>
        <v>0</v>
      </c>
      <c r="BY264" s="25">
        <f t="shared" si="3775"/>
        <v>0</v>
      </c>
      <c r="BZ264" s="25">
        <f t="shared" si="3766"/>
        <v>0</v>
      </c>
      <c r="CA264" s="25">
        <f t="shared" si="3767"/>
        <v>0</v>
      </c>
      <c r="CB264" s="25">
        <f t="shared" si="3768"/>
        <v>0</v>
      </c>
      <c r="CC264" s="10"/>
      <c r="CD264" s="25">
        <f t="shared" si="3769"/>
        <v>0</v>
      </c>
      <c r="CE264" s="25">
        <f t="shared" si="3770"/>
        <v>0</v>
      </c>
      <c r="CF264" s="25">
        <f t="shared" si="3771"/>
        <v>0</v>
      </c>
      <c r="CG264" s="25">
        <f t="shared" si="3772"/>
        <v>0</v>
      </c>
      <c r="CH264" s="25">
        <f t="shared" si="3773"/>
        <v>0</v>
      </c>
      <c r="CI264" s="10"/>
      <c r="CJ264" s="25"/>
      <c r="CK264" s="25"/>
      <c r="CL264" s="25"/>
      <c r="CM264" s="25"/>
      <c r="CN264" s="25"/>
    </row>
    <row r="265" spans="2:94" ht="12.95" hidden="1" customHeight="1" outlineLevel="1" x14ac:dyDescent="0.25">
      <c r="B265" s="2">
        <f>Capitalization!B34</f>
        <v>0</v>
      </c>
      <c r="AB265" s="6">
        <f>Capitalization!E34</f>
        <v>0</v>
      </c>
      <c r="AC265" s="6">
        <f>AB265</f>
        <v>0</v>
      </c>
      <c r="AD265" s="6">
        <f t="shared" si="3727"/>
        <v>0</v>
      </c>
      <c r="AE265" s="6">
        <f t="shared" si="3728"/>
        <v>0</v>
      </c>
      <c r="AF265" s="6">
        <f t="shared" si="3729"/>
        <v>0</v>
      </c>
      <c r="AG265" s="6"/>
      <c r="AH265" s="6">
        <f t="shared" si="3730"/>
        <v>0</v>
      </c>
      <c r="AI265" s="6">
        <f t="shared" si="3731"/>
        <v>0</v>
      </c>
      <c r="AJ265" s="6">
        <f t="shared" si="3732"/>
        <v>0</v>
      </c>
      <c r="AK265" s="6">
        <f t="shared" si="3733"/>
        <v>0</v>
      </c>
      <c r="AL265" s="6">
        <f t="shared" si="3734"/>
        <v>0</v>
      </c>
      <c r="AM265" s="6"/>
      <c r="AN265" s="6">
        <f t="shared" si="3735"/>
        <v>0</v>
      </c>
      <c r="AO265" s="243">
        <f t="shared" si="3736"/>
        <v>0</v>
      </c>
      <c r="AP265" s="6">
        <f t="shared" si="3737"/>
        <v>0</v>
      </c>
      <c r="AQ265" s="243">
        <f t="shared" si="3738"/>
        <v>0</v>
      </c>
      <c r="AR265" s="243">
        <f t="shared" si="3739"/>
        <v>0</v>
      </c>
      <c r="AS265" s="6"/>
      <c r="AT265" s="6">
        <f t="shared" si="3740"/>
        <v>0</v>
      </c>
      <c r="AU265" s="243">
        <f t="shared" si="3741"/>
        <v>0</v>
      </c>
      <c r="AV265" s="243">
        <f t="shared" si="3742"/>
        <v>0</v>
      </c>
      <c r="AW265" s="164">
        <f t="shared" si="3743"/>
        <v>0</v>
      </c>
      <c r="AX265" s="6">
        <f t="shared" si="3744"/>
        <v>0</v>
      </c>
      <c r="AY265" s="6"/>
      <c r="AZ265" s="6">
        <f t="shared" si="3745"/>
        <v>0</v>
      </c>
      <c r="BA265" s="6">
        <f t="shared" si="3746"/>
        <v>0</v>
      </c>
      <c r="BB265" s="6">
        <f t="shared" si="3747"/>
        <v>0</v>
      </c>
      <c r="BC265" s="6">
        <f t="shared" si="3748"/>
        <v>0</v>
      </c>
      <c r="BD265" s="6">
        <f t="shared" si="3749"/>
        <v>0</v>
      </c>
      <c r="BE265" s="6"/>
      <c r="BF265" s="6">
        <f t="shared" si="3750"/>
        <v>0</v>
      </c>
      <c r="BG265" s="6">
        <f t="shared" si="3751"/>
        <v>0</v>
      </c>
      <c r="BH265" s="6">
        <f t="shared" si="3752"/>
        <v>0</v>
      </c>
      <c r="BI265" s="6">
        <f t="shared" si="3753"/>
        <v>0</v>
      </c>
      <c r="BJ265" s="6">
        <f t="shared" si="3754"/>
        <v>0</v>
      </c>
      <c r="BK265" s="6"/>
      <c r="BL265" s="6">
        <f t="shared" si="3755"/>
        <v>0</v>
      </c>
      <c r="BM265" s="6">
        <f t="shared" si="3756"/>
        <v>0</v>
      </c>
      <c r="BN265" s="6">
        <f t="shared" si="3757"/>
        <v>0</v>
      </c>
      <c r="BO265" s="6">
        <f t="shared" si="3758"/>
        <v>0</v>
      </c>
      <c r="BP265" s="6">
        <f t="shared" si="3759"/>
        <v>0</v>
      </c>
      <c r="BQ265" s="6"/>
      <c r="BR265" s="6">
        <f t="shared" si="3760"/>
        <v>0</v>
      </c>
      <c r="BS265" s="6">
        <f t="shared" si="3761"/>
        <v>0</v>
      </c>
      <c r="BT265" s="6">
        <f t="shared" si="3762"/>
        <v>0</v>
      </c>
      <c r="BU265" s="6">
        <f t="shared" si="3763"/>
        <v>0</v>
      </c>
      <c r="BV265" s="6">
        <f t="shared" si="3764"/>
        <v>0</v>
      </c>
      <c r="BW265" s="6"/>
      <c r="BX265" s="6">
        <f t="shared" si="3765"/>
        <v>0</v>
      </c>
      <c r="BY265" s="6">
        <f t="shared" si="3775"/>
        <v>0</v>
      </c>
      <c r="BZ265" s="6">
        <f t="shared" si="3766"/>
        <v>0</v>
      </c>
      <c r="CA265" s="6">
        <f t="shared" si="3767"/>
        <v>0</v>
      </c>
      <c r="CB265" s="6">
        <f t="shared" si="3768"/>
        <v>0</v>
      </c>
      <c r="CC265" s="6"/>
      <c r="CD265" s="6">
        <f t="shared" si="3769"/>
        <v>0</v>
      </c>
      <c r="CE265" s="6">
        <v>0</v>
      </c>
      <c r="CF265" s="6">
        <f t="shared" si="3771"/>
        <v>0</v>
      </c>
      <c r="CG265" s="6">
        <f t="shared" si="3772"/>
        <v>0</v>
      </c>
      <c r="CH265" s="6">
        <f t="shared" si="3773"/>
        <v>0</v>
      </c>
      <c r="CI265" s="6"/>
      <c r="CJ265" s="6"/>
      <c r="CK265" s="6"/>
      <c r="CL265" s="6"/>
      <c r="CM265" s="6"/>
      <c r="CN265" s="6"/>
    </row>
    <row r="266" spans="2:94" ht="12.95" hidden="1" customHeight="1" outlineLevel="1" x14ac:dyDescent="0.25">
      <c r="B266" s="2" t="s">
        <v>40</v>
      </c>
      <c r="AB266" s="25">
        <f>Capitalization!F34</f>
        <v>4.4999999999999998E-2</v>
      </c>
      <c r="AC266" s="25">
        <f t="shared" ref="AC266" si="3777">AB266</f>
        <v>4.4999999999999998E-2</v>
      </c>
      <c r="AD266" s="25">
        <f t="shared" si="3727"/>
        <v>4.4999999999999998E-2</v>
      </c>
      <c r="AE266" s="25">
        <f t="shared" si="3728"/>
        <v>4.4999999999999998E-2</v>
      </c>
      <c r="AF266" s="25">
        <f t="shared" si="3729"/>
        <v>4.4999999999999998E-2</v>
      </c>
      <c r="AG266" s="10"/>
      <c r="AH266" s="25">
        <f t="shared" si="3730"/>
        <v>4.4999999999999998E-2</v>
      </c>
      <c r="AI266" s="25">
        <f t="shared" si="3731"/>
        <v>4.4999999999999998E-2</v>
      </c>
      <c r="AJ266" s="25">
        <f t="shared" si="3732"/>
        <v>4.4999999999999998E-2</v>
      </c>
      <c r="AK266" s="25">
        <f t="shared" si="3733"/>
        <v>4.4999999999999998E-2</v>
      </c>
      <c r="AL266" s="25">
        <f t="shared" si="3734"/>
        <v>4.4999999999999998E-2</v>
      </c>
      <c r="AM266" s="10"/>
      <c r="AN266" s="25">
        <f t="shared" si="3735"/>
        <v>4.4999999999999998E-2</v>
      </c>
      <c r="AO266" s="261">
        <f t="shared" si="3736"/>
        <v>4.4999999999999998E-2</v>
      </c>
      <c r="AP266" s="25">
        <f t="shared" si="3737"/>
        <v>4.4999999999999998E-2</v>
      </c>
      <c r="AQ266" s="261">
        <f t="shared" si="3738"/>
        <v>4.4999999999999998E-2</v>
      </c>
      <c r="AR266" s="261">
        <f t="shared" si="3739"/>
        <v>4.4999999999999998E-2</v>
      </c>
      <c r="AS266" s="10"/>
      <c r="AT266" s="25">
        <f t="shared" si="3740"/>
        <v>4.4999999999999998E-2</v>
      </c>
      <c r="AU266" s="261">
        <f t="shared" si="3741"/>
        <v>4.4999999999999998E-2</v>
      </c>
      <c r="AV266" s="261">
        <f t="shared" si="3742"/>
        <v>4.4999999999999998E-2</v>
      </c>
      <c r="AW266" s="363">
        <f t="shared" si="3743"/>
        <v>4.4999999999999998E-2</v>
      </c>
      <c r="AX266" s="25">
        <f t="shared" si="3744"/>
        <v>4.4999999999999998E-2</v>
      </c>
      <c r="AY266" s="10"/>
      <c r="AZ266" s="25">
        <f t="shared" si="3745"/>
        <v>0</v>
      </c>
      <c r="BA266" s="25">
        <f t="shared" si="3746"/>
        <v>0</v>
      </c>
      <c r="BB266" s="25">
        <f t="shared" si="3747"/>
        <v>0</v>
      </c>
      <c r="BC266" s="25">
        <f t="shared" si="3748"/>
        <v>0</v>
      </c>
      <c r="BD266" s="25">
        <f t="shared" si="3749"/>
        <v>0</v>
      </c>
      <c r="BE266" s="10"/>
      <c r="BF266" s="25">
        <f t="shared" si="3750"/>
        <v>0</v>
      </c>
      <c r="BG266" s="25">
        <f t="shared" si="3751"/>
        <v>0</v>
      </c>
      <c r="BH266" s="25">
        <f t="shared" si="3752"/>
        <v>0</v>
      </c>
      <c r="BI266" s="25">
        <f t="shared" si="3753"/>
        <v>0</v>
      </c>
      <c r="BJ266" s="25">
        <f t="shared" si="3754"/>
        <v>0</v>
      </c>
      <c r="BK266" s="10"/>
      <c r="BL266" s="25">
        <f t="shared" si="3755"/>
        <v>0</v>
      </c>
      <c r="BM266" s="25">
        <f t="shared" si="3756"/>
        <v>0</v>
      </c>
      <c r="BN266" s="25">
        <f t="shared" si="3757"/>
        <v>0</v>
      </c>
      <c r="BO266" s="25">
        <f t="shared" si="3758"/>
        <v>0</v>
      </c>
      <c r="BP266" s="25">
        <f t="shared" si="3759"/>
        <v>0</v>
      </c>
      <c r="BQ266" s="10"/>
      <c r="BR266" s="25">
        <f t="shared" si="3760"/>
        <v>0</v>
      </c>
      <c r="BS266" s="25">
        <f t="shared" si="3761"/>
        <v>0</v>
      </c>
      <c r="BT266" s="25">
        <f t="shared" si="3762"/>
        <v>0</v>
      </c>
      <c r="BU266" s="25">
        <f t="shared" si="3763"/>
        <v>0</v>
      </c>
      <c r="BV266" s="25">
        <f t="shared" si="3764"/>
        <v>0</v>
      </c>
      <c r="BW266" s="10"/>
      <c r="BX266" s="25">
        <f t="shared" si="3765"/>
        <v>0</v>
      </c>
      <c r="BY266" s="25">
        <f t="shared" si="3775"/>
        <v>0</v>
      </c>
      <c r="BZ266" s="25">
        <f t="shared" si="3766"/>
        <v>0</v>
      </c>
      <c r="CA266" s="25">
        <f t="shared" si="3767"/>
        <v>0</v>
      </c>
      <c r="CB266" s="25">
        <f t="shared" si="3768"/>
        <v>0</v>
      </c>
      <c r="CC266" s="10"/>
      <c r="CD266" s="25">
        <f t="shared" si="3769"/>
        <v>0</v>
      </c>
      <c r="CE266" s="25">
        <f t="shared" si="3770"/>
        <v>0</v>
      </c>
      <c r="CF266" s="25">
        <f t="shared" si="3771"/>
        <v>0</v>
      </c>
      <c r="CG266" s="25">
        <f t="shared" si="3772"/>
        <v>0</v>
      </c>
      <c r="CH266" s="25">
        <f t="shared" si="3773"/>
        <v>0</v>
      </c>
      <c r="CI266" s="10"/>
      <c r="CJ266" s="25"/>
      <c r="CK266" s="25"/>
      <c r="CL266" s="25"/>
      <c r="CM266" s="25"/>
      <c r="CN266" s="25"/>
    </row>
    <row r="267" spans="2:94" ht="12.95" hidden="1" customHeight="1" outlineLevel="1" x14ac:dyDescent="0.25">
      <c r="B267" s="2">
        <f>Capitalization!B35</f>
        <v>0</v>
      </c>
      <c r="AB267" s="6">
        <f>Capitalization!E35</f>
        <v>0</v>
      </c>
      <c r="AC267" s="6">
        <f>AB267</f>
        <v>0</v>
      </c>
      <c r="AD267" s="6">
        <f t="shared" si="3727"/>
        <v>0</v>
      </c>
      <c r="AE267" s="6">
        <f t="shared" si="3728"/>
        <v>0</v>
      </c>
      <c r="AF267" s="6">
        <f t="shared" si="3729"/>
        <v>0</v>
      </c>
      <c r="AG267" s="6"/>
      <c r="AH267" s="6">
        <f t="shared" si="3730"/>
        <v>0</v>
      </c>
      <c r="AI267" s="6">
        <f t="shared" si="3731"/>
        <v>0</v>
      </c>
      <c r="AJ267" s="6">
        <f t="shared" si="3732"/>
        <v>0</v>
      </c>
      <c r="AK267" s="6">
        <f t="shared" si="3733"/>
        <v>0</v>
      </c>
      <c r="AL267" s="6">
        <f t="shared" si="3734"/>
        <v>0</v>
      </c>
      <c r="AM267" s="6"/>
      <c r="AN267" s="6">
        <f t="shared" si="3735"/>
        <v>0</v>
      </c>
      <c r="AO267" s="243">
        <f t="shared" si="3736"/>
        <v>0</v>
      </c>
      <c r="AP267" s="6">
        <f t="shared" si="3737"/>
        <v>0</v>
      </c>
      <c r="AQ267" s="243">
        <f t="shared" si="3738"/>
        <v>0</v>
      </c>
      <c r="AR267" s="243">
        <f t="shared" si="3739"/>
        <v>0</v>
      </c>
      <c r="AS267" s="6"/>
      <c r="AT267" s="6">
        <f t="shared" si="3740"/>
        <v>0</v>
      </c>
      <c r="AU267" s="243">
        <f t="shared" si="3741"/>
        <v>0</v>
      </c>
      <c r="AV267" s="243">
        <f t="shared" si="3742"/>
        <v>0</v>
      </c>
      <c r="AW267" s="164">
        <f t="shared" si="3743"/>
        <v>0</v>
      </c>
      <c r="AX267" s="6">
        <f t="shared" si="3744"/>
        <v>0</v>
      </c>
      <c r="AY267" s="6"/>
      <c r="AZ267" s="6">
        <f t="shared" si="3745"/>
        <v>0</v>
      </c>
      <c r="BA267" s="6">
        <f t="shared" si="3746"/>
        <v>0</v>
      </c>
      <c r="BB267" s="6">
        <f t="shared" si="3747"/>
        <v>0</v>
      </c>
      <c r="BC267" s="6">
        <f t="shared" si="3748"/>
        <v>0</v>
      </c>
      <c r="BD267" s="6">
        <f t="shared" si="3749"/>
        <v>0</v>
      </c>
      <c r="BE267" s="6"/>
      <c r="BF267" s="6">
        <f t="shared" si="3750"/>
        <v>0</v>
      </c>
      <c r="BG267" s="6">
        <f t="shared" si="3751"/>
        <v>0</v>
      </c>
      <c r="BH267" s="6">
        <f t="shared" si="3752"/>
        <v>0</v>
      </c>
      <c r="BI267" s="6">
        <f t="shared" si="3753"/>
        <v>0</v>
      </c>
      <c r="BJ267" s="6">
        <f t="shared" si="3754"/>
        <v>0</v>
      </c>
      <c r="BK267" s="6"/>
      <c r="BL267" s="6">
        <f t="shared" si="3755"/>
        <v>0</v>
      </c>
      <c r="BM267" s="6">
        <f t="shared" si="3756"/>
        <v>0</v>
      </c>
      <c r="BN267" s="6">
        <f t="shared" si="3757"/>
        <v>0</v>
      </c>
      <c r="BO267" s="6">
        <f t="shared" si="3758"/>
        <v>0</v>
      </c>
      <c r="BP267" s="6">
        <f t="shared" si="3759"/>
        <v>0</v>
      </c>
      <c r="BQ267" s="6"/>
      <c r="BR267" s="6">
        <f t="shared" si="3760"/>
        <v>0</v>
      </c>
      <c r="BS267" s="6">
        <f t="shared" si="3761"/>
        <v>0</v>
      </c>
      <c r="BT267" s="6">
        <f t="shared" si="3762"/>
        <v>0</v>
      </c>
      <c r="BU267" s="6">
        <f t="shared" si="3763"/>
        <v>0</v>
      </c>
      <c r="BV267" s="6">
        <f t="shared" si="3764"/>
        <v>0</v>
      </c>
      <c r="BW267" s="6"/>
      <c r="BX267" s="6">
        <f t="shared" si="3765"/>
        <v>0</v>
      </c>
      <c r="BY267" s="6">
        <f t="shared" si="3775"/>
        <v>0</v>
      </c>
      <c r="BZ267" s="6">
        <f t="shared" si="3766"/>
        <v>0</v>
      </c>
      <c r="CA267" s="6">
        <f t="shared" si="3767"/>
        <v>0</v>
      </c>
      <c r="CB267" s="6">
        <f t="shared" si="3768"/>
        <v>0</v>
      </c>
      <c r="CC267" s="6"/>
      <c r="CD267" s="6">
        <f t="shared" si="3769"/>
        <v>0</v>
      </c>
      <c r="CE267" s="6">
        <v>0</v>
      </c>
      <c r="CF267" s="6">
        <f t="shared" si="3771"/>
        <v>0</v>
      </c>
      <c r="CG267" s="6">
        <f t="shared" si="3772"/>
        <v>0</v>
      </c>
      <c r="CH267" s="6">
        <f t="shared" si="3773"/>
        <v>0</v>
      </c>
      <c r="CI267" s="6"/>
      <c r="CJ267" s="6"/>
      <c r="CK267" s="6"/>
      <c r="CL267" s="6"/>
      <c r="CM267" s="6"/>
      <c r="CN267" s="6"/>
    </row>
    <row r="268" spans="2:94" ht="12.95" hidden="1" customHeight="1" outlineLevel="1" x14ac:dyDescent="0.25">
      <c r="B268" s="2" t="s">
        <v>40</v>
      </c>
      <c r="AB268" s="25">
        <f>Capitalization!F35</f>
        <v>3.3500000000000002E-2</v>
      </c>
      <c r="AC268" s="25">
        <f t="shared" ref="AC268" si="3778">AB268</f>
        <v>3.3500000000000002E-2</v>
      </c>
      <c r="AD268" s="25">
        <f t="shared" si="3727"/>
        <v>3.3500000000000002E-2</v>
      </c>
      <c r="AE268" s="25">
        <f t="shared" si="3728"/>
        <v>3.3500000000000002E-2</v>
      </c>
      <c r="AF268" s="25">
        <f t="shared" si="3729"/>
        <v>3.3500000000000002E-2</v>
      </c>
      <c r="AG268" s="10"/>
      <c r="AH268" s="25">
        <f t="shared" si="3730"/>
        <v>3.3500000000000002E-2</v>
      </c>
      <c r="AI268" s="25">
        <f t="shared" si="3731"/>
        <v>3.3500000000000002E-2</v>
      </c>
      <c r="AJ268" s="25">
        <f t="shared" si="3732"/>
        <v>3.3500000000000002E-2</v>
      </c>
      <c r="AK268" s="25">
        <f t="shared" si="3733"/>
        <v>3.3500000000000002E-2</v>
      </c>
      <c r="AL268" s="25">
        <f t="shared" si="3734"/>
        <v>3.3500000000000002E-2</v>
      </c>
      <c r="AM268" s="10"/>
      <c r="AN268" s="25">
        <f t="shared" si="3735"/>
        <v>3.3500000000000002E-2</v>
      </c>
      <c r="AO268" s="261">
        <f t="shared" si="3736"/>
        <v>3.3500000000000002E-2</v>
      </c>
      <c r="AP268" s="25">
        <f t="shared" si="3737"/>
        <v>3.3500000000000002E-2</v>
      </c>
      <c r="AQ268" s="261">
        <f t="shared" si="3738"/>
        <v>3.3500000000000002E-2</v>
      </c>
      <c r="AR268" s="261">
        <f t="shared" si="3739"/>
        <v>3.3500000000000002E-2</v>
      </c>
      <c r="AS268" s="10"/>
      <c r="AT268" s="25">
        <f t="shared" si="3740"/>
        <v>3.3500000000000002E-2</v>
      </c>
      <c r="AU268" s="261">
        <f t="shared" si="3741"/>
        <v>3.3500000000000002E-2</v>
      </c>
      <c r="AV268" s="261">
        <f t="shared" si="3742"/>
        <v>3.3500000000000002E-2</v>
      </c>
      <c r="AW268" s="363">
        <f t="shared" si="3743"/>
        <v>3.3500000000000002E-2</v>
      </c>
      <c r="AX268" s="25">
        <f t="shared" si="3744"/>
        <v>3.3500000000000002E-2</v>
      </c>
      <c r="AY268" s="10"/>
      <c r="AZ268" s="25">
        <f t="shared" si="3745"/>
        <v>0</v>
      </c>
      <c r="BA268" s="25">
        <f t="shared" si="3746"/>
        <v>0</v>
      </c>
      <c r="BB268" s="25">
        <f t="shared" si="3747"/>
        <v>0</v>
      </c>
      <c r="BC268" s="25">
        <f t="shared" si="3748"/>
        <v>0</v>
      </c>
      <c r="BD268" s="25">
        <f t="shared" si="3749"/>
        <v>0</v>
      </c>
      <c r="BE268" s="10"/>
      <c r="BF268" s="25">
        <f t="shared" si="3750"/>
        <v>0</v>
      </c>
      <c r="BG268" s="25">
        <f t="shared" si="3751"/>
        <v>0</v>
      </c>
      <c r="BH268" s="25">
        <f t="shared" si="3752"/>
        <v>0</v>
      </c>
      <c r="BI268" s="25">
        <f t="shared" si="3753"/>
        <v>0</v>
      </c>
      <c r="BJ268" s="25">
        <f t="shared" si="3754"/>
        <v>0</v>
      </c>
      <c r="BK268" s="10"/>
      <c r="BL268" s="25">
        <f t="shared" si="3755"/>
        <v>0</v>
      </c>
      <c r="BM268" s="25">
        <f t="shared" si="3756"/>
        <v>0</v>
      </c>
      <c r="BN268" s="25">
        <f t="shared" si="3757"/>
        <v>0</v>
      </c>
      <c r="BO268" s="25">
        <f t="shared" si="3758"/>
        <v>0</v>
      </c>
      <c r="BP268" s="25">
        <f t="shared" si="3759"/>
        <v>0</v>
      </c>
      <c r="BQ268" s="10"/>
      <c r="BR268" s="25">
        <f t="shared" si="3760"/>
        <v>0</v>
      </c>
      <c r="BS268" s="25">
        <f t="shared" si="3761"/>
        <v>0</v>
      </c>
      <c r="BT268" s="25">
        <f t="shared" si="3762"/>
        <v>0</v>
      </c>
      <c r="BU268" s="25">
        <f t="shared" si="3763"/>
        <v>0</v>
      </c>
      <c r="BV268" s="25">
        <f t="shared" si="3764"/>
        <v>0</v>
      </c>
      <c r="BW268" s="10"/>
      <c r="BX268" s="25">
        <f t="shared" si="3765"/>
        <v>0</v>
      </c>
      <c r="BY268" s="25">
        <f t="shared" si="3775"/>
        <v>0</v>
      </c>
      <c r="BZ268" s="25">
        <f t="shared" si="3766"/>
        <v>0</v>
      </c>
      <c r="CA268" s="25">
        <f t="shared" si="3767"/>
        <v>0</v>
      </c>
      <c r="CB268" s="25">
        <f t="shared" si="3768"/>
        <v>0</v>
      </c>
      <c r="CC268" s="10"/>
      <c r="CD268" s="25">
        <f t="shared" si="3769"/>
        <v>0</v>
      </c>
      <c r="CE268" s="25">
        <f t="shared" si="3770"/>
        <v>0</v>
      </c>
      <c r="CF268" s="25">
        <f t="shared" si="3771"/>
        <v>0</v>
      </c>
      <c r="CG268" s="25">
        <f t="shared" si="3772"/>
        <v>0</v>
      </c>
      <c r="CH268" s="25">
        <f t="shared" si="3773"/>
        <v>0</v>
      </c>
      <c r="CI268" s="10"/>
      <c r="CJ268" s="25"/>
      <c r="CK268" s="25"/>
      <c r="CL268" s="25"/>
      <c r="CM268" s="25"/>
      <c r="CN268" s="25"/>
    </row>
    <row r="269" spans="2:94" ht="12.95" hidden="1" customHeight="1" outlineLevel="1" x14ac:dyDescent="0.25">
      <c r="B269" s="2">
        <f>Capitalization!B36</f>
        <v>0</v>
      </c>
      <c r="AB269" s="6">
        <f>Capitalization!E36</f>
        <v>0</v>
      </c>
      <c r="AC269" s="6">
        <f>AB269</f>
        <v>0</v>
      </c>
      <c r="AD269" s="6">
        <f t="shared" si="3727"/>
        <v>0</v>
      </c>
      <c r="AE269" s="6">
        <f t="shared" si="3728"/>
        <v>0</v>
      </c>
      <c r="AF269" s="6">
        <f t="shared" si="3729"/>
        <v>0</v>
      </c>
      <c r="AG269" s="6"/>
      <c r="AH269" s="6">
        <f t="shared" si="3730"/>
        <v>0</v>
      </c>
      <c r="AI269" s="6">
        <f t="shared" si="3731"/>
        <v>0</v>
      </c>
      <c r="AJ269" s="6">
        <f t="shared" si="3732"/>
        <v>0</v>
      </c>
      <c r="AK269" s="6">
        <f t="shared" si="3733"/>
        <v>0</v>
      </c>
      <c r="AL269" s="6">
        <f t="shared" si="3734"/>
        <v>0</v>
      </c>
      <c r="AM269" s="6"/>
      <c r="AN269" s="6">
        <f t="shared" si="3735"/>
        <v>0</v>
      </c>
      <c r="AO269" s="243">
        <f t="shared" si="3736"/>
        <v>0</v>
      </c>
      <c r="AP269" s="6">
        <f t="shared" si="3737"/>
        <v>0</v>
      </c>
      <c r="AQ269" s="243">
        <f t="shared" si="3738"/>
        <v>0</v>
      </c>
      <c r="AR269" s="243">
        <f t="shared" si="3739"/>
        <v>0</v>
      </c>
      <c r="AS269" s="6"/>
      <c r="AT269" s="6">
        <f t="shared" si="3740"/>
        <v>0</v>
      </c>
      <c r="AU269" s="243">
        <f t="shared" si="3741"/>
        <v>0</v>
      </c>
      <c r="AV269" s="243">
        <f t="shared" si="3742"/>
        <v>0</v>
      </c>
      <c r="AW269" s="164">
        <f t="shared" si="3743"/>
        <v>0</v>
      </c>
      <c r="AX269" s="6">
        <f t="shared" si="3744"/>
        <v>0</v>
      </c>
      <c r="AY269" s="6"/>
      <c r="AZ269" s="6">
        <f t="shared" si="3745"/>
        <v>0</v>
      </c>
      <c r="BA269" s="6">
        <f t="shared" si="3746"/>
        <v>0</v>
      </c>
      <c r="BB269" s="6">
        <f t="shared" si="3747"/>
        <v>0</v>
      </c>
      <c r="BC269" s="6">
        <f t="shared" si="3748"/>
        <v>0</v>
      </c>
      <c r="BD269" s="6">
        <f t="shared" si="3749"/>
        <v>0</v>
      </c>
      <c r="BE269" s="6"/>
      <c r="BF269" s="6">
        <f t="shared" si="3750"/>
        <v>0</v>
      </c>
      <c r="BG269" s="6">
        <f t="shared" si="3751"/>
        <v>0</v>
      </c>
      <c r="BH269" s="6">
        <f t="shared" si="3752"/>
        <v>0</v>
      </c>
      <c r="BI269" s="6">
        <f t="shared" si="3753"/>
        <v>0</v>
      </c>
      <c r="BJ269" s="6">
        <f t="shared" si="3754"/>
        <v>0</v>
      </c>
      <c r="BK269" s="6"/>
      <c r="BL269" s="6">
        <f t="shared" si="3755"/>
        <v>0</v>
      </c>
      <c r="BM269" s="6">
        <f t="shared" si="3756"/>
        <v>0</v>
      </c>
      <c r="BN269" s="6">
        <f t="shared" si="3757"/>
        <v>0</v>
      </c>
      <c r="BO269" s="6">
        <f t="shared" si="3758"/>
        <v>0</v>
      </c>
      <c r="BP269" s="6">
        <f t="shared" si="3759"/>
        <v>0</v>
      </c>
      <c r="BQ269" s="6"/>
      <c r="BR269" s="6">
        <f t="shared" si="3760"/>
        <v>0</v>
      </c>
      <c r="BS269" s="6">
        <f t="shared" si="3761"/>
        <v>0</v>
      </c>
      <c r="BT269" s="6">
        <f t="shared" si="3762"/>
        <v>0</v>
      </c>
      <c r="BU269" s="6">
        <f t="shared" si="3763"/>
        <v>0</v>
      </c>
      <c r="BV269" s="6">
        <f t="shared" si="3764"/>
        <v>0</v>
      </c>
      <c r="BW269" s="6"/>
      <c r="BX269" s="6">
        <f t="shared" si="3765"/>
        <v>0</v>
      </c>
      <c r="BY269" s="6">
        <f t="shared" si="3775"/>
        <v>0</v>
      </c>
      <c r="BZ269" s="6">
        <f t="shared" si="3766"/>
        <v>0</v>
      </c>
      <c r="CA269" s="6">
        <f t="shared" si="3767"/>
        <v>0</v>
      </c>
      <c r="CB269" s="6">
        <f t="shared" si="3768"/>
        <v>0</v>
      </c>
      <c r="CC269" s="6"/>
      <c r="CD269" s="6">
        <f t="shared" si="3769"/>
        <v>0</v>
      </c>
      <c r="CE269" s="6">
        <f t="shared" si="3770"/>
        <v>0</v>
      </c>
      <c r="CF269" s="6">
        <f t="shared" si="3771"/>
        <v>0</v>
      </c>
      <c r="CG269" s="6">
        <f t="shared" si="3772"/>
        <v>0</v>
      </c>
      <c r="CH269" s="6">
        <f t="shared" si="3773"/>
        <v>0</v>
      </c>
      <c r="CI269" s="6"/>
      <c r="CJ269" s="6"/>
      <c r="CK269" s="6"/>
      <c r="CL269" s="6"/>
      <c r="CM269" s="6"/>
      <c r="CN269" s="6"/>
    </row>
    <row r="270" spans="2:94" ht="12.95" hidden="1" customHeight="1" outlineLevel="1" x14ac:dyDescent="0.25">
      <c r="B270" s="2" t="s">
        <v>40</v>
      </c>
      <c r="AB270" s="25">
        <f>Capitalization!F36</f>
        <v>3.7999999999999999E-2</v>
      </c>
      <c r="AC270" s="25">
        <f t="shared" ref="AC270" si="3779">AB270</f>
        <v>3.7999999999999999E-2</v>
      </c>
      <c r="AD270" s="25">
        <f t="shared" si="3727"/>
        <v>3.7999999999999999E-2</v>
      </c>
      <c r="AE270" s="25">
        <f t="shared" si="3728"/>
        <v>3.7999999999999999E-2</v>
      </c>
      <c r="AF270" s="25">
        <f t="shared" si="3729"/>
        <v>3.7999999999999999E-2</v>
      </c>
      <c r="AG270" s="10"/>
      <c r="AH270" s="25">
        <f t="shared" si="3730"/>
        <v>3.7999999999999999E-2</v>
      </c>
      <c r="AI270" s="25">
        <f t="shared" si="3731"/>
        <v>3.7999999999999999E-2</v>
      </c>
      <c r="AJ270" s="25">
        <f t="shared" si="3732"/>
        <v>3.7999999999999999E-2</v>
      </c>
      <c r="AK270" s="25">
        <f t="shared" si="3733"/>
        <v>3.7999999999999999E-2</v>
      </c>
      <c r="AL270" s="25">
        <f t="shared" si="3734"/>
        <v>3.7999999999999999E-2</v>
      </c>
      <c r="AM270" s="10"/>
      <c r="AN270" s="25">
        <f t="shared" si="3735"/>
        <v>3.7999999999999999E-2</v>
      </c>
      <c r="AO270" s="261">
        <f t="shared" si="3736"/>
        <v>3.7999999999999999E-2</v>
      </c>
      <c r="AP270" s="25">
        <f t="shared" si="3737"/>
        <v>3.7999999999999999E-2</v>
      </c>
      <c r="AQ270" s="261">
        <f t="shared" si="3738"/>
        <v>3.7999999999999999E-2</v>
      </c>
      <c r="AR270" s="261">
        <f t="shared" si="3739"/>
        <v>3.7999999999999999E-2</v>
      </c>
      <c r="AS270" s="10"/>
      <c r="AT270" s="25">
        <f t="shared" si="3740"/>
        <v>3.7999999999999999E-2</v>
      </c>
      <c r="AU270" s="261">
        <f t="shared" si="3741"/>
        <v>3.7999999999999999E-2</v>
      </c>
      <c r="AV270" s="261">
        <f t="shared" si="3742"/>
        <v>3.7999999999999999E-2</v>
      </c>
      <c r="AW270" s="363">
        <f t="shared" si="3743"/>
        <v>3.7999999999999999E-2</v>
      </c>
      <c r="AX270" s="25">
        <f t="shared" si="3744"/>
        <v>3.7999999999999999E-2</v>
      </c>
      <c r="AY270" s="10"/>
      <c r="AZ270" s="25">
        <f t="shared" si="3745"/>
        <v>0</v>
      </c>
      <c r="BA270" s="25">
        <f t="shared" si="3746"/>
        <v>0</v>
      </c>
      <c r="BB270" s="25">
        <f t="shared" si="3747"/>
        <v>0</v>
      </c>
      <c r="BC270" s="25">
        <f t="shared" si="3748"/>
        <v>0</v>
      </c>
      <c r="BD270" s="25">
        <f t="shared" si="3749"/>
        <v>0</v>
      </c>
      <c r="BE270" s="10"/>
      <c r="BF270" s="25">
        <f t="shared" si="3750"/>
        <v>0</v>
      </c>
      <c r="BG270" s="25">
        <f t="shared" si="3751"/>
        <v>0</v>
      </c>
      <c r="BH270" s="25">
        <f t="shared" si="3752"/>
        <v>0</v>
      </c>
      <c r="BI270" s="25">
        <f t="shared" si="3753"/>
        <v>0</v>
      </c>
      <c r="BJ270" s="25">
        <f t="shared" si="3754"/>
        <v>0</v>
      </c>
      <c r="BK270" s="10"/>
      <c r="BL270" s="25">
        <f t="shared" si="3755"/>
        <v>0</v>
      </c>
      <c r="BM270" s="25">
        <f t="shared" si="3756"/>
        <v>0</v>
      </c>
      <c r="BN270" s="25">
        <f t="shared" si="3757"/>
        <v>0</v>
      </c>
      <c r="BO270" s="25">
        <f t="shared" si="3758"/>
        <v>0</v>
      </c>
      <c r="BP270" s="25">
        <f t="shared" si="3759"/>
        <v>0</v>
      </c>
      <c r="BQ270" s="10"/>
      <c r="BR270" s="25">
        <f t="shared" si="3760"/>
        <v>0</v>
      </c>
      <c r="BS270" s="25">
        <f t="shared" si="3761"/>
        <v>0</v>
      </c>
      <c r="BT270" s="25">
        <f t="shared" si="3762"/>
        <v>0</v>
      </c>
      <c r="BU270" s="25">
        <f t="shared" si="3763"/>
        <v>0</v>
      </c>
      <c r="BV270" s="25">
        <f t="shared" si="3764"/>
        <v>0</v>
      </c>
      <c r="BW270" s="10"/>
      <c r="BX270" s="25">
        <f t="shared" si="3765"/>
        <v>0</v>
      </c>
      <c r="BY270" s="25">
        <f t="shared" si="3775"/>
        <v>0</v>
      </c>
      <c r="BZ270" s="25">
        <f t="shared" si="3766"/>
        <v>0</v>
      </c>
      <c r="CA270" s="25">
        <f t="shared" si="3767"/>
        <v>0</v>
      </c>
      <c r="CB270" s="25">
        <f t="shared" si="3768"/>
        <v>0</v>
      </c>
      <c r="CC270" s="10"/>
      <c r="CD270" s="25">
        <f t="shared" si="3769"/>
        <v>0</v>
      </c>
      <c r="CE270" s="25">
        <f t="shared" si="3770"/>
        <v>0</v>
      </c>
      <c r="CF270" s="25">
        <f t="shared" si="3771"/>
        <v>0</v>
      </c>
      <c r="CG270" s="25">
        <f t="shared" si="3772"/>
        <v>0</v>
      </c>
      <c r="CH270" s="25">
        <f t="shared" si="3773"/>
        <v>0</v>
      </c>
      <c r="CI270" s="10"/>
      <c r="CJ270" s="25"/>
      <c r="CK270" s="25"/>
      <c r="CL270" s="25"/>
      <c r="CM270" s="25"/>
      <c r="CN270" s="25"/>
    </row>
    <row r="271" spans="2:94" ht="12.95" hidden="1" customHeight="1" outlineLevel="1" x14ac:dyDescent="0.25">
      <c r="B271" s="2">
        <f>Capitalization!B37</f>
        <v>0</v>
      </c>
      <c r="AB271" s="6">
        <f>Capitalization!E37</f>
        <v>0</v>
      </c>
      <c r="AC271" s="6">
        <f>AB271</f>
        <v>0</v>
      </c>
      <c r="AD271" s="6">
        <f t="shared" si="3727"/>
        <v>0</v>
      </c>
      <c r="AE271" s="6">
        <f t="shared" si="3728"/>
        <v>0</v>
      </c>
      <c r="AF271" s="6">
        <f t="shared" si="3729"/>
        <v>0</v>
      </c>
      <c r="AG271" s="6"/>
      <c r="AH271" s="6">
        <f t="shared" si="3730"/>
        <v>0</v>
      </c>
      <c r="AI271" s="6">
        <f t="shared" si="3731"/>
        <v>0</v>
      </c>
      <c r="AJ271" s="6">
        <f t="shared" si="3732"/>
        <v>0</v>
      </c>
      <c r="AK271" s="6">
        <f t="shared" si="3733"/>
        <v>0</v>
      </c>
      <c r="AL271" s="6">
        <f t="shared" si="3734"/>
        <v>0</v>
      </c>
      <c r="AM271" s="6"/>
      <c r="AN271" s="6">
        <f t="shared" si="3735"/>
        <v>0</v>
      </c>
      <c r="AO271" s="243">
        <f t="shared" si="3736"/>
        <v>0</v>
      </c>
      <c r="AP271" s="6">
        <f t="shared" si="3737"/>
        <v>0</v>
      </c>
      <c r="AQ271" s="243">
        <f t="shared" si="3738"/>
        <v>0</v>
      </c>
      <c r="AR271" s="243">
        <f t="shared" si="3739"/>
        <v>0</v>
      </c>
      <c r="AS271" s="6"/>
      <c r="AT271" s="6">
        <f t="shared" si="3740"/>
        <v>0</v>
      </c>
      <c r="AU271" s="243">
        <f t="shared" si="3741"/>
        <v>0</v>
      </c>
      <c r="AV271" s="243">
        <f t="shared" si="3742"/>
        <v>0</v>
      </c>
      <c r="AW271" s="164">
        <f t="shared" si="3743"/>
        <v>0</v>
      </c>
      <c r="AX271" s="6">
        <f t="shared" si="3744"/>
        <v>0</v>
      </c>
      <c r="AY271" s="6"/>
      <c r="AZ271" s="6">
        <f t="shared" si="3745"/>
        <v>0</v>
      </c>
      <c r="BA271" s="6">
        <f t="shared" si="3746"/>
        <v>0</v>
      </c>
      <c r="BB271" s="6">
        <f t="shared" si="3747"/>
        <v>0</v>
      </c>
      <c r="BC271" s="6">
        <f t="shared" si="3748"/>
        <v>0</v>
      </c>
      <c r="BD271" s="6">
        <f t="shared" si="3749"/>
        <v>0</v>
      </c>
      <c r="BE271" s="6"/>
      <c r="BF271" s="6">
        <f t="shared" si="3750"/>
        <v>0</v>
      </c>
      <c r="BG271" s="6">
        <f t="shared" si="3751"/>
        <v>0</v>
      </c>
      <c r="BH271" s="6">
        <f t="shared" si="3752"/>
        <v>0</v>
      </c>
      <c r="BI271" s="6">
        <f t="shared" si="3753"/>
        <v>0</v>
      </c>
      <c r="BJ271" s="6">
        <f t="shared" si="3754"/>
        <v>0</v>
      </c>
      <c r="BK271" s="6"/>
      <c r="BL271" s="6">
        <f t="shared" si="3755"/>
        <v>0</v>
      </c>
      <c r="BM271" s="6">
        <f t="shared" si="3756"/>
        <v>0</v>
      </c>
      <c r="BN271" s="6">
        <f t="shared" si="3757"/>
        <v>0</v>
      </c>
      <c r="BO271" s="6">
        <f t="shared" si="3758"/>
        <v>0</v>
      </c>
      <c r="BP271" s="6">
        <f t="shared" si="3759"/>
        <v>0</v>
      </c>
      <c r="BQ271" s="6"/>
      <c r="BR271" s="6">
        <f t="shared" si="3760"/>
        <v>0</v>
      </c>
      <c r="BS271" s="6">
        <f t="shared" si="3761"/>
        <v>0</v>
      </c>
      <c r="BT271" s="6">
        <f t="shared" si="3762"/>
        <v>0</v>
      </c>
      <c r="BU271" s="6">
        <f t="shared" si="3763"/>
        <v>0</v>
      </c>
      <c r="BV271" s="6">
        <f t="shared" si="3764"/>
        <v>0</v>
      </c>
      <c r="BW271" s="6"/>
      <c r="BX271" s="6">
        <f t="shared" si="3765"/>
        <v>0</v>
      </c>
      <c r="BY271" s="6">
        <f t="shared" si="3775"/>
        <v>0</v>
      </c>
      <c r="BZ271" s="6">
        <f t="shared" si="3766"/>
        <v>0</v>
      </c>
      <c r="CA271" s="6">
        <f t="shared" si="3767"/>
        <v>0</v>
      </c>
      <c r="CB271" s="6">
        <f t="shared" si="3768"/>
        <v>0</v>
      </c>
      <c r="CC271" s="6"/>
      <c r="CD271" s="6">
        <f t="shared" si="3769"/>
        <v>0</v>
      </c>
      <c r="CE271" s="6">
        <f t="shared" si="3770"/>
        <v>0</v>
      </c>
      <c r="CF271" s="6">
        <f t="shared" si="3771"/>
        <v>0</v>
      </c>
      <c r="CG271" s="6">
        <f t="shared" si="3772"/>
        <v>0</v>
      </c>
      <c r="CH271" s="6">
        <f t="shared" si="3773"/>
        <v>0</v>
      </c>
      <c r="CI271" s="6"/>
      <c r="CJ271" s="6"/>
      <c r="CK271" s="6"/>
      <c r="CL271" s="6"/>
      <c r="CM271" s="6"/>
      <c r="CN271" s="6"/>
    </row>
    <row r="272" spans="2:94" ht="12.95" hidden="1" customHeight="1" outlineLevel="1" x14ac:dyDescent="0.25">
      <c r="B272" s="2" t="s">
        <v>40</v>
      </c>
      <c r="AB272" s="25">
        <f>Capitalization!F37</f>
        <v>3.95E-2</v>
      </c>
      <c r="AC272" s="25">
        <f t="shared" ref="AC272" si="3780">AB272</f>
        <v>3.95E-2</v>
      </c>
      <c r="AD272" s="25">
        <f t="shared" si="3727"/>
        <v>3.95E-2</v>
      </c>
      <c r="AE272" s="25">
        <f t="shared" si="3728"/>
        <v>3.95E-2</v>
      </c>
      <c r="AF272" s="25">
        <f t="shared" si="3729"/>
        <v>3.95E-2</v>
      </c>
      <c r="AG272" s="10"/>
      <c r="AH272" s="25">
        <f t="shared" si="3730"/>
        <v>3.95E-2</v>
      </c>
      <c r="AI272" s="25">
        <f t="shared" si="3731"/>
        <v>3.95E-2</v>
      </c>
      <c r="AJ272" s="25">
        <f t="shared" si="3732"/>
        <v>3.95E-2</v>
      </c>
      <c r="AK272" s="25">
        <f t="shared" si="3733"/>
        <v>3.95E-2</v>
      </c>
      <c r="AL272" s="25">
        <f t="shared" si="3734"/>
        <v>3.95E-2</v>
      </c>
      <c r="AM272" s="10"/>
      <c r="AN272" s="25">
        <f t="shared" si="3735"/>
        <v>3.95E-2</v>
      </c>
      <c r="AO272" s="261">
        <f t="shared" si="3736"/>
        <v>3.95E-2</v>
      </c>
      <c r="AP272" s="25">
        <f t="shared" si="3737"/>
        <v>3.95E-2</v>
      </c>
      <c r="AQ272" s="261">
        <f t="shared" si="3738"/>
        <v>3.95E-2</v>
      </c>
      <c r="AR272" s="261">
        <f t="shared" si="3739"/>
        <v>3.95E-2</v>
      </c>
      <c r="AS272" s="10"/>
      <c r="AT272" s="25">
        <f t="shared" si="3740"/>
        <v>3.95E-2</v>
      </c>
      <c r="AU272" s="261">
        <f t="shared" si="3741"/>
        <v>3.95E-2</v>
      </c>
      <c r="AV272" s="261">
        <f t="shared" si="3742"/>
        <v>3.95E-2</v>
      </c>
      <c r="AW272" s="363">
        <f t="shared" si="3743"/>
        <v>3.95E-2</v>
      </c>
      <c r="AX272" s="25">
        <f t="shared" si="3744"/>
        <v>3.95E-2</v>
      </c>
      <c r="AY272" s="10"/>
      <c r="AZ272" s="25">
        <f t="shared" si="3745"/>
        <v>0</v>
      </c>
      <c r="BA272" s="25">
        <f t="shared" si="3746"/>
        <v>0</v>
      </c>
      <c r="BB272" s="25">
        <f t="shared" si="3747"/>
        <v>0</v>
      </c>
      <c r="BC272" s="25">
        <f t="shared" si="3748"/>
        <v>0</v>
      </c>
      <c r="BD272" s="25">
        <f t="shared" si="3749"/>
        <v>0</v>
      </c>
      <c r="BE272" s="10"/>
      <c r="BF272" s="25">
        <f t="shared" si="3750"/>
        <v>0</v>
      </c>
      <c r="BG272" s="25">
        <f t="shared" si="3751"/>
        <v>0</v>
      </c>
      <c r="BH272" s="25">
        <f t="shared" si="3752"/>
        <v>0</v>
      </c>
      <c r="BI272" s="25">
        <f t="shared" si="3753"/>
        <v>0</v>
      </c>
      <c r="BJ272" s="25">
        <f t="shared" si="3754"/>
        <v>0</v>
      </c>
      <c r="BK272" s="10"/>
      <c r="BL272" s="25">
        <f t="shared" si="3755"/>
        <v>0</v>
      </c>
      <c r="BM272" s="25">
        <f t="shared" si="3756"/>
        <v>0</v>
      </c>
      <c r="BN272" s="25">
        <f t="shared" si="3757"/>
        <v>0</v>
      </c>
      <c r="BO272" s="25">
        <f t="shared" si="3758"/>
        <v>0</v>
      </c>
      <c r="BP272" s="25">
        <f t="shared" si="3759"/>
        <v>0</v>
      </c>
      <c r="BQ272" s="10"/>
      <c r="BR272" s="25">
        <f t="shared" si="3760"/>
        <v>0</v>
      </c>
      <c r="BS272" s="25">
        <f t="shared" si="3761"/>
        <v>0</v>
      </c>
      <c r="BT272" s="25">
        <f t="shared" si="3762"/>
        <v>0</v>
      </c>
      <c r="BU272" s="25">
        <f t="shared" si="3763"/>
        <v>0</v>
      </c>
      <c r="BV272" s="25">
        <f t="shared" si="3764"/>
        <v>0</v>
      </c>
      <c r="BW272" s="10"/>
      <c r="BX272" s="25">
        <f t="shared" si="3765"/>
        <v>0</v>
      </c>
      <c r="BY272" s="25">
        <f t="shared" si="3775"/>
        <v>0</v>
      </c>
      <c r="BZ272" s="25">
        <f t="shared" si="3766"/>
        <v>0</v>
      </c>
      <c r="CA272" s="25">
        <f t="shared" si="3767"/>
        <v>0</v>
      </c>
      <c r="CB272" s="25">
        <f t="shared" si="3768"/>
        <v>0</v>
      </c>
      <c r="CC272" s="10"/>
      <c r="CD272" s="25">
        <f t="shared" si="3769"/>
        <v>0</v>
      </c>
      <c r="CE272" s="25">
        <f t="shared" si="3770"/>
        <v>0</v>
      </c>
      <c r="CF272" s="25">
        <f t="shared" si="3771"/>
        <v>0</v>
      </c>
      <c r="CG272" s="25">
        <f t="shared" si="3772"/>
        <v>0</v>
      </c>
      <c r="CH272" s="25">
        <f t="shared" si="3773"/>
        <v>0</v>
      </c>
      <c r="CI272" s="10"/>
      <c r="CJ272" s="25"/>
      <c r="CK272" s="25"/>
      <c r="CL272" s="25"/>
      <c r="CM272" s="25"/>
      <c r="CN272" s="25"/>
    </row>
    <row r="273" spans="2:92" ht="12.95" hidden="1" customHeight="1" outlineLevel="1" x14ac:dyDescent="0.25">
      <c r="B273" s="2">
        <f>Capitalization!B38</f>
        <v>0</v>
      </c>
      <c r="AB273" s="6">
        <f>Capitalization!E38</f>
        <v>0</v>
      </c>
      <c r="AC273" s="6">
        <f>AB273</f>
        <v>0</v>
      </c>
      <c r="AD273" s="6">
        <f t="shared" si="3727"/>
        <v>0</v>
      </c>
      <c r="AE273" s="6">
        <f t="shared" si="3728"/>
        <v>0</v>
      </c>
      <c r="AF273" s="6">
        <f t="shared" si="3729"/>
        <v>0</v>
      </c>
      <c r="AG273" s="6"/>
      <c r="AH273" s="6">
        <f t="shared" si="3730"/>
        <v>0</v>
      </c>
      <c r="AI273" s="6">
        <f t="shared" si="3731"/>
        <v>0</v>
      </c>
      <c r="AJ273" s="6">
        <f t="shared" si="3732"/>
        <v>0</v>
      </c>
      <c r="AK273" s="6">
        <f t="shared" si="3733"/>
        <v>0</v>
      </c>
      <c r="AL273" s="6">
        <f t="shared" si="3734"/>
        <v>0</v>
      </c>
      <c r="AM273" s="6"/>
      <c r="AN273" s="6">
        <f t="shared" si="3735"/>
        <v>0</v>
      </c>
      <c r="AO273" s="243">
        <f t="shared" si="3736"/>
        <v>0</v>
      </c>
      <c r="AP273" s="6">
        <f t="shared" si="3737"/>
        <v>0</v>
      </c>
      <c r="AQ273" s="243">
        <f t="shared" si="3738"/>
        <v>0</v>
      </c>
      <c r="AR273" s="243">
        <f t="shared" si="3739"/>
        <v>0</v>
      </c>
      <c r="AS273" s="6"/>
      <c r="AT273" s="6">
        <f t="shared" si="3740"/>
        <v>0</v>
      </c>
      <c r="AU273" s="243">
        <f t="shared" si="3741"/>
        <v>0</v>
      </c>
      <c r="AV273" s="243">
        <f t="shared" si="3742"/>
        <v>0</v>
      </c>
      <c r="AW273" s="164">
        <f t="shared" si="3743"/>
        <v>0</v>
      </c>
      <c r="AX273" s="6">
        <f t="shared" si="3744"/>
        <v>0</v>
      </c>
      <c r="AY273" s="6"/>
      <c r="AZ273" s="6">
        <f t="shared" ref="AZ273:AZ304" si="3781">DD273</f>
        <v>0</v>
      </c>
      <c r="BA273" s="6">
        <f t="shared" si="3746"/>
        <v>0</v>
      </c>
      <c r="BB273" s="6">
        <f t="shared" si="3747"/>
        <v>0</v>
      </c>
      <c r="BC273" s="6">
        <f t="shared" si="3748"/>
        <v>0</v>
      </c>
      <c r="BD273" s="6">
        <f t="shared" si="3749"/>
        <v>0</v>
      </c>
      <c r="BE273" s="6"/>
      <c r="BF273" s="6">
        <f t="shared" si="3750"/>
        <v>0</v>
      </c>
      <c r="BG273" s="6">
        <f t="shared" si="3751"/>
        <v>0</v>
      </c>
      <c r="BH273" s="6">
        <f t="shared" si="3752"/>
        <v>0</v>
      </c>
      <c r="BI273" s="6">
        <f t="shared" si="3753"/>
        <v>0</v>
      </c>
      <c r="BJ273" s="6">
        <f t="shared" si="3754"/>
        <v>0</v>
      </c>
      <c r="BK273" s="6"/>
      <c r="BL273" s="6">
        <f t="shared" si="3755"/>
        <v>0</v>
      </c>
      <c r="BM273" s="6">
        <f t="shared" si="3756"/>
        <v>0</v>
      </c>
      <c r="BN273" s="6">
        <f t="shared" si="3757"/>
        <v>0</v>
      </c>
      <c r="BO273" s="6">
        <f t="shared" si="3758"/>
        <v>0</v>
      </c>
      <c r="BP273" s="6">
        <f t="shared" si="3759"/>
        <v>0</v>
      </c>
      <c r="BQ273" s="6"/>
      <c r="BR273" s="6">
        <f t="shared" si="3760"/>
        <v>0</v>
      </c>
      <c r="BS273" s="6">
        <f t="shared" si="3761"/>
        <v>0</v>
      </c>
      <c r="BT273" s="6">
        <f t="shared" si="3762"/>
        <v>0</v>
      </c>
      <c r="BU273" s="6">
        <f t="shared" si="3763"/>
        <v>0</v>
      </c>
      <c r="BV273" s="6">
        <f t="shared" si="3764"/>
        <v>0</v>
      </c>
      <c r="BW273" s="6"/>
      <c r="BX273" s="6">
        <f t="shared" si="3765"/>
        <v>0</v>
      </c>
      <c r="BY273" s="6">
        <f t="shared" si="3775"/>
        <v>0</v>
      </c>
      <c r="BZ273" s="6">
        <f t="shared" si="3766"/>
        <v>0</v>
      </c>
      <c r="CA273" s="6">
        <f t="shared" si="3767"/>
        <v>0</v>
      </c>
      <c r="CB273" s="6">
        <f t="shared" si="3768"/>
        <v>0</v>
      </c>
      <c r="CC273" s="6"/>
      <c r="CD273" s="6">
        <f t="shared" si="3769"/>
        <v>0</v>
      </c>
      <c r="CE273" s="6">
        <f t="shared" si="3770"/>
        <v>0</v>
      </c>
      <c r="CF273" s="6">
        <f t="shared" si="3771"/>
        <v>0</v>
      </c>
      <c r="CG273" s="6">
        <f t="shared" si="3772"/>
        <v>0</v>
      </c>
      <c r="CH273" s="6">
        <f t="shared" si="3773"/>
        <v>0</v>
      </c>
      <c r="CI273" s="6"/>
      <c r="CJ273" s="6"/>
      <c r="CK273" s="6"/>
      <c r="CL273" s="6"/>
      <c r="CM273" s="6"/>
      <c r="CN273" s="6"/>
    </row>
    <row r="274" spans="2:92" ht="12.95" hidden="1" customHeight="1" outlineLevel="1" x14ac:dyDescent="0.25">
      <c r="B274" s="2" t="s">
        <v>40</v>
      </c>
      <c r="AB274" s="25">
        <f>Capitalization!F38</f>
        <v>2.5000000000000001E-2</v>
      </c>
      <c r="AC274" s="25">
        <f t="shared" ref="AC274" si="3782">AB274</f>
        <v>2.5000000000000001E-2</v>
      </c>
      <c r="AD274" s="25">
        <f t="shared" si="3727"/>
        <v>2.5000000000000001E-2</v>
      </c>
      <c r="AE274" s="25">
        <f t="shared" si="3728"/>
        <v>2.5000000000000001E-2</v>
      </c>
      <c r="AF274" s="25">
        <f t="shared" si="3729"/>
        <v>2.5000000000000001E-2</v>
      </c>
      <c r="AG274" s="10"/>
      <c r="AH274" s="25">
        <f t="shared" si="3730"/>
        <v>2.5000000000000001E-2</v>
      </c>
      <c r="AI274" s="25">
        <f t="shared" si="3731"/>
        <v>2.5000000000000001E-2</v>
      </c>
      <c r="AJ274" s="25">
        <f t="shared" si="3732"/>
        <v>2.5000000000000001E-2</v>
      </c>
      <c r="AK274" s="25">
        <f t="shared" si="3733"/>
        <v>2.5000000000000001E-2</v>
      </c>
      <c r="AL274" s="25">
        <f t="shared" si="3734"/>
        <v>2.5000000000000001E-2</v>
      </c>
      <c r="AM274" s="10"/>
      <c r="AN274" s="25">
        <f t="shared" si="3735"/>
        <v>2.5000000000000001E-2</v>
      </c>
      <c r="AO274" s="261">
        <f t="shared" si="3736"/>
        <v>2.5000000000000001E-2</v>
      </c>
      <c r="AP274" s="25">
        <f t="shared" si="3737"/>
        <v>2.5000000000000001E-2</v>
      </c>
      <c r="AQ274" s="261">
        <f t="shared" si="3738"/>
        <v>2.5000000000000001E-2</v>
      </c>
      <c r="AR274" s="261">
        <f t="shared" si="3739"/>
        <v>2.5000000000000001E-2</v>
      </c>
      <c r="AS274" s="10"/>
      <c r="AT274" s="25">
        <f t="shared" si="3740"/>
        <v>2.5000000000000001E-2</v>
      </c>
      <c r="AU274" s="261">
        <f t="shared" si="3741"/>
        <v>2.5000000000000001E-2</v>
      </c>
      <c r="AV274" s="261">
        <f t="shared" si="3742"/>
        <v>2.5000000000000001E-2</v>
      </c>
      <c r="AW274" s="363">
        <f t="shared" si="3743"/>
        <v>2.5000000000000001E-2</v>
      </c>
      <c r="AX274" s="25">
        <f t="shared" si="3744"/>
        <v>2.5000000000000001E-2</v>
      </c>
      <c r="AY274" s="10"/>
      <c r="AZ274" s="25">
        <f t="shared" si="3781"/>
        <v>0</v>
      </c>
      <c r="BA274" s="25">
        <f t="shared" si="3746"/>
        <v>0</v>
      </c>
      <c r="BB274" s="25">
        <f t="shared" si="3747"/>
        <v>0</v>
      </c>
      <c r="BC274" s="25">
        <f t="shared" si="3748"/>
        <v>0</v>
      </c>
      <c r="BD274" s="25">
        <f t="shared" si="3749"/>
        <v>0</v>
      </c>
      <c r="BE274" s="10"/>
      <c r="BF274" s="25">
        <f t="shared" si="3750"/>
        <v>0</v>
      </c>
      <c r="BG274" s="25">
        <f t="shared" si="3751"/>
        <v>0</v>
      </c>
      <c r="BH274" s="25">
        <f t="shared" si="3752"/>
        <v>0</v>
      </c>
      <c r="BI274" s="25">
        <f t="shared" si="3753"/>
        <v>0</v>
      </c>
      <c r="BJ274" s="25">
        <f t="shared" si="3754"/>
        <v>0</v>
      </c>
      <c r="BK274" s="10"/>
      <c r="BL274" s="25">
        <f t="shared" si="3755"/>
        <v>0</v>
      </c>
      <c r="BM274" s="25">
        <f t="shared" si="3756"/>
        <v>0</v>
      </c>
      <c r="BN274" s="25">
        <f t="shared" si="3757"/>
        <v>0</v>
      </c>
      <c r="BO274" s="25">
        <f t="shared" si="3758"/>
        <v>0</v>
      </c>
      <c r="BP274" s="25">
        <f t="shared" si="3759"/>
        <v>0</v>
      </c>
      <c r="BQ274" s="10"/>
      <c r="BR274" s="25">
        <f t="shared" si="3760"/>
        <v>0</v>
      </c>
      <c r="BS274" s="25">
        <f t="shared" si="3761"/>
        <v>0</v>
      </c>
      <c r="BT274" s="25">
        <f t="shared" si="3762"/>
        <v>0</v>
      </c>
      <c r="BU274" s="25">
        <f t="shared" si="3763"/>
        <v>0</v>
      </c>
      <c r="BV274" s="25">
        <f t="shared" si="3764"/>
        <v>0</v>
      </c>
      <c r="BW274" s="10"/>
      <c r="BX274" s="25">
        <f t="shared" si="3765"/>
        <v>0</v>
      </c>
      <c r="BY274" s="25">
        <f t="shared" si="3775"/>
        <v>0</v>
      </c>
      <c r="BZ274" s="25">
        <f t="shared" si="3766"/>
        <v>0</v>
      </c>
      <c r="CA274" s="25">
        <f t="shared" si="3767"/>
        <v>0</v>
      </c>
      <c r="CB274" s="25">
        <f t="shared" si="3768"/>
        <v>0</v>
      </c>
      <c r="CC274" s="10"/>
      <c r="CD274" s="25">
        <f t="shared" si="3769"/>
        <v>0</v>
      </c>
      <c r="CE274" s="25">
        <f t="shared" si="3770"/>
        <v>0</v>
      </c>
      <c r="CF274" s="25">
        <f t="shared" si="3771"/>
        <v>0</v>
      </c>
      <c r="CG274" s="25">
        <f t="shared" si="3772"/>
        <v>0</v>
      </c>
      <c r="CH274" s="25">
        <f t="shared" si="3773"/>
        <v>0</v>
      </c>
      <c r="CI274" s="10"/>
      <c r="CJ274" s="25"/>
      <c r="CK274" s="25"/>
      <c r="CL274" s="25"/>
      <c r="CM274" s="25"/>
      <c r="CN274" s="25"/>
    </row>
    <row r="275" spans="2:92" ht="12.95" hidden="1" customHeight="1" outlineLevel="1" x14ac:dyDescent="0.25">
      <c r="B275" s="2">
        <f>Capitalization!B39</f>
        <v>0</v>
      </c>
      <c r="AB275" s="6">
        <f>Capitalization!E39</f>
        <v>0</v>
      </c>
      <c r="AC275" s="6">
        <f>AB275</f>
        <v>0</v>
      </c>
      <c r="AD275" s="6">
        <f t="shared" si="3727"/>
        <v>0</v>
      </c>
      <c r="AE275" s="6">
        <f t="shared" si="3728"/>
        <v>0</v>
      </c>
      <c r="AF275" s="6">
        <f t="shared" si="3729"/>
        <v>0</v>
      </c>
      <c r="AG275" s="6"/>
      <c r="AH275" s="6">
        <f t="shared" si="3730"/>
        <v>0</v>
      </c>
      <c r="AI275" s="6">
        <f t="shared" si="3731"/>
        <v>0</v>
      </c>
      <c r="AJ275" s="6">
        <f t="shared" si="3732"/>
        <v>0</v>
      </c>
      <c r="AK275" s="6">
        <f t="shared" si="3733"/>
        <v>0</v>
      </c>
      <c r="AL275" s="6">
        <f t="shared" si="3734"/>
        <v>0</v>
      </c>
      <c r="AM275" s="6"/>
      <c r="AN275" s="6">
        <f t="shared" si="3735"/>
        <v>0</v>
      </c>
      <c r="AO275" s="243">
        <f t="shared" si="3736"/>
        <v>0</v>
      </c>
      <c r="AP275" s="6">
        <f t="shared" si="3737"/>
        <v>0</v>
      </c>
      <c r="AQ275" s="243">
        <f t="shared" si="3738"/>
        <v>0</v>
      </c>
      <c r="AR275" s="243">
        <f t="shared" si="3739"/>
        <v>0</v>
      </c>
      <c r="AS275" s="6"/>
      <c r="AT275" s="6">
        <f t="shared" si="3740"/>
        <v>0</v>
      </c>
      <c r="AU275" s="243">
        <f t="shared" si="3741"/>
        <v>0</v>
      </c>
      <c r="AV275" s="243">
        <f t="shared" si="3742"/>
        <v>0</v>
      </c>
      <c r="AW275" s="164">
        <f t="shared" si="3743"/>
        <v>0</v>
      </c>
      <c r="AX275" s="6">
        <f t="shared" si="3744"/>
        <v>0</v>
      </c>
      <c r="AY275" s="6"/>
      <c r="AZ275" s="6">
        <f t="shared" si="3781"/>
        <v>0</v>
      </c>
      <c r="BA275" s="6">
        <f t="shared" si="3746"/>
        <v>0</v>
      </c>
      <c r="BB275" s="6">
        <f t="shared" si="3747"/>
        <v>0</v>
      </c>
      <c r="BC275" s="6">
        <f t="shared" si="3748"/>
        <v>0</v>
      </c>
      <c r="BD275" s="6">
        <f t="shared" si="3749"/>
        <v>0</v>
      </c>
      <c r="BE275" s="6"/>
      <c r="BF275" s="6">
        <f t="shared" si="3750"/>
        <v>0</v>
      </c>
      <c r="BG275" s="6">
        <f t="shared" si="3751"/>
        <v>0</v>
      </c>
      <c r="BH275" s="6">
        <f t="shared" si="3752"/>
        <v>0</v>
      </c>
      <c r="BI275" s="6">
        <f t="shared" si="3753"/>
        <v>0</v>
      </c>
      <c r="BJ275" s="6">
        <f t="shared" si="3754"/>
        <v>0</v>
      </c>
      <c r="BK275" s="6"/>
      <c r="BL275" s="6">
        <f t="shared" si="3755"/>
        <v>0</v>
      </c>
      <c r="BM275" s="6">
        <f t="shared" si="3756"/>
        <v>0</v>
      </c>
      <c r="BN275" s="6">
        <f t="shared" si="3757"/>
        <v>0</v>
      </c>
      <c r="BO275" s="6">
        <f t="shared" si="3758"/>
        <v>0</v>
      </c>
      <c r="BP275" s="6">
        <f t="shared" si="3759"/>
        <v>0</v>
      </c>
      <c r="BQ275" s="6"/>
      <c r="BR275" s="6">
        <f t="shared" si="3760"/>
        <v>0</v>
      </c>
      <c r="BS275" s="6">
        <f t="shared" si="3761"/>
        <v>0</v>
      </c>
      <c r="BT275" s="6">
        <f t="shared" si="3762"/>
        <v>0</v>
      </c>
      <c r="BU275" s="6">
        <f t="shared" si="3763"/>
        <v>0</v>
      </c>
      <c r="BV275" s="6">
        <f t="shared" si="3764"/>
        <v>0</v>
      </c>
      <c r="BW275" s="6"/>
      <c r="BX275" s="6">
        <f t="shared" si="3765"/>
        <v>0</v>
      </c>
      <c r="BY275" s="6">
        <f t="shared" si="3775"/>
        <v>0</v>
      </c>
      <c r="BZ275" s="6">
        <f t="shared" si="3766"/>
        <v>0</v>
      </c>
      <c r="CA275" s="6">
        <f t="shared" si="3767"/>
        <v>0</v>
      </c>
      <c r="CB275" s="6">
        <f t="shared" si="3768"/>
        <v>0</v>
      </c>
      <c r="CC275" s="6"/>
      <c r="CD275" s="6">
        <f t="shared" si="3769"/>
        <v>0</v>
      </c>
      <c r="CE275" s="6">
        <f t="shared" si="3770"/>
        <v>0</v>
      </c>
      <c r="CF275" s="6">
        <f t="shared" si="3771"/>
        <v>0</v>
      </c>
      <c r="CG275" s="6">
        <f t="shared" si="3772"/>
        <v>0</v>
      </c>
      <c r="CH275" s="6">
        <f t="shared" si="3773"/>
        <v>0</v>
      </c>
      <c r="CI275" s="6"/>
      <c r="CJ275" s="6"/>
      <c r="CK275" s="6"/>
      <c r="CL275" s="6"/>
      <c r="CM275" s="6"/>
      <c r="CN275" s="6"/>
    </row>
    <row r="276" spans="2:92" ht="12.95" hidden="1" customHeight="1" outlineLevel="1" x14ac:dyDescent="0.25">
      <c r="B276" s="2" t="s">
        <v>40</v>
      </c>
      <c r="AB276" s="25">
        <f>Capitalization!F39</f>
        <v>4.4999999999999998E-2</v>
      </c>
      <c r="AC276" s="25">
        <f t="shared" ref="AC276" si="3783">AB276</f>
        <v>4.4999999999999998E-2</v>
      </c>
      <c r="AD276" s="25">
        <f t="shared" si="3727"/>
        <v>4.4999999999999998E-2</v>
      </c>
      <c r="AE276" s="25">
        <f t="shared" si="3728"/>
        <v>4.4999999999999998E-2</v>
      </c>
      <c r="AF276" s="25">
        <f t="shared" si="3729"/>
        <v>4.4999999999999998E-2</v>
      </c>
      <c r="AG276" s="10"/>
      <c r="AH276" s="25">
        <f t="shared" si="3730"/>
        <v>4.4999999999999998E-2</v>
      </c>
      <c r="AI276" s="25">
        <f t="shared" si="3731"/>
        <v>4.4999999999999998E-2</v>
      </c>
      <c r="AJ276" s="25">
        <f t="shared" si="3732"/>
        <v>4.4999999999999998E-2</v>
      </c>
      <c r="AK276" s="25">
        <f t="shared" si="3733"/>
        <v>4.4999999999999998E-2</v>
      </c>
      <c r="AL276" s="25">
        <f t="shared" si="3734"/>
        <v>4.4999999999999998E-2</v>
      </c>
      <c r="AM276" s="10"/>
      <c r="AN276" s="25">
        <f t="shared" si="3735"/>
        <v>4.4999999999999998E-2</v>
      </c>
      <c r="AO276" s="261">
        <f t="shared" si="3736"/>
        <v>4.4999999999999998E-2</v>
      </c>
      <c r="AP276" s="25">
        <f t="shared" si="3737"/>
        <v>4.4999999999999998E-2</v>
      </c>
      <c r="AQ276" s="261">
        <f t="shared" si="3738"/>
        <v>4.4999999999999998E-2</v>
      </c>
      <c r="AR276" s="261">
        <f t="shared" si="3739"/>
        <v>4.4999999999999998E-2</v>
      </c>
      <c r="AS276" s="10"/>
      <c r="AT276" s="25">
        <f t="shared" si="3740"/>
        <v>4.4999999999999998E-2</v>
      </c>
      <c r="AU276" s="261">
        <f t="shared" si="3741"/>
        <v>4.4999999999999998E-2</v>
      </c>
      <c r="AV276" s="261">
        <f t="shared" si="3742"/>
        <v>4.4999999999999998E-2</v>
      </c>
      <c r="AW276" s="363">
        <f t="shared" si="3743"/>
        <v>4.4999999999999998E-2</v>
      </c>
      <c r="AX276" s="25">
        <f t="shared" si="3744"/>
        <v>4.4999999999999998E-2</v>
      </c>
      <c r="AY276" s="10"/>
      <c r="AZ276" s="25">
        <f t="shared" si="3781"/>
        <v>0</v>
      </c>
      <c r="BA276" s="25">
        <f t="shared" si="3746"/>
        <v>0</v>
      </c>
      <c r="BB276" s="25">
        <f t="shared" si="3747"/>
        <v>0</v>
      </c>
      <c r="BC276" s="25">
        <f t="shared" si="3748"/>
        <v>0</v>
      </c>
      <c r="BD276" s="25">
        <f t="shared" si="3749"/>
        <v>0</v>
      </c>
      <c r="BE276" s="10"/>
      <c r="BF276" s="25">
        <f t="shared" si="3750"/>
        <v>0</v>
      </c>
      <c r="BG276" s="25">
        <f t="shared" si="3751"/>
        <v>0</v>
      </c>
      <c r="BH276" s="25">
        <f t="shared" si="3752"/>
        <v>0</v>
      </c>
      <c r="BI276" s="25">
        <f t="shared" si="3753"/>
        <v>0</v>
      </c>
      <c r="BJ276" s="25">
        <f t="shared" si="3754"/>
        <v>0</v>
      </c>
      <c r="BK276" s="10"/>
      <c r="BL276" s="25">
        <f t="shared" si="3755"/>
        <v>0</v>
      </c>
      <c r="BM276" s="25">
        <f t="shared" si="3756"/>
        <v>0</v>
      </c>
      <c r="BN276" s="25">
        <f t="shared" si="3757"/>
        <v>0</v>
      </c>
      <c r="BO276" s="25">
        <f t="shared" si="3758"/>
        <v>0</v>
      </c>
      <c r="BP276" s="25">
        <f t="shared" si="3759"/>
        <v>0</v>
      </c>
      <c r="BQ276" s="10"/>
      <c r="BR276" s="25">
        <f t="shared" si="3760"/>
        <v>0</v>
      </c>
      <c r="BS276" s="25">
        <f t="shared" si="3761"/>
        <v>0</v>
      </c>
      <c r="BT276" s="25">
        <f t="shared" si="3762"/>
        <v>0</v>
      </c>
      <c r="BU276" s="25">
        <f t="shared" si="3763"/>
        <v>0</v>
      </c>
      <c r="BV276" s="25">
        <f t="shared" si="3764"/>
        <v>0</v>
      </c>
      <c r="BW276" s="10"/>
      <c r="BX276" s="25">
        <f t="shared" si="3765"/>
        <v>0</v>
      </c>
      <c r="BY276" s="25">
        <f t="shared" si="3775"/>
        <v>0</v>
      </c>
      <c r="BZ276" s="25">
        <f t="shared" si="3766"/>
        <v>0</v>
      </c>
      <c r="CA276" s="25">
        <f t="shared" si="3767"/>
        <v>0</v>
      </c>
      <c r="CB276" s="25">
        <f t="shared" si="3768"/>
        <v>0</v>
      </c>
      <c r="CC276" s="10"/>
      <c r="CD276" s="25">
        <f t="shared" si="3769"/>
        <v>0</v>
      </c>
      <c r="CE276" s="25">
        <f t="shared" si="3770"/>
        <v>0</v>
      </c>
      <c r="CF276" s="25">
        <f t="shared" si="3771"/>
        <v>0</v>
      </c>
      <c r="CG276" s="25">
        <f t="shared" si="3772"/>
        <v>0</v>
      </c>
      <c r="CH276" s="25">
        <f t="shared" si="3773"/>
        <v>0</v>
      </c>
      <c r="CI276" s="10"/>
      <c r="CJ276" s="25"/>
      <c r="CK276" s="25"/>
      <c r="CL276" s="25"/>
      <c r="CM276" s="25"/>
      <c r="CN276" s="25"/>
    </row>
    <row r="277" spans="2:92" ht="12.95" hidden="1" customHeight="1" outlineLevel="1" x14ac:dyDescent="0.25">
      <c r="B277" s="2">
        <f>Capitalization!B40</f>
        <v>0</v>
      </c>
      <c r="AB277" s="6">
        <f>Capitalization!E40</f>
        <v>0</v>
      </c>
      <c r="AC277" s="6">
        <f>AB277</f>
        <v>0</v>
      </c>
      <c r="AD277" s="6">
        <f t="shared" si="3727"/>
        <v>0</v>
      </c>
      <c r="AE277" s="6">
        <f t="shared" si="3728"/>
        <v>0</v>
      </c>
      <c r="AF277" s="6">
        <f t="shared" si="3729"/>
        <v>0</v>
      </c>
      <c r="AG277" s="6"/>
      <c r="AH277" s="6">
        <f t="shared" si="3730"/>
        <v>0</v>
      </c>
      <c r="AI277" s="6">
        <f t="shared" si="3731"/>
        <v>0</v>
      </c>
      <c r="AJ277" s="6">
        <f t="shared" si="3732"/>
        <v>0</v>
      </c>
      <c r="AK277" s="6">
        <f t="shared" si="3733"/>
        <v>0</v>
      </c>
      <c r="AL277" s="6">
        <f t="shared" si="3734"/>
        <v>0</v>
      </c>
      <c r="AM277" s="6"/>
      <c r="AN277" s="6">
        <f t="shared" si="3735"/>
        <v>0</v>
      </c>
      <c r="AO277" s="243">
        <f t="shared" si="3736"/>
        <v>0</v>
      </c>
      <c r="AP277" s="6">
        <f t="shared" si="3737"/>
        <v>0</v>
      </c>
      <c r="AQ277" s="243">
        <f t="shared" si="3738"/>
        <v>0</v>
      </c>
      <c r="AR277" s="243">
        <f t="shared" si="3739"/>
        <v>0</v>
      </c>
      <c r="AS277" s="6"/>
      <c r="AT277" s="6">
        <f t="shared" si="3740"/>
        <v>0</v>
      </c>
      <c r="AU277" s="243">
        <f t="shared" si="3741"/>
        <v>0</v>
      </c>
      <c r="AV277" s="243">
        <f t="shared" si="3742"/>
        <v>0</v>
      </c>
      <c r="AW277" s="164">
        <f t="shared" si="3743"/>
        <v>0</v>
      </c>
      <c r="AX277" s="6">
        <f t="shared" si="3744"/>
        <v>0</v>
      </c>
      <c r="AY277" s="6"/>
      <c r="AZ277" s="6">
        <f t="shared" si="3781"/>
        <v>0</v>
      </c>
      <c r="BA277" s="6">
        <f t="shared" si="3746"/>
        <v>0</v>
      </c>
      <c r="BB277" s="6">
        <f t="shared" si="3747"/>
        <v>0</v>
      </c>
      <c r="BC277" s="6">
        <f t="shared" si="3748"/>
        <v>0</v>
      </c>
      <c r="BD277" s="6">
        <f t="shared" si="3749"/>
        <v>0</v>
      </c>
      <c r="BE277" s="6"/>
      <c r="BF277" s="6">
        <f t="shared" si="3750"/>
        <v>0</v>
      </c>
      <c r="BG277" s="6">
        <f t="shared" si="3751"/>
        <v>0</v>
      </c>
      <c r="BH277" s="6">
        <f t="shared" si="3752"/>
        <v>0</v>
      </c>
      <c r="BI277" s="6">
        <f t="shared" si="3753"/>
        <v>0</v>
      </c>
      <c r="BJ277" s="6">
        <f t="shared" si="3754"/>
        <v>0</v>
      </c>
      <c r="BK277" s="6"/>
      <c r="BL277" s="6">
        <f t="shared" si="3755"/>
        <v>0</v>
      </c>
      <c r="BM277" s="6">
        <f t="shared" si="3756"/>
        <v>0</v>
      </c>
      <c r="BN277" s="6">
        <f t="shared" si="3757"/>
        <v>0</v>
      </c>
      <c r="BO277" s="6">
        <f t="shared" si="3758"/>
        <v>0</v>
      </c>
      <c r="BP277" s="6">
        <f t="shared" si="3759"/>
        <v>0</v>
      </c>
      <c r="BQ277" s="6"/>
      <c r="BR277" s="6">
        <f t="shared" si="3760"/>
        <v>0</v>
      </c>
      <c r="BS277" s="6">
        <f t="shared" si="3761"/>
        <v>0</v>
      </c>
      <c r="BT277" s="6">
        <f t="shared" si="3762"/>
        <v>0</v>
      </c>
      <c r="BU277" s="6">
        <f t="shared" si="3763"/>
        <v>0</v>
      </c>
      <c r="BV277" s="6">
        <f t="shared" si="3764"/>
        <v>0</v>
      </c>
      <c r="BW277" s="6"/>
      <c r="BX277" s="6">
        <f t="shared" si="3765"/>
        <v>0</v>
      </c>
      <c r="BY277" s="6">
        <f t="shared" si="3775"/>
        <v>0</v>
      </c>
      <c r="BZ277" s="6">
        <f t="shared" si="3766"/>
        <v>0</v>
      </c>
      <c r="CA277" s="6">
        <f t="shared" si="3767"/>
        <v>0</v>
      </c>
      <c r="CB277" s="6">
        <f t="shared" si="3768"/>
        <v>0</v>
      </c>
      <c r="CC277" s="6"/>
      <c r="CD277" s="6">
        <f t="shared" si="3769"/>
        <v>0</v>
      </c>
      <c r="CE277" s="6">
        <f t="shared" si="3770"/>
        <v>0</v>
      </c>
      <c r="CF277" s="6">
        <f t="shared" si="3771"/>
        <v>0</v>
      </c>
      <c r="CG277" s="6">
        <f t="shared" si="3772"/>
        <v>0</v>
      </c>
      <c r="CH277" s="6">
        <f t="shared" si="3773"/>
        <v>0</v>
      </c>
      <c r="CI277" s="6"/>
      <c r="CJ277" s="6"/>
      <c r="CK277" s="6"/>
      <c r="CL277" s="6"/>
      <c r="CM277" s="6"/>
      <c r="CN277" s="6"/>
    </row>
    <row r="278" spans="2:92" ht="12.95" hidden="1" customHeight="1" outlineLevel="1" x14ac:dyDescent="0.25">
      <c r="B278" s="2" t="s">
        <v>40</v>
      </c>
      <c r="AB278" s="25">
        <f>Capitalization!F40</f>
        <v>4.2500000000000003E-2</v>
      </c>
      <c r="AC278" s="25">
        <f t="shared" ref="AC278" si="3784">AB278</f>
        <v>4.2500000000000003E-2</v>
      </c>
      <c r="AD278" s="25">
        <f t="shared" si="3727"/>
        <v>4.2500000000000003E-2</v>
      </c>
      <c r="AE278" s="25">
        <f t="shared" si="3728"/>
        <v>4.2500000000000003E-2</v>
      </c>
      <c r="AF278" s="25">
        <f t="shared" si="3729"/>
        <v>4.2500000000000003E-2</v>
      </c>
      <c r="AG278" s="10"/>
      <c r="AH278" s="25">
        <f t="shared" si="3730"/>
        <v>4.2500000000000003E-2</v>
      </c>
      <c r="AI278" s="25">
        <f t="shared" si="3731"/>
        <v>4.2500000000000003E-2</v>
      </c>
      <c r="AJ278" s="25">
        <f t="shared" si="3732"/>
        <v>4.2500000000000003E-2</v>
      </c>
      <c r="AK278" s="25">
        <f t="shared" si="3733"/>
        <v>4.2500000000000003E-2</v>
      </c>
      <c r="AL278" s="25">
        <f t="shared" si="3734"/>
        <v>4.2500000000000003E-2</v>
      </c>
      <c r="AM278" s="10"/>
      <c r="AN278" s="25">
        <f t="shared" si="3735"/>
        <v>4.2500000000000003E-2</v>
      </c>
      <c r="AO278" s="261">
        <f t="shared" si="3736"/>
        <v>4.2500000000000003E-2</v>
      </c>
      <c r="AP278" s="25">
        <f t="shared" si="3737"/>
        <v>4.2500000000000003E-2</v>
      </c>
      <c r="AQ278" s="261">
        <f t="shared" si="3738"/>
        <v>4.2500000000000003E-2</v>
      </c>
      <c r="AR278" s="261">
        <f t="shared" si="3739"/>
        <v>4.2500000000000003E-2</v>
      </c>
      <c r="AS278" s="10"/>
      <c r="AT278" s="25">
        <f t="shared" si="3740"/>
        <v>4.2500000000000003E-2</v>
      </c>
      <c r="AU278" s="261">
        <f t="shared" si="3741"/>
        <v>4.2500000000000003E-2</v>
      </c>
      <c r="AV278" s="261">
        <f t="shared" si="3742"/>
        <v>4.2500000000000003E-2</v>
      </c>
      <c r="AW278" s="363">
        <f t="shared" si="3743"/>
        <v>4.2500000000000003E-2</v>
      </c>
      <c r="AX278" s="25">
        <f t="shared" si="3744"/>
        <v>4.2500000000000003E-2</v>
      </c>
      <c r="AY278" s="10"/>
      <c r="AZ278" s="25">
        <f t="shared" si="3781"/>
        <v>0</v>
      </c>
      <c r="BA278" s="25">
        <f t="shared" si="3746"/>
        <v>0</v>
      </c>
      <c r="BB278" s="25">
        <f t="shared" si="3747"/>
        <v>0</v>
      </c>
      <c r="BC278" s="25">
        <f t="shared" si="3748"/>
        <v>0</v>
      </c>
      <c r="BD278" s="25">
        <f t="shared" si="3749"/>
        <v>0</v>
      </c>
      <c r="BE278" s="10"/>
      <c r="BF278" s="25">
        <f t="shared" si="3750"/>
        <v>0</v>
      </c>
      <c r="BG278" s="25">
        <f t="shared" si="3751"/>
        <v>0</v>
      </c>
      <c r="BH278" s="25">
        <f t="shared" si="3752"/>
        <v>0</v>
      </c>
      <c r="BI278" s="25">
        <f t="shared" si="3753"/>
        <v>0</v>
      </c>
      <c r="BJ278" s="25">
        <f t="shared" si="3754"/>
        <v>0</v>
      </c>
      <c r="BK278" s="10"/>
      <c r="BL278" s="25">
        <f t="shared" si="3755"/>
        <v>0</v>
      </c>
      <c r="BM278" s="25">
        <f t="shared" si="3756"/>
        <v>0</v>
      </c>
      <c r="BN278" s="25">
        <f t="shared" si="3757"/>
        <v>0</v>
      </c>
      <c r="BO278" s="25">
        <f t="shared" si="3758"/>
        <v>0</v>
      </c>
      <c r="BP278" s="25">
        <f t="shared" si="3759"/>
        <v>0</v>
      </c>
      <c r="BQ278" s="10"/>
      <c r="BR278" s="25">
        <f t="shared" si="3760"/>
        <v>0</v>
      </c>
      <c r="BS278" s="25">
        <f t="shared" si="3761"/>
        <v>0</v>
      </c>
      <c r="BT278" s="25">
        <f t="shared" si="3762"/>
        <v>0</v>
      </c>
      <c r="BU278" s="25">
        <f t="shared" si="3763"/>
        <v>0</v>
      </c>
      <c r="BV278" s="25">
        <f t="shared" si="3764"/>
        <v>0</v>
      </c>
      <c r="BW278" s="10"/>
      <c r="BX278" s="25">
        <f t="shared" si="3765"/>
        <v>0</v>
      </c>
      <c r="BY278" s="25">
        <f t="shared" si="3775"/>
        <v>0</v>
      </c>
      <c r="BZ278" s="25">
        <f t="shared" si="3766"/>
        <v>0</v>
      </c>
      <c r="CA278" s="25">
        <f t="shared" si="3767"/>
        <v>0</v>
      </c>
      <c r="CB278" s="25">
        <f t="shared" si="3768"/>
        <v>0</v>
      </c>
      <c r="CC278" s="10"/>
      <c r="CD278" s="25">
        <f t="shared" si="3769"/>
        <v>0</v>
      </c>
      <c r="CE278" s="25">
        <f t="shared" si="3770"/>
        <v>0</v>
      </c>
      <c r="CF278" s="25">
        <f t="shared" si="3771"/>
        <v>0</v>
      </c>
      <c r="CG278" s="25">
        <f t="shared" si="3772"/>
        <v>0</v>
      </c>
      <c r="CH278" s="25">
        <f t="shared" si="3773"/>
        <v>0</v>
      </c>
      <c r="CI278" s="10"/>
      <c r="CJ278" s="25"/>
      <c r="CK278" s="25"/>
      <c r="CL278" s="25"/>
      <c r="CM278" s="25"/>
      <c r="CN278" s="25"/>
    </row>
    <row r="279" spans="2:92" ht="12.95" hidden="1" customHeight="1" outlineLevel="1" x14ac:dyDescent="0.25">
      <c r="B279" s="2">
        <f>Capitalization!B41</f>
        <v>0</v>
      </c>
      <c r="AB279" s="6">
        <f>Capitalization!E41</f>
        <v>0</v>
      </c>
      <c r="AC279" s="6">
        <f>AB279</f>
        <v>0</v>
      </c>
      <c r="AD279" s="6">
        <f t="shared" si="3727"/>
        <v>0</v>
      </c>
      <c r="AE279" s="6">
        <f t="shared" si="3728"/>
        <v>0</v>
      </c>
      <c r="AF279" s="6">
        <f t="shared" si="3729"/>
        <v>0</v>
      </c>
      <c r="AG279" s="6"/>
      <c r="AH279" s="6">
        <f t="shared" si="3730"/>
        <v>0</v>
      </c>
      <c r="AI279" s="6">
        <f t="shared" si="3731"/>
        <v>0</v>
      </c>
      <c r="AJ279" s="6">
        <f t="shared" si="3732"/>
        <v>0</v>
      </c>
      <c r="AK279" s="6">
        <f t="shared" si="3733"/>
        <v>0</v>
      </c>
      <c r="AL279" s="6">
        <f t="shared" si="3734"/>
        <v>0</v>
      </c>
      <c r="AM279" s="6"/>
      <c r="AN279" s="6">
        <f t="shared" si="3735"/>
        <v>0</v>
      </c>
      <c r="AO279" s="243">
        <f t="shared" si="3736"/>
        <v>0</v>
      </c>
      <c r="AP279" s="6">
        <f t="shared" si="3737"/>
        <v>0</v>
      </c>
      <c r="AQ279" s="243">
        <f t="shared" si="3738"/>
        <v>0</v>
      </c>
      <c r="AR279" s="243">
        <f t="shared" si="3739"/>
        <v>0</v>
      </c>
      <c r="AS279" s="6"/>
      <c r="AT279" s="6">
        <f t="shared" si="3740"/>
        <v>0</v>
      </c>
      <c r="AU279" s="243">
        <f t="shared" si="3741"/>
        <v>0</v>
      </c>
      <c r="AV279" s="243">
        <f t="shared" si="3742"/>
        <v>0</v>
      </c>
      <c r="AW279" s="164">
        <f t="shared" si="3743"/>
        <v>0</v>
      </c>
      <c r="AX279" s="6">
        <f t="shared" si="3744"/>
        <v>0</v>
      </c>
      <c r="AY279" s="6"/>
      <c r="AZ279" s="6">
        <f t="shared" si="3781"/>
        <v>0</v>
      </c>
      <c r="BA279" s="6">
        <f t="shared" si="3746"/>
        <v>0</v>
      </c>
      <c r="BB279" s="6">
        <f t="shared" si="3747"/>
        <v>0</v>
      </c>
      <c r="BC279" s="6">
        <f t="shared" si="3748"/>
        <v>0</v>
      </c>
      <c r="BD279" s="6">
        <f t="shared" si="3749"/>
        <v>0</v>
      </c>
      <c r="BE279" s="6"/>
      <c r="BF279" s="6">
        <f t="shared" si="3750"/>
        <v>0</v>
      </c>
      <c r="BG279" s="6">
        <f t="shared" si="3751"/>
        <v>0</v>
      </c>
      <c r="BH279" s="6">
        <f t="shared" si="3752"/>
        <v>0</v>
      </c>
      <c r="BI279" s="6">
        <f t="shared" si="3753"/>
        <v>0</v>
      </c>
      <c r="BJ279" s="6">
        <f t="shared" si="3754"/>
        <v>0</v>
      </c>
      <c r="BK279" s="6"/>
      <c r="BL279" s="6">
        <f t="shared" si="3755"/>
        <v>0</v>
      </c>
      <c r="BM279" s="6">
        <f t="shared" si="3756"/>
        <v>0</v>
      </c>
      <c r="BN279" s="6">
        <f t="shared" si="3757"/>
        <v>0</v>
      </c>
      <c r="BO279" s="6">
        <f t="shared" si="3758"/>
        <v>0</v>
      </c>
      <c r="BP279" s="6">
        <f t="shared" si="3759"/>
        <v>0</v>
      </c>
      <c r="BQ279" s="6"/>
      <c r="BR279" s="6">
        <f t="shared" si="3760"/>
        <v>0</v>
      </c>
      <c r="BS279" s="6">
        <f t="shared" si="3761"/>
        <v>0</v>
      </c>
      <c r="BT279" s="6">
        <f t="shared" si="3762"/>
        <v>0</v>
      </c>
      <c r="BU279" s="6">
        <f t="shared" si="3763"/>
        <v>0</v>
      </c>
      <c r="BV279" s="6">
        <f t="shared" si="3764"/>
        <v>0</v>
      </c>
      <c r="BW279" s="6"/>
      <c r="BX279" s="6">
        <f t="shared" si="3765"/>
        <v>0</v>
      </c>
      <c r="BY279" s="6">
        <f t="shared" si="3775"/>
        <v>0</v>
      </c>
      <c r="BZ279" s="6">
        <f t="shared" si="3766"/>
        <v>0</v>
      </c>
      <c r="CA279" s="6">
        <f t="shared" si="3767"/>
        <v>0</v>
      </c>
      <c r="CB279" s="6">
        <f t="shared" si="3768"/>
        <v>0</v>
      </c>
      <c r="CC279" s="6"/>
      <c r="CD279" s="6">
        <f t="shared" si="3769"/>
        <v>0</v>
      </c>
      <c r="CE279" s="6">
        <f t="shared" si="3770"/>
        <v>0</v>
      </c>
      <c r="CF279" s="6">
        <f t="shared" si="3771"/>
        <v>0</v>
      </c>
      <c r="CG279" s="6">
        <f t="shared" si="3772"/>
        <v>0</v>
      </c>
      <c r="CH279" s="6">
        <f t="shared" si="3773"/>
        <v>0</v>
      </c>
      <c r="CI279" s="6"/>
      <c r="CJ279" s="6"/>
      <c r="CK279" s="6"/>
      <c r="CL279" s="6"/>
      <c r="CM279" s="6"/>
      <c r="CN279" s="6"/>
    </row>
    <row r="280" spans="2:92" ht="12.95" hidden="1" customHeight="1" outlineLevel="1" x14ac:dyDescent="0.25">
      <c r="B280" s="2" t="s">
        <v>40</v>
      </c>
      <c r="AB280" s="25">
        <f>Capitalization!F41</f>
        <v>4.65E-2</v>
      </c>
      <c r="AC280" s="25">
        <f t="shared" ref="AC280" si="3785">AB280</f>
        <v>4.65E-2</v>
      </c>
      <c r="AD280" s="25">
        <f t="shared" si="3727"/>
        <v>4.65E-2</v>
      </c>
      <c r="AE280" s="25">
        <f t="shared" si="3728"/>
        <v>4.65E-2</v>
      </c>
      <c r="AF280" s="25">
        <f t="shared" si="3729"/>
        <v>4.65E-2</v>
      </c>
      <c r="AG280" s="10"/>
      <c r="AH280" s="25">
        <f t="shared" si="3730"/>
        <v>4.65E-2</v>
      </c>
      <c r="AI280" s="25">
        <f t="shared" si="3731"/>
        <v>4.65E-2</v>
      </c>
      <c r="AJ280" s="25">
        <f t="shared" si="3732"/>
        <v>4.65E-2</v>
      </c>
      <c r="AK280" s="25">
        <f t="shared" si="3733"/>
        <v>4.65E-2</v>
      </c>
      <c r="AL280" s="25">
        <f t="shared" si="3734"/>
        <v>4.65E-2</v>
      </c>
      <c r="AM280" s="10"/>
      <c r="AN280" s="25">
        <f t="shared" si="3735"/>
        <v>4.65E-2</v>
      </c>
      <c r="AO280" s="261">
        <f t="shared" si="3736"/>
        <v>4.65E-2</v>
      </c>
      <c r="AP280" s="25">
        <f t="shared" si="3737"/>
        <v>4.65E-2</v>
      </c>
      <c r="AQ280" s="261">
        <f t="shared" si="3738"/>
        <v>4.65E-2</v>
      </c>
      <c r="AR280" s="261">
        <f t="shared" si="3739"/>
        <v>4.65E-2</v>
      </c>
      <c r="AS280" s="10"/>
      <c r="AT280" s="25">
        <f t="shared" si="3740"/>
        <v>4.65E-2</v>
      </c>
      <c r="AU280" s="261">
        <f t="shared" si="3741"/>
        <v>4.65E-2</v>
      </c>
      <c r="AV280" s="261">
        <f t="shared" si="3742"/>
        <v>4.65E-2</v>
      </c>
      <c r="AW280" s="363">
        <f t="shared" si="3743"/>
        <v>4.65E-2</v>
      </c>
      <c r="AX280" s="25">
        <f t="shared" si="3744"/>
        <v>4.65E-2</v>
      </c>
      <c r="AY280" s="10"/>
      <c r="AZ280" s="25">
        <f t="shared" si="3781"/>
        <v>0</v>
      </c>
      <c r="BA280" s="25">
        <f t="shared" si="3746"/>
        <v>0</v>
      </c>
      <c r="BB280" s="25">
        <f t="shared" si="3747"/>
        <v>0</v>
      </c>
      <c r="BC280" s="25">
        <f t="shared" si="3748"/>
        <v>0</v>
      </c>
      <c r="BD280" s="25">
        <f t="shared" si="3749"/>
        <v>0</v>
      </c>
      <c r="BE280" s="10"/>
      <c r="BF280" s="25">
        <f t="shared" si="3750"/>
        <v>0</v>
      </c>
      <c r="BG280" s="25">
        <f t="shared" si="3751"/>
        <v>0</v>
      </c>
      <c r="BH280" s="25">
        <f t="shared" si="3752"/>
        <v>0</v>
      </c>
      <c r="BI280" s="25">
        <f t="shared" si="3753"/>
        <v>0</v>
      </c>
      <c r="BJ280" s="25">
        <f t="shared" si="3754"/>
        <v>0</v>
      </c>
      <c r="BK280" s="10"/>
      <c r="BL280" s="25">
        <f t="shared" si="3755"/>
        <v>0</v>
      </c>
      <c r="BM280" s="25">
        <f t="shared" si="3756"/>
        <v>0</v>
      </c>
      <c r="BN280" s="25">
        <f t="shared" si="3757"/>
        <v>0</v>
      </c>
      <c r="BO280" s="25">
        <f t="shared" si="3758"/>
        <v>0</v>
      </c>
      <c r="BP280" s="25">
        <f t="shared" si="3759"/>
        <v>0</v>
      </c>
      <c r="BQ280" s="10"/>
      <c r="BR280" s="25">
        <f t="shared" si="3760"/>
        <v>0</v>
      </c>
      <c r="BS280" s="25">
        <f t="shared" si="3761"/>
        <v>0</v>
      </c>
      <c r="BT280" s="25">
        <f t="shared" si="3762"/>
        <v>0</v>
      </c>
      <c r="BU280" s="25">
        <f t="shared" si="3763"/>
        <v>0</v>
      </c>
      <c r="BV280" s="25">
        <f t="shared" si="3764"/>
        <v>0</v>
      </c>
      <c r="BW280" s="10"/>
      <c r="BX280" s="25">
        <f t="shared" si="3765"/>
        <v>0</v>
      </c>
      <c r="BY280" s="25">
        <f t="shared" si="3775"/>
        <v>0</v>
      </c>
      <c r="BZ280" s="25">
        <f t="shared" si="3766"/>
        <v>0</v>
      </c>
      <c r="CA280" s="25">
        <f t="shared" si="3767"/>
        <v>0</v>
      </c>
      <c r="CB280" s="25">
        <f t="shared" si="3768"/>
        <v>0</v>
      </c>
      <c r="CC280" s="10"/>
      <c r="CD280" s="25">
        <f t="shared" si="3769"/>
        <v>0</v>
      </c>
      <c r="CE280" s="25">
        <f t="shared" si="3770"/>
        <v>0</v>
      </c>
      <c r="CF280" s="25">
        <f t="shared" si="3771"/>
        <v>0</v>
      </c>
      <c r="CG280" s="25">
        <f t="shared" si="3772"/>
        <v>0</v>
      </c>
      <c r="CH280" s="25">
        <f t="shared" si="3773"/>
        <v>0</v>
      </c>
      <c r="CI280" s="10"/>
      <c r="CJ280" s="25"/>
      <c r="CK280" s="25"/>
      <c r="CL280" s="25"/>
      <c r="CM280" s="25"/>
      <c r="CN280" s="25"/>
    </row>
    <row r="281" spans="2:92" ht="12.95" hidden="1" customHeight="1" outlineLevel="1" x14ac:dyDescent="0.25">
      <c r="B281" s="2">
        <f>Capitalization!B42</f>
        <v>0</v>
      </c>
      <c r="AB281" s="6">
        <f>Capitalization!E42</f>
        <v>0</v>
      </c>
      <c r="AC281" s="6">
        <f>AB281</f>
        <v>0</v>
      </c>
      <c r="AD281" s="6">
        <f t="shared" si="3727"/>
        <v>0</v>
      </c>
      <c r="AE281" s="6">
        <f t="shared" si="3728"/>
        <v>0</v>
      </c>
      <c r="AF281" s="6">
        <f t="shared" si="3729"/>
        <v>0</v>
      </c>
      <c r="AG281" s="6"/>
      <c r="AH281" s="6">
        <f t="shared" si="3730"/>
        <v>0</v>
      </c>
      <c r="AI281" s="6">
        <f t="shared" si="3731"/>
        <v>0</v>
      </c>
      <c r="AJ281" s="6">
        <f t="shared" si="3732"/>
        <v>0</v>
      </c>
      <c r="AK281" s="6">
        <f t="shared" si="3733"/>
        <v>0</v>
      </c>
      <c r="AL281" s="6">
        <f t="shared" si="3734"/>
        <v>0</v>
      </c>
      <c r="AM281" s="6"/>
      <c r="AN281" s="6">
        <f t="shared" si="3735"/>
        <v>0</v>
      </c>
      <c r="AO281" s="243">
        <f t="shared" si="3736"/>
        <v>0</v>
      </c>
      <c r="AP281" s="6">
        <f t="shared" si="3737"/>
        <v>0</v>
      </c>
      <c r="AQ281" s="243">
        <f t="shared" si="3738"/>
        <v>0</v>
      </c>
      <c r="AR281" s="243">
        <f t="shared" si="3739"/>
        <v>0</v>
      </c>
      <c r="AS281" s="6"/>
      <c r="AT281" s="6">
        <f t="shared" si="3740"/>
        <v>0</v>
      </c>
      <c r="AU281" s="243">
        <f t="shared" si="3741"/>
        <v>0</v>
      </c>
      <c r="AV281" s="243">
        <f t="shared" si="3742"/>
        <v>0</v>
      </c>
      <c r="AW281" s="164">
        <f t="shared" si="3743"/>
        <v>0</v>
      </c>
      <c r="AX281" s="6">
        <f t="shared" si="3744"/>
        <v>0</v>
      </c>
      <c r="AY281" s="6"/>
      <c r="AZ281" s="6">
        <f t="shared" si="3781"/>
        <v>0</v>
      </c>
      <c r="BA281" s="6">
        <f t="shared" si="3746"/>
        <v>0</v>
      </c>
      <c r="BB281" s="6">
        <f t="shared" si="3747"/>
        <v>0</v>
      </c>
      <c r="BC281" s="6">
        <f t="shared" si="3748"/>
        <v>0</v>
      </c>
      <c r="BD281" s="6">
        <f t="shared" si="3749"/>
        <v>0</v>
      </c>
      <c r="BE281" s="6"/>
      <c r="BF281" s="6">
        <f t="shared" si="3750"/>
        <v>0</v>
      </c>
      <c r="BG281" s="6">
        <f t="shared" si="3751"/>
        <v>0</v>
      </c>
      <c r="BH281" s="6">
        <f t="shared" si="3752"/>
        <v>0</v>
      </c>
      <c r="BI281" s="6">
        <f t="shared" si="3753"/>
        <v>0</v>
      </c>
      <c r="BJ281" s="6">
        <f t="shared" si="3754"/>
        <v>0</v>
      </c>
      <c r="BK281" s="6"/>
      <c r="BL281" s="6">
        <f t="shared" si="3755"/>
        <v>0</v>
      </c>
      <c r="BM281" s="6">
        <f t="shared" si="3756"/>
        <v>0</v>
      </c>
      <c r="BN281" s="6">
        <f t="shared" si="3757"/>
        <v>0</v>
      </c>
      <c r="BO281" s="6">
        <f t="shared" si="3758"/>
        <v>0</v>
      </c>
      <c r="BP281" s="6">
        <f t="shared" si="3759"/>
        <v>0</v>
      </c>
      <c r="BQ281" s="6"/>
      <c r="BR281" s="6">
        <f t="shared" si="3760"/>
        <v>0</v>
      </c>
      <c r="BS281" s="6">
        <f t="shared" si="3761"/>
        <v>0</v>
      </c>
      <c r="BT281" s="6">
        <f t="shared" si="3762"/>
        <v>0</v>
      </c>
      <c r="BU281" s="6">
        <f t="shared" si="3763"/>
        <v>0</v>
      </c>
      <c r="BV281" s="6">
        <f t="shared" si="3764"/>
        <v>0</v>
      </c>
      <c r="BW281" s="6"/>
      <c r="BX281" s="6">
        <f t="shared" si="3765"/>
        <v>0</v>
      </c>
      <c r="BY281" s="6">
        <f t="shared" si="3775"/>
        <v>0</v>
      </c>
      <c r="BZ281" s="6">
        <f t="shared" si="3766"/>
        <v>0</v>
      </c>
      <c r="CA281" s="6">
        <f t="shared" si="3767"/>
        <v>0</v>
      </c>
      <c r="CB281" s="6">
        <f t="shared" si="3768"/>
        <v>0</v>
      </c>
      <c r="CC281" s="6"/>
      <c r="CD281" s="6">
        <f t="shared" si="3769"/>
        <v>0</v>
      </c>
      <c r="CE281" s="6">
        <f t="shared" si="3770"/>
        <v>0</v>
      </c>
      <c r="CF281" s="6">
        <f t="shared" si="3771"/>
        <v>0</v>
      </c>
      <c r="CG281" s="6">
        <f t="shared" si="3772"/>
        <v>0</v>
      </c>
      <c r="CH281" s="6">
        <f t="shared" si="3773"/>
        <v>0</v>
      </c>
      <c r="CI281" s="6"/>
      <c r="CJ281" s="6"/>
      <c r="CK281" s="6"/>
      <c r="CL281" s="6"/>
      <c r="CM281" s="6"/>
      <c r="CN281" s="6"/>
    </row>
    <row r="282" spans="2:92" ht="12.95" hidden="1" customHeight="1" outlineLevel="1" x14ac:dyDescent="0.25">
      <c r="B282" s="2" t="s">
        <v>40</v>
      </c>
      <c r="AB282" s="25">
        <f>Capitalization!F42</f>
        <v>0</v>
      </c>
      <c r="AC282" s="25">
        <f t="shared" ref="AC282" si="3786">AB282</f>
        <v>0</v>
      </c>
      <c r="AD282" s="25">
        <f t="shared" si="3727"/>
        <v>0</v>
      </c>
      <c r="AE282" s="25">
        <f t="shared" si="3728"/>
        <v>0</v>
      </c>
      <c r="AF282" s="25">
        <f t="shared" si="3729"/>
        <v>0</v>
      </c>
      <c r="AG282" s="10"/>
      <c r="AH282" s="25">
        <f t="shared" si="3730"/>
        <v>0</v>
      </c>
      <c r="AI282" s="25">
        <f t="shared" si="3731"/>
        <v>0</v>
      </c>
      <c r="AJ282" s="25">
        <f t="shared" si="3732"/>
        <v>0</v>
      </c>
      <c r="AK282" s="25">
        <f t="shared" si="3733"/>
        <v>0</v>
      </c>
      <c r="AL282" s="25">
        <f t="shared" si="3734"/>
        <v>0</v>
      </c>
      <c r="AM282" s="10"/>
      <c r="AN282" s="25">
        <f t="shared" si="3735"/>
        <v>0</v>
      </c>
      <c r="AO282" s="261">
        <f t="shared" si="3736"/>
        <v>0</v>
      </c>
      <c r="AP282" s="25">
        <f t="shared" si="3737"/>
        <v>0</v>
      </c>
      <c r="AQ282" s="261">
        <f t="shared" si="3738"/>
        <v>0</v>
      </c>
      <c r="AR282" s="261">
        <f t="shared" si="3739"/>
        <v>0</v>
      </c>
      <c r="AS282" s="10"/>
      <c r="AT282" s="25">
        <f t="shared" si="3740"/>
        <v>0</v>
      </c>
      <c r="AU282" s="261">
        <f t="shared" si="3741"/>
        <v>0</v>
      </c>
      <c r="AV282" s="261">
        <f t="shared" si="3742"/>
        <v>0</v>
      </c>
      <c r="AW282" s="363">
        <f t="shared" si="3743"/>
        <v>0</v>
      </c>
      <c r="AX282" s="25">
        <f t="shared" si="3744"/>
        <v>0</v>
      </c>
      <c r="AY282" s="10"/>
      <c r="AZ282" s="25">
        <f t="shared" si="3781"/>
        <v>0</v>
      </c>
      <c r="BA282" s="25">
        <f t="shared" si="3746"/>
        <v>0</v>
      </c>
      <c r="BB282" s="25">
        <f t="shared" si="3747"/>
        <v>0</v>
      </c>
      <c r="BC282" s="25">
        <f t="shared" si="3748"/>
        <v>0</v>
      </c>
      <c r="BD282" s="25">
        <f t="shared" si="3749"/>
        <v>0</v>
      </c>
      <c r="BE282" s="10"/>
      <c r="BF282" s="25">
        <f t="shared" si="3750"/>
        <v>0</v>
      </c>
      <c r="BG282" s="25">
        <f t="shared" si="3751"/>
        <v>0</v>
      </c>
      <c r="BH282" s="25">
        <f t="shared" si="3752"/>
        <v>0</v>
      </c>
      <c r="BI282" s="25">
        <f t="shared" si="3753"/>
        <v>0</v>
      </c>
      <c r="BJ282" s="25">
        <f t="shared" si="3754"/>
        <v>0</v>
      </c>
      <c r="BK282" s="10"/>
      <c r="BL282" s="25">
        <f t="shared" si="3755"/>
        <v>0</v>
      </c>
      <c r="BM282" s="25">
        <f t="shared" si="3756"/>
        <v>0</v>
      </c>
      <c r="BN282" s="25">
        <f t="shared" si="3757"/>
        <v>0</v>
      </c>
      <c r="BO282" s="25">
        <f t="shared" si="3758"/>
        <v>0</v>
      </c>
      <c r="BP282" s="25">
        <f t="shared" si="3759"/>
        <v>0</v>
      </c>
      <c r="BQ282" s="10"/>
      <c r="BR282" s="25">
        <f t="shared" si="3760"/>
        <v>0</v>
      </c>
      <c r="BS282" s="25">
        <f t="shared" si="3761"/>
        <v>0</v>
      </c>
      <c r="BT282" s="25">
        <f t="shared" si="3762"/>
        <v>0</v>
      </c>
      <c r="BU282" s="25">
        <f t="shared" si="3763"/>
        <v>0</v>
      </c>
      <c r="BV282" s="25">
        <f t="shared" si="3764"/>
        <v>0</v>
      </c>
      <c r="BW282" s="10"/>
      <c r="BX282" s="25">
        <f t="shared" si="3765"/>
        <v>0</v>
      </c>
      <c r="BY282" s="25">
        <f t="shared" si="3775"/>
        <v>0</v>
      </c>
      <c r="BZ282" s="25">
        <f t="shared" si="3766"/>
        <v>0</v>
      </c>
      <c r="CA282" s="25">
        <f t="shared" si="3767"/>
        <v>0</v>
      </c>
      <c r="CB282" s="25">
        <f t="shared" si="3768"/>
        <v>0</v>
      </c>
      <c r="CC282" s="10"/>
      <c r="CD282" s="25">
        <f t="shared" si="3769"/>
        <v>0</v>
      </c>
      <c r="CE282" s="25">
        <f t="shared" si="3770"/>
        <v>0</v>
      </c>
      <c r="CF282" s="25">
        <f t="shared" si="3771"/>
        <v>0</v>
      </c>
      <c r="CG282" s="25">
        <f t="shared" si="3772"/>
        <v>0</v>
      </c>
      <c r="CH282" s="25">
        <f t="shared" si="3773"/>
        <v>0</v>
      </c>
      <c r="CI282" s="10"/>
      <c r="CJ282" s="25"/>
      <c r="CK282" s="25"/>
      <c r="CL282" s="25"/>
      <c r="CM282" s="25"/>
      <c r="CN282" s="25"/>
    </row>
    <row r="283" spans="2:92" ht="12.95" hidden="1" customHeight="1" outlineLevel="1" x14ac:dyDescent="0.25">
      <c r="B283" s="2">
        <f>Capitalization!B43</f>
        <v>0</v>
      </c>
      <c r="AB283" s="6">
        <f>Capitalization!E43</f>
        <v>0</v>
      </c>
      <c r="AC283" s="6">
        <f>AB283</f>
        <v>0</v>
      </c>
      <c r="AD283" s="6">
        <f t="shared" si="3727"/>
        <v>0</v>
      </c>
      <c r="AE283" s="6">
        <f t="shared" si="3728"/>
        <v>0</v>
      </c>
      <c r="AF283" s="6">
        <f t="shared" si="3729"/>
        <v>0</v>
      </c>
      <c r="AG283" s="6"/>
      <c r="AH283" s="6">
        <f t="shared" si="3730"/>
        <v>0</v>
      </c>
      <c r="AI283" s="6">
        <f t="shared" si="3731"/>
        <v>0</v>
      </c>
      <c r="AJ283" s="6">
        <f t="shared" si="3732"/>
        <v>0</v>
      </c>
      <c r="AK283" s="6">
        <f t="shared" si="3733"/>
        <v>0</v>
      </c>
      <c r="AL283" s="6">
        <f t="shared" si="3734"/>
        <v>0</v>
      </c>
      <c r="AM283" s="6"/>
      <c r="AN283" s="6">
        <f t="shared" si="3735"/>
        <v>0</v>
      </c>
      <c r="AO283" s="243">
        <f t="shared" si="3736"/>
        <v>0</v>
      </c>
      <c r="AP283" s="6">
        <f t="shared" si="3737"/>
        <v>0</v>
      </c>
      <c r="AQ283" s="243">
        <f t="shared" si="3738"/>
        <v>0</v>
      </c>
      <c r="AR283" s="243">
        <f t="shared" si="3739"/>
        <v>0</v>
      </c>
      <c r="AS283" s="6"/>
      <c r="AT283" s="6">
        <f t="shared" si="3740"/>
        <v>0</v>
      </c>
      <c r="AU283" s="243">
        <f t="shared" si="3741"/>
        <v>0</v>
      </c>
      <c r="AV283" s="243">
        <f t="shared" si="3742"/>
        <v>0</v>
      </c>
      <c r="AW283" s="164">
        <f t="shared" si="3743"/>
        <v>0</v>
      </c>
      <c r="AX283" s="6">
        <f t="shared" si="3744"/>
        <v>0</v>
      </c>
      <c r="AY283" s="6"/>
      <c r="AZ283" s="6">
        <f t="shared" si="3781"/>
        <v>0</v>
      </c>
      <c r="BA283" s="6">
        <f t="shared" si="3746"/>
        <v>0</v>
      </c>
      <c r="BB283" s="6">
        <f t="shared" si="3747"/>
        <v>0</v>
      </c>
      <c r="BC283" s="6">
        <f t="shared" si="3748"/>
        <v>0</v>
      </c>
      <c r="BD283" s="6">
        <f t="shared" si="3749"/>
        <v>0</v>
      </c>
      <c r="BE283" s="6"/>
      <c r="BF283" s="6">
        <f t="shared" si="3750"/>
        <v>0</v>
      </c>
      <c r="BG283" s="6">
        <f t="shared" si="3751"/>
        <v>0</v>
      </c>
      <c r="BH283" s="6">
        <f t="shared" si="3752"/>
        <v>0</v>
      </c>
      <c r="BI283" s="6">
        <f t="shared" si="3753"/>
        <v>0</v>
      </c>
      <c r="BJ283" s="6">
        <f t="shared" si="3754"/>
        <v>0</v>
      </c>
      <c r="BK283" s="6"/>
      <c r="BL283" s="6">
        <f t="shared" si="3755"/>
        <v>0</v>
      </c>
      <c r="BM283" s="6">
        <f t="shared" si="3756"/>
        <v>0</v>
      </c>
      <c r="BN283" s="6">
        <f t="shared" si="3757"/>
        <v>0</v>
      </c>
      <c r="BO283" s="6">
        <f t="shared" si="3758"/>
        <v>0</v>
      </c>
      <c r="BP283" s="6">
        <f t="shared" si="3759"/>
        <v>0</v>
      </c>
      <c r="BQ283" s="6"/>
      <c r="BR283" s="6">
        <f t="shared" si="3760"/>
        <v>0</v>
      </c>
      <c r="BS283" s="6">
        <f t="shared" si="3761"/>
        <v>0</v>
      </c>
      <c r="BT283" s="6">
        <f t="shared" si="3762"/>
        <v>0</v>
      </c>
      <c r="BU283" s="6">
        <f t="shared" si="3763"/>
        <v>0</v>
      </c>
      <c r="BV283" s="6">
        <f t="shared" si="3764"/>
        <v>0</v>
      </c>
      <c r="BW283" s="6"/>
      <c r="BX283" s="6">
        <f t="shared" si="3765"/>
        <v>0</v>
      </c>
      <c r="BY283" s="6">
        <f t="shared" si="3775"/>
        <v>0</v>
      </c>
      <c r="BZ283" s="6">
        <f t="shared" si="3766"/>
        <v>0</v>
      </c>
      <c r="CA283" s="6">
        <f t="shared" si="3767"/>
        <v>0</v>
      </c>
      <c r="CB283" s="6">
        <f t="shared" si="3768"/>
        <v>0</v>
      </c>
      <c r="CC283" s="6"/>
      <c r="CD283" s="6">
        <f t="shared" si="3769"/>
        <v>0</v>
      </c>
      <c r="CE283" s="6">
        <f t="shared" si="3770"/>
        <v>0</v>
      </c>
      <c r="CF283" s="6">
        <f t="shared" si="3771"/>
        <v>0</v>
      </c>
      <c r="CG283" s="6">
        <f t="shared" si="3772"/>
        <v>0</v>
      </c>
      <c r="CH283" s="6">
        <f t="shared" si="3773"/>
        <v>0</v>
      </c>
      <c r="CI283" s="6"/>
      <c r="CJ283" s="6"/>
      <c r="CK283" s="6"/>
      <c r="CL283" s="6"/>
      <c r="CM283" s="6"/>
      <c r="CN283" s="6"/>
    </row>
    <row r="284" spans="2:92" ht="12.95" hidden="1" customHeight="1" outlineLevel="1" x14ac:dyDescent="0.25">
      <c r="B284" s="2" t="s">
        <v>40</v>
      </c>
      <c r="AB284" s="25">
        <f>Capitalization!F43</f>
        <v>0</v>
      </c>
      <c r="AC284" s="25">
        <f t="shared" ref="AC284" si="3787">AB284</f>
        <v>0</v>
      </c>
      <c r="AD284" s="25">
        <f t="shared" si="3727"/>
        <v>0</v>
      </c>
      <c r="AE284" s="25">
        <f t="shared" si="3728"/>
        <v>0</v>
      </c>
      <c r="AF284" s="25">
        <f t="shared" si="3729"/>
        <v>0</v>
      </c>
      <c r="AG284" s="10"/>
      <c r="AH284" s="25">
        <f t="shared" si="3730"/>
        <v>0</v>
      </c>
      <c r="AI284" s="25">
        <f t="shared" si="3731"/>
        <v>0</v>
      </c>
      <c r="AJ284" s="25">
        <f t="shared" si="3732"/>
        <v>0</v>
      </c>
      <c r="AK284" s="25">
        <f t="shared" si="3733"/>
        <v>0</v>
      </c>
      <c r="AL284" s="25">
        <f t="shared" si="3734"/>
        <v>0</v>
      </c>
      <c r="AM284" s="10"/>
      <c r="AN284" s="25">
        <f t="shared" si="3735"/>
        <v>0</v>
      </c>
      <c r="AO284" s="261">
        <f t="shared" si="3736"/>
        <v>0</v>
      </c>
      <c r="AP284" s="25">
        <f t="shared" si="3737"/>
        <v>0</v>
      </c>
      <c r="AQ284" s="261">
        <f t="shared" si="3738"/>
        <v>0</v>
      </c>
      <c r="AR284" s="261">
        <f t="shared" si="3739"/>
        <v>0</v>
      </c>
      <c r="AS284" s="10"/>
      <c r="AT284" s="25">
        <f t="shared" si="3740"/>
        <v>0</v>
      </c>
      <c r="AU284" s="261">
        <f t="shared" si="3741"/>
        <v>0</v>
      </c>
      <c r="AV284" s="261">
        <f t="shared" si="3742"/>
        <v>0</v>
      </c>
      <c r="AW284" s="363">
        <f t="shared" si="3743"/>
        <v>0</v>
      </c>
      <c r="AX284" s="25">
        <f t="shared" si="3744"/>
        <v>0</v>
      </c>
      <c r="AY284" s="10"/>
      <c r="AZ284" s="25">
        <f t="shared" si="3781"/>
        <v>0</v>
      </c>
      <c r="BA284" s="25">
        <f t="shared" si="3746"/>
        <v>0</v>
      </c>
      <c r="BB284" s="25">
        <f t="shared" si="3747"/>
        <v>0</v>
      </c>
      <c r="BC284" s="25">
        <f t="shared" si="3748"/>
        <v>0</v>
      </c>
      <c r="BD284" s="25">
        <f t="shared" si="3749"/>
        <v>0</v>
      </c>
      <c r="BE284" s="10"/>
      <c r="BF284" s="25">
        <f t="shared" si="3750"/>
        <v>0</v>
      </c>
      <c r="BG284" s="25">
        <f t="shared" si="3751"/>
        <v>0</v>
      </c>
      <c r="BH284" s="25">
        <f t="shared" si="3752"/>
        <v>0</v>
      </c>
      <c r="BI284" s="25">
        <f t="shared" si="3753"/>
        <v>0</v>
      </c>
      <c r="BJ284" s="25">
        <f t="shared" si="3754"/>
        <v>0</v>
      </c>
      <c r="BK284" s="10"/>
      <c r="BL284" s="25">
        <f t="shared" si="3755"/>
        <v>0</v>
      </c>
      <c r="BM284" s="25">
        <f t="shared" si="3756"/>
        <v>0</v>
      </c>
      <c r="BN284" s="25">
        <f t="shared" si="3757"/>
        <v>0</v>
      </c>
      <c r="BO284" s="25">
        <f t="shared" si="3758"/>
        <v>0</v>
      </c>
      <c r="BP284" s="25">
        <f t="shared" si="3759"/>
        <v>0</v>
      </c>
      <c r="BQ284" s="10"/>
      <c r="BR284" s="25">
        <f t="shared" si="3760"/>
        <v>0</v>
      </c>
      <c r="BS284" s="25">
        <f t="shared" si="3761"/>
        <v>0</v>
      </c>
      <c r="BT284" s="25">
        <f t="shared" si="3762"/>
        <v>0</v>
      </c>
      <c r="BU284" s="25">
        <f t="shared" si="3763"/>
        <v>0</v>
      </c>
      <c r="BV284" s="25">
        <f t="shared" si="3764"/>
        <v>0</v>
      </c>
      <c r="BW284" s="10"/>
      <c r="BX284" s="25">
        <f t="shared" si="3765"/>
        <v>0</v>
      </c>
      <c r="BY284" s="25">
        <f t="shared" si="3775"/>
        <v>0</v>
      </c>
      <c r="BZ284" s="25">
        <f t="shared" si="3766"/>
        <v>0</v>
      </c>
      <c r="CA284" s="25">
        <f t="shared" si="3767"/>
        <v>0</v>
      </c>
      <c r="CB284" s="25">
        <f t="shared" si="3768"/>
        <v>0</v>
      </c>
      <c r="CC284" s="10"/>
      <c r="CD284" s="25">
        <f t="shared" si="3769"/>
        <v>0</v>
      </c>
      <c r="CE284" s="25">
        <f t="shared" si="3770"/>
        <v>0</v>
      </c>
      <c r="CF284" s="25">
        <f t="shared" si="3771"/>
        <v>0</v>
      </c>
      <c r="CG284" s="25">
        <f t="shared" si="3772"/>
        <v>0</v>
      </c>
      <c r="CH284" s="25">
        <f t="shared" si="3773"/>
        <v>0</v>
      </c>
      <c r="CI284" s="10"/>
      <c r="CJ284" s="25"/>
      <c r="CK284" s="25"/>
      <c r="CL284" s="25"/>
      <c r="CM284" s="25"/>
      <c r="CN284" s="25"/>
    </row>
    <row r="285" spans="2:92" ht="12.95" hidden="1" customHeight="1" outlineLevel="1" x14ac:dyDescent="0.25">
      <c r="B285" s="2">
        <f>Capitalization!B45</f>
        <v>0</v>
      </c>
      <c r="AB285" s="6">
        <f>Capitalization!E45</f>
        <v>0</v>
      </c>
      <c r="AC285" s="6">
        <f>AB285</f>
        <v>0</v>
      </c>
      <c r="AD285" s="6">
        <f t="shared" si="3727"/>
        <v>0</v>
      </c>
      <c r="AE285" s="6">
        <f t="shared" si="3728"/>
        <v>0</v>
      </c>
      <c r="AF285" s="6">
        <f t="shared" si="3729"/>
        <v>0</v>
      </c>
      <c r="AG285" s="6"/>
      <c r="AH285" s="6">
        <f t="shared" si="3730"/>
        <v>0</v>
      </c>
      <c r="AI285" s="6">
        <f t="shared" si="3731"/>
        <v>0</v>
      </c>
      <c r="AJ285" s="6">
        <f t="shared" si="3732"/>
        <v>0</v>
      </c>
      <c r="AK285" s="6">
        <f t="shared" si="3733"/>
        <v>0</v>
      </c>
      <c r="AL285" s="6">
        <f t="shared" si="3734"/>
        <v>0</v>
      </c>
      <c r="AM285" s="6"/>
      <c r="AN285" s="6">
        <f t="shared" si="3735"/>
        <v>0</v>
      </c>
      <c r="AO285" s="243">
        <f t="shared" si="3736"/>
        <v>0</v>
      </c>
      <c r="AP285" s="6">
        <f t="shared" si="3737"/>
        <v>0</v>
      </c>
      <c r="AQ285" s="243">
        <f t="shared" si="3738"/>
        <v>0</v>
      </c>
      <c r="AR285" s="243">
        <f t="shared" si="3739"/>
        <v>0</v>
      </c>
      <c r="AS285" s="6"/>
      <c r="AT285" s="6">
        <f t="shared" si="3740"/>
        <v>0</v>
      </c>
      <c r="AU285" s="243">
        <f t="shared" si="3741"/>
        <v>0</v>
      </c>
      <c r="AV285" s="243">
        <f t="shared" si="3742"/>
        <v>0</v>
      </c>
      <c r="AW285" s="164">
        <f t="shared" si="3743"/>
        <v>0</v>
      </c>
      <c r="AX285" s="6">
        <f t="shared" si="3744"/>
        <v>0</v>
      </c>
      <c r="AY285" s="6"/>
      <c r="AZ285" s="6">
        <f t="shared" si="3781"/>
        <v>0</v>
      </c>
      <c r="BA285" s="6">
        <f t="shared" si="3746"/>
        <v>0</v>
      </c>
      <c r="BB285" s="6">
        <f t="shared" si="3747"/>
        <v>0</v>
      </c>
      <c r="BC285" s="6">
        <f t="shared" si="3748"/>
        <v>0</v>
      </c>
      <c r="BD285" s="6">
        <f t="shared" si="3749"/>
        <v>0</v>
      </c>
      <c r="BE285" s="6"/>
      <c r="BF285" s="6">
        <f t="shared" si="3750"/>
        <v>0</v>
      </c>
      <c r="BG285" s="6">
        <f t="shared" si="3751"/>
        <v>0</v>
      </c>
      <c r="BH285" s="6">
        <f t="shared" si="3752"/>
        <v>0</v>
      </c>
      <c r="BI285" s="6">
        <f t="shared" si="3753"/>
        <v>0</v>
      </c>
      <c r="BJ285" s="6">
        <f t="shared" si="3754"/>
        <v>0</v>
      </c>
      <c r="BK285" s="6"/>
      <c r="BL285" s="6">
        <f t="shared" si="3755"/>
        <v>0</v>
      </c>
      <c r="BM285" s="6">
        <f t="shared" si="3756"/>
        <v>0</v>
      </c>
      <c r="BN285" s="6">
        <f t="shared" si="3757"/>
        <v>0</v>
      </c>
      <c r="BO285" s="6">
        <f t="shared" si="3758"/>
        <v>0</v>
      </c>
      <c r="BP285" s="6">
        <f t="shared" si="3759"/>
        <v>0</v>
      </c>
      <c r="BQ285" s="6"/>
      <c r="BR285" s="6">
        <f t="shared" si="3760"/>
        <v>0</v>
      </c>
      <c r="BS285" s="6">
        <f t="shared" si="3761"/>
        <v>0</v>
      </c>
      <c r="BT285" s="6">
        <f t="shared" si="3762"/>
        <v>0</v>
      </c>
      <c r="BU285" s="6">
        <f t="shared" si="3763"/>
        <v>0</v>
      </c>
      <c r="BV285" s="6">
        <f t="shared" si="3764"/>
        <v>0</v>
      </c>
      <c r="BW285" s="6"/>
      <c r="BX285" s="6">
        <f t="shared" si="3765"/>
        <v>0</v>
      </c>
      <c r="BY285" s="6">
        <f t="shared" si="3775"/>
        <v>0</v>
      </c>
      <c r="BZ285" s="6">
        <f t="shared" si="3766"/>
        <v>0</v>
      </c>
      <c r="CA285" s="6">
        <f t="shared" si="3767"/>
        <v>0</v>
      </c>
      <c r="CB285" s="6">
        <f t="shared" si="3768"/>
        <v>0</v>
      </c>
      <c r="CC285" s="6"/>
      <c r="CD285" s="6">
        <f t="shared" si="3769"/>
        <v>0</v>
      </c>
      <c r="CE285" s="6">
        <f t="shared" si="3770"/>
        <v>0</v>
      </c>
      <c r="CF285" s="6">
        <f t="shared" si="3771"/>
        <v>0</v>
      </c>
      <c r="CG285" s="6">
        <f t="shared" si="3772"/>
        <v>0</v>
      </c>
      <c r="CH285" s="6">
        <f t="shared" si="3773"/>
        <v>0</v>
      </c>
      <c r="CI285" s="6"/>
      <c r="CJ285" s="6"/>
      <c r="CK285" s="6"/>
      <c r="CL285" s="6"/>
      <c r="CM285" s="6"/>
      <c r="CN285" s="6"/>
    </row>
    <row r="286" spans="2:92" ht="12.95" hidden="1" customHeight="1" outlineLevel="1" x14ac:dyDescent="0.25">
      <c r="B286" s="2" t="s">
        <v>40</v>
      </c>
      <c r="AB286" s="25">
        <f>Capitalization!F45</f>
        <v>0</v>
      </c>
      <c r="AC286" s="25">
        <f t="shared" ref="AC286" si="3788">AB286</f>
        <v>0</v>
      </c>
      <c r="AD286" s="25">
        <f t="shared" si="3727"/>
        <v>0</v>
      </c>
      <c r="AE286" s="25">
        <f t="shared" si="3728"/>
        <v>0</v>
      </c>
      <c r="AF286" s="25">
        <f t="shared" si="3729"/>
        <v>0</v>
      </c>
      <c r="AG286" s="10"/>
      <c r="AH286" s="25">
        <f t="shared" si="3730"/>
        <v>0</v>
      </c>
      <c r="AI286" s="25">
        <f t="shared" si="3731"/>
        <v>0</v>
      </c>
      <c r="AJ286" s="25">
        <f t="shared" si="3732"/>
        <v>0</v>
      </c>
      <c r="AK286" s="25">
        <f t="shared" si="3733"/>
        <v>0</v>
      </c>
      <c r="AL286" s="25">
        <f t="shared" si="3734"/>
        <v>0</v>
      </c>
      <c r="AM286" s="10"/>
      <c r="AN286" s="25">
        <f t="shared" si="3735"/>
        <v>0</v>
      </c>
      <c r="AO286" s="261">
        <f t="shared" si="3736"/>
        <v>0</v>
      </c>
      <c r="AP286" s="25">
        <f t="shared" si="3737"/>
        <v>0</v>
      </c>
      <c r="AQ286" s="261">
        <f t="shared" si="3738"/>
        <v>0</v>
      </c>
      <c r="AR286" s="261">
        <f t="shared" si="3739"/>
        <v>0</v>
      </c>
      <c r="AS286" s="10"/>
      <c r="AT286" s="25">
        <f t="shared" si="3740"/>
        <v>0</v>
      </c>
      <c r="AU286" s="261">
        <f t="shared" si="3741"/>
        <v>0</v>
      </c>
      <c r="AV286" s="261">
        <f t="shared" si="3742"/>
        <v>0</v>
      </c>
      <c r="AW286" s="363">
        <f t="shared" si="3743"/>
        <v>0</v>
      </c>
      <c r="AX286" s="25">
        <f t="shared" si="3744"/>
        <v>0</v>
      </c>
      <c r="AY286" s="10"/>
      <c r="AZ286" s="25">
        <f t="shared" si="3781"/>
        <v>0</v>
      </c>
      <c r="BA286" s="25">
        <f t="shared" si="3746"/>
        <v>0</v>
      </c>
      <c r="BB286" s="25">
        <f t="shared" si="3747"/>
        <v>0</v>
      </c>
      <c r="BC286" s="25">
        <f t="shared" si="3748"/>
        <v>0</v>
      </c>
      <c r="BD286" s="25">
        <f t="shared" si="3749"/>
        <v>0</v>
      </c>
      <c r="BE286" s="10"/>
      <c r="BF286" s="25">
        <f t="shared" si="3750"/>
        <v>0</v>
      </c>
      <c r="BG286" s="25">
        <f t="shared" si="3751"/>
        <v>0</v>
      </c>
      <c r="BH286" s="25">
        <f t="shared" si="3752"/>
        <v>0</v>
      </c>
      <c r="BI286" s="25">
        <f t="shared" si="3753"/>
        <v>0</v>
      </c>
      <c r="BJ286" s="25">
        <f t="shared" si="3754"/>
        <v>0</v>
      </c>
      <c r="BK286" s="10"/>
      <c r="BL286" s="25">
        <f t="shared" si="3755"/>
        <v>0</v>
      </c>
      <c r="BM286" s="25">
        <f t="shared" si="3756"/>
        <v>0</v>
      </c>
      <c r="BN286" s="25">
        <f t="shared" si="3757"/>
        <v>0</v>
      </c>
      <c r="BO286" s="25">
        <f t="shared" si="3758"/>
        <v>0</v>
      </c>
      <c r="BP286" s="25">
        <f t="shared" si="3759"/>
        <v>0</v>
      </c>
      <c r="BQ286" s="10"/>
      <c r="BR286" s="25">
        <f t="shared" si="3760"/>
        <v>0</v>
      </c>
      <c r="BS286" s="25">
        <f t="shared" si="3761"/>
        <v>0</v>
      </c>
      <c r="BT286" s="25">
        <f t="shared" si="3762"/>
        <v>0</v>
      </c>
      <c r="BU286" s="25">
        <f t="shared" si="3763"/>
        <v>0</v>
      </c>
      <c r="BV286" s="25">
        <f t="shared" si="3764"/>
        <v>0</v>
      </c>
      <c r="BW286" s="10"/>
      <c r="BX286" s="25">
        <f t="shared" si="3765"/>
        <v>0</v>
      </c>
      <c r="BY286" s="25">
        <f t="shared" si="3775"/>
        <v>0</v>
      </c>
      <c r="BZ286" s="25">
        <f t="shared" si="3766"/>
        <v>0</v>
      </c>
      <c r="CA286" s="25">
        <f t="shared" si="3767"/>
        <v>0</v>
      </c>
      <c r="CB286" s="25">
        <f t="shared" si="3768"/>
        <v>0</v>
      </c>
      <c r="CC286" s="10"/>
      <c r="CD286" s="25">
        <f t="shared" si="3769"/>
        <v>0</v>
      </c>
      <c r="CE286" s="25">
        <f t="shared" si="3770"/>
        <v>0</v>
      </c>
      <c r="CF286" s="25">
        <f t="shared" si="3771"/>
        <v>0</v>
      </c>
      <c r="CG286" s="25">
        <f t="shared" si="3772"/>
        <v>0</v>
      </c>
      <c r="CH286" s="25">
        <f t="shared" si="3773"/>
        <v>0</v>
      </c>
      <c r="CI286" s="10"/>
      <c r="CJ286" s="25"/>
      <c r="CK286" s="25"/>
      <c r="CL286" s="25"/>
      <c r="CM286" s="25"/>
      <c r="CN286" s="25"/>
    </row>
    <row r="287" spans="2:92" ht="12.95" hidden="1" customHeight="1" outlineLevel="1" x14ac:dyDescent="0.25">
      <c r="B287" s="2">
        <f>Capitalization!B46</f>
        <v>0</v>
      </c>
      <c r="AB287" s="6">
        <f>Capitalization!E46</f>
        <v>0</v>
      </c>
      <c r="AC287" s="6">
        <f>AB287</f>
        <v>0</v>
      </c>
      <c r="AD287" s="6">
        <f t="shared" ref="AD287:AD340" si="3789">AC287</f>
        <v>0</v>
      </c>
      <c r="AE287" s="6">
        <f t="shared" ref="AE287:AE340" si="3790">AD287</f>
        <v>0</v>
      </c>
      <c r="AF287" s="6">
        <f t="shared" ref="AF287:AF340" si="3791">AE287</f>
        <v>0</v>
      </c>
      <c r="AG287" s="6"/>
      <c r="AH287" s="6">
        <f t="shared" ref="AH287:AH340" si="3792">AF287</f>
        <v>0</v>
      </c>
      <c r="AI287" s="6">
        <f t="shared" ref="AI287:AI340" si="3793">AH287</f>
        <v>0</v>
      </c>
      <c r="AJ287" s="6">
        <f t="shared" ref="AJ287:AJ340" si="3794">AI287</f>
        <v>0</v>
      </c>
      <c r="AK287" s="6">
        <f t="shared" ref="AK287:AK340" si="3795">AJ287</f>
        <v>0</v>
      </c>
      <c r="AL287" s="6">
        <f t="shared" ref="AL287:AL340" si="3796">AK287</f>
        <v>0</v>
      </c>
      <c r="AM287" s="6"/>
      <c r="AN287" s="6">
        <f t="shared" ref="AN287:AN340" si="3797">AL287</f>
        <v>0</v>
      </c>
      <c r="AO287" s="243">
        <f t="shared" ref="AO287:AO340" si="3798">AN287</f>
        <v>0</v>
      </c>
      <c r="AP287" s="6">
        <f t="shared" ref="AP287:AP340" si="3799">AO287</f>
        <v>0</v>
      </c>
      <c r="AQ287" s="243">
        <f t="shared" ref="AQ287:AQ340" si="3800">AP287</f>
        <v>0</v>
      </c>
      <c r="AR287" s="243">
        <f t="shared" ref="AR287:AR340" si="3801">AQ287</f>
        <v>0</v>
      </c>
      <c r="AS287" s="6"/>
      <c r="AT287" s="6">
        <f t="shared" ref="AT287:AT340" si="3802">AR287</f>
        <v>0</v>
      </c>
      <c r="AU287" s="243">
        <f t="shared" ref="AU287:AU340" si="3803">AT287</f>
        <v>0</v>
      </c>
      <c r="AV287" s="243">
        <f t="shared" ref="AV287:AV340" si="3804">AU287</f>
        <v>0</v>
      </c>
      <c r="AW287" s="164">
        <f t="shared" ref="AW287:AW340" si="3805">AV287</f>
        <v>0</v>
      </c>
      <c r="AX287" s="6">
        <f t="shared" ref="AX287:AX340" si="3806">AW287</f>
        <v>0</v>
      </c>
      <c r="AY287" s="6"/>
      <c r="AZ287" s="6">
        <f t="shared" si="3781"/>
        <v>0</v>
      </c>
      <c r="BA287" s="6">
        <f t="shared" ref="BA287:BA340" si="3807">AZ287</f>
        <v>0</v>
      </c>
      <c r="BB287" s="6">
        <f t="shared" ref="BB287:BB340" si="3808">BA287</f>
        <v>0</v>
      </c>
      <c r="BC287" s="6">
        <f t="shared" ref="BC287:BC340" si="3809">BB287</f>
        <v>0</v>
      </c>
      <c r="BD287" s="6">
        <f t="shared" ref="BD287:BD340" si="3810">BC287</f>
        <v>0</v>
      </c>
      <c r="BE287" s="6"/>
      <c r="BF287" s="6">
        <f t="shared" ref="BF287:BF340" si="3811">BD287</f>
        <v>0</v>
      </c>
      <c r="BG287" s="6">
        <f t="shared" ref="BG287:BG340" si="3812">BF287</f>
        <v>0</v>
      </c>
      <c r="BH287" s="6">
        <f t="shared" ref="BH287:BH340" si="3813">BG287</f>
        <v>0</v>
      </c>
      <c r="BI287" s="6">
        <f t="shared" ref="BI287:BI340" si="3814">BH287</f>
        <v>0</v>
      </c>
      <c r="BJ287" s="6">
        <f t="shared" ref="BJ287:BJ340" si="3815">BI287</f>
        <v>0</v>
      </c>
      <c r="BK287" s="6"/>
      <c r="BL287" s="6">
        <f t="shared" ref="BL287:BL340" si="3816">BJ287</f>
        <v>0</v>
      </c>
      <c r="BM287" s="6">
        <f t="shared" ref="BM287:BM340" si="3817">BL287</f>
        <v>0</v>
      </c>
      <c r="BN287" s="6">
        <f t="shared" ref="BN287:BN340" si="3818">BM287</f>
        <v>0</v>
      </c>
      <c r="BO287" s="6">
        <f t="shared" ref="BO287:BO340" si="3819">BN287</f>
        <v>0</v>
      </c>
      <c r="BP287" s="6">
        <f t="shared" ref="BP287:BP340" si="3820">BO287</f>
        <v>0</v>
      </c>
      <c r="BQ287" s="6"/>
      <c r="BR287" s="6">
        <f t="shared" ref="BR287:BR340" si="3821">BP287</f>
        <v>0</v>
      </c>
      <c r="BS287" s="6">
        <f t="shared" ref="BS287:BS340" si="3822">BR287</f>
        <v>0</v>
      </c>
      <c r="BT287" s="6">
        <f t="shared" ref="BT287:BT340" si="3823">BS287</f>
        <v>0</v>
      </c>
      <c r="BU287" s="6">
        <f t="shared" ref="BU287:BU340" si="3824">BT287</f>
        <v>0</v>
      </c>
      <c r="BV287" s="6">
        <f t="shared" ref="BV287:BV340" si="3825">BU287</f>
        <v>0</v>
      </c>
      <c r="BW287" s="6"/>
      <c r="BX287" s="6">
        <f t="shared" ref="BX287:BX340" si="3826">BV287</f>
        <v>0</v>
      </c>
      <c r="BY287" s="6">
        <f t="shared" ref="BY287:BY340" si="3827">BX287</f>
        <v>0</v>
      </c>
      <c r="BZ287" s="6">
        <f t="shared" ref="BZ287:BZ340" si="3828">BY287</f>
        <v>0</v>
      </c>
      <c r="CA287" s="6">
        <f t="shared" ref="CA287:CA340" si="3829">BZ287</f>
        <v>0</v>
      </c>
      <c r="CB287" s="6">
        <f t="shared" ref="CB287:CB340" si="3830">CA287</f>
        <v>0</v>
      </c>
      <c r="CC287" s="6"/>
      <c r="CD287" s="6">
        <f t="shared" ref="CD287:CD340" si="3831">CB287</f>
        <v>0</v>
      </c>
      <c r="CE287" s="6">
        <f t="shared" ref="CE287:CE340" si="3832">CD287</f>
        <v>0</v>
      </c>
      <c r="CF287" s="6">
        <f t="shared" ref="CF287:CF340" si="3833">CE287</f>
        <v>0</v>
      </c>
      <c r="CG287" s="6">
        <f t="shared" ref="CG287:CG340" si="3834">CF287</f>
        <v>0</v>
      </c>
      <c r="CH287" s="6">
        <f t="shared" ref="CH287:CH340" si="3835">CG287</f>
        <v>0</v>
      </c>
      <c r="CI287" s="6"/>
      <c r="CJ287" s="6"/>
      <c r="CK287" s="6"/>
      <c r="CL287" s="6"/>
      <c r="CM287" s="6"/>
      <c r="CN287" s="6"/>
    </row>
    <row r="288" spans="2:92" ht="12.95" hidden="1" customHeight="1" outlineLevel="1" x14ac:dyDescent="0.25">
      <c r="B288" s="2" t="s">
        <v>40</v>
      </c>
      <c r="AB288" s="25">
        <f>Capitalization!F46</f>
        <v>0</v>
      </c>
      <c r="AC288" s="25">
        <f t="shared" ref="AC288" si="3836">AB288</f>
        <v>0</v>
      </c>
      <c r="AD288" s="25">
        <f t="shared" si="3789"/>
        <v>0</v>
      </c>
      <c r="AE288" s="25">
        <f t="shared" si="3790"/>
        <v>0</v>
      </c>
      <c r="AF288" s="25">
        <f t="shared" si="3791"/>
        <v>0</v>
      </c>
      <c r="AG288" s="10"/>
      <c r="AH288" s="25">
        <f t="shared" si="3792"/>
        <v>0</v>
      </c>
      <c r="AI288" s="25">
        <f t="shared" si="3793"/>
        <v>0</v>
      </c>
      <c r="AJ288" s="25">
        <f t="shared" si="3794"/>
        <v>0</v>
      </c>
      <c r="AK288" s="25">
        <f t="shared" si="3795"/>
        <v>0</v>
      </c>
      <c r="AL288" s="25">
        <f t="shared" si="3796"/>
        <v>0</v>
      </c>
      <c r="AM288" s="10"/>
      <c r="AN288" s="25">
        <f t="shared" si="3797"/>
        <v>0</v>
      </c>
      <c r="AO288" s="261">
        <f t="shared" si="3798"/>
        <v>0</v>
      </c>
      <c r="AP288" s="25">
        <f t="shared" si="3799"/>
        <v>0</v>
      </c>
      <c r="AQ288" s="261">
        <f t="shared" si="3800"/>
        <v>0</v>
      </c>
      <c r="AR288" s="261">
        <f t="shared" si="3801"/>
        <v>0</v>
      </c>
      <c r="AS288" s="10"/>
      <c r="AT288" s="25">
        <f t="shared" si="3802"/>
        <v>0</v>
      </c>
      <c r="AU288" s="261">
        <f t="shared" si="3803"/>
        <v>0</v>
      </c>
      <c r="AV288" s="261">
        <f t="shared" si="3804"/>
        <v>0</v>
      </c>
      <c r="AW288" s="363">
        <f t="shared" si="3805"/>
        <v>0</v>
      </c>
      <c r="AX288" s="25">
        <f t="shared" si="3806"/>
        <v>0</v>
      </c>
      <c r="AY288" s="10"/>
      <c r="AZ288" s="25">
        <f t="shared" si="3781"/>
        <v>0</v>
      </c>
      <c r="BA288" s="25">
        <f t="shared" si="3807"/>
        <v>0</v>
      </c>
      <c r="BB288" s="25">
        <f t="shared" si="3808"/>
        <v>0</v>
      </c>
      <c r="BC288" s="25">
        <f t="shared" si="3809"/>
        <v>0</v>
      </c>
      <c r="BD288" s="25">
        <f t="shared" si="3810"/>
        <v>0</v>
      </c>
      <c r="BE288" s="10"/>
      <c r="BF288" s="25">
        <f t="shared" si="3811"/>
        <v>0</v>
      </c>
      <c r="BG288" s="25">
        <f t="shared" si="3812"/>
        <v>0</v>
      </c>
      <c r="BH288" s="25">
        <f t="shared" si="3813"/>
        <v>0</v>
      </c>
      <c r="BI288" s="25">
        <f t="shared" si="3814"/>
        <v>0</v>
      </c>
      <c r="BJ288" s="25">
        <f t="shared" si="3815"/>
        <v>0</v>
      </c>
      <c r="BK288" s="10"/>
      <c r="BL288" s="25">
        <f t="shared" si="3816"/>
        <v>0</v>
      </c>
      <c r="BM288" s="25">
        <f t="shared" si="3817"/>
        <v>0</v>
      </c>
      <c r="BN288" s="25">
        <f t="shared" si="3818"/>
        <v>0</v>
      </c>
      <c r="BO288" s="25">
        <f t="shared" si="3819"/>
        <v>0</v>
      </c>
      <c r="BP288" s="25">
        <f t="shared" si="3820"/>
        <v>0</v>
      </c>
      <c r="BQ288" s="10"/>
      <c r="BR288" s="25">
        <f t="shared" si="3821"/>
        <v>0</v>
      </c>
      <c r="BS288" s="25">
        <f t="shared" si="3822"/>
        <v>0</v>
      </c>
      <c r="BT288" s="25">
        <f t="shared" si="3823"/>
        <v>0</v>
      </c>
      <c r="BU288" s="25">
        <f t="shared" si="3824"/>
        <v>0</v>
      </c>
      <c r="BV288" s="25">
        <f t="shared" si="3825"/>
        <v>0</v>
      </c>
      <c r="BW288" s="10"/>
      <c r="BX288" s="25">
        <f t="shared" si="3826"/>
        <v>0</v>
      </c>
      <c r="BY288" s="25">
        <f t="shared" si="3827"/>
        <v>0</v>
      </c>
      <c r="BZ288" s="25">
        <f t="shared" si="3828"/>
        <v>0</v>
      </c>
      <c r="CA288" s="25">
        <f t="shared" si="3829"/>
        <v>0</v>
      </c>
      <c r="CB288" s="25">
        <f t="shared" si="3830"/>
        <v>0</v>
      </c>
      <c r="CC288" s="10"/>
      <c r="CD288" s="25">
        <f t="shared" si="3831"/>
        <v>0</v>
      </c>
      <c r="CE288" s="25">
        <f t="shared" si="3832"/>
        <v>0</v>
      </c>
      <c r="CF288" s="25">
        <f t="shared" si="3833"/>
        <v>0</v>
      </c>
      <c r="CG288" s="25">
        <f t="shared" si="3834"/>
        <v>0</v>
      </c>
      <c r="CH288" s="25">
        <f t="shared" si="3835"/>
        <v>0</v>
      </c>
      <c r="CI288" s="10"/>
      <c r="CJ288" s="25"/>
      <c r="CK288" s="25"/>
      <c r="CL288" s="25"/>
      <c r="CM288" s="25"/>
      <c r="CN288" s="25"/>
    </row>
    <row r="289" spans="2:92" ht="12.95" hidden="1" customHeight="1" outlineLevel="1" x14ac:dyDescent="0.25">
      <c r="B289" s="2">
        <f>Capitalization!B47</f>
        <v>0</v>
      </c>
      <c r="AB289" s="6">
        <f>Capitalization!E47</f>
        <v>0</v>
      </c>
      <c r="AC289" s="6">
        <f>AB289</f>
        <v>0</v>
      </c>
      <c r="AD289" s="6">
        <f t="shared" si="3789"/>
        <v>0</v>
      </c>
      <c r="AE289" s="6">
        <f t="shared" si="3790"/>
        <v>0</v>
      </c>
      <c r="AF289" s="6">
        <f t="shared" si="3791"/>
        <v>0</v>
      </c>
      <c r="AG289" s="6"/>
      <c r="AH289" s="6">
        <f t="shared" si="3792"/>
        <v>0</v>
      </c>
      <c r="AI289" s="6">
        <f t="shared" si="3793"/>
        <v>0</v>
      </c>
      <c r="AJ289" s="6">
        <f t="shared" si="3794"/>
        <v>0</v>
      </c>
      <c r="AK289" s="6">
        <f t="shared" si="3795"/>
        <v>0</v>
      </c>
      <c r="AL289" s="6">
        <f t="shared" si="3796"/>
        <v>0</v>
      </c>
      <c r="AM289" s="6"/>
      <c r="AN289" s="6">
        <f t="shared" si="3797"/>
        <v>0</v>
      </c>
      <c r="AO289" s="243">
        <f t="shared" si="3798"/>
        <v>0</v>
      </c>
      <c r="AP289" s="6">
        <f t="shared" si="3799"/>
        <v>0</v>
      </c>
      <c r="AQ289" s="243">
        <f t="shared" si="3800"/>
        <v>0</v>
      </c>
      <c r="AR289" s="243">
        <f t="shared" si="3801"/>
        <v>0</v>
      </c>
      <c r="AS289" s="6"/>
      <c r="AT289" s="6">
        <f t="shared" si="3802"/>
        <v>0</v>
      </c>
      <c r="AU289" s="243">
        <f t="shared" si="3803"/>
        <v>0</v>
      </c>
      <c r="AV289" s="243">
        <f t="shared" si="3804"/>
        <v>0</v>
      </c>
      <c r="AW289" s="164">
        <f t="shared" si="3805"/>
        <v>0</v>
      </c>
      <c r="AX289" s="6">
        <f t="shared" si="3806"/>
        <v>0</v>
      </c>
      <c r="AY289" s="6"/>
      <c r="AZ289" s="6">
        <f t="shared" si="3781"/>
        <v>0</v>
      </c>
      <c r="BA289" s="6">
        <f t="shared" si="3807"/>
        <v>0</v>
      </c>
      <c r="BB289" s="6">
        <f t="shared" si="3808"/>
        <v>0</v>
      </c>
      <c r="BC289" s="6">
        <f t="shared" si="3809"/>
        <v>0</v>
      </c>
      <c r="BD289" s="6">
        <f t="shared" si="3810"/>
        <v>0</v>
      </c>
      <c r="BE289" s="6"/>
      <c r="BF289" s="6">
        <f t="shared" si="3811"/>
        <v>0</v>
      </c>
      <c r="BG289" s="6">
        <f t="shared" si="3812"/>
        <v>0</v>
      </c>
      <c r="BH289" s="6">
        <f t="shared" si="3813"/>
        <v>0</v>
      </c>
      <c r="BI289" s="6">
        <f t="shared" si="3814"/>
        <v>0</v>
      </c>
      <c r="BJ289" s="6">
        <f t="shared" si="3815"/>
        <v>0</v>
      </c>
      <c r="BK289" s="6"/>
      <c r="BL289" s="6">
        <f t="shared" si="3816"/>
        <v>0</v>
      </c>
      <c r="BM289" s="6">
        <f t="shared" si="3817"/>
        <v>0</v>
      </c>
      <c r="BN289" s="6">
        <f t="shared" si="3818"/>
        <v>0</v>
      </c>
      <c r="BO289" s="6">
        <f t="shared" si="3819"/>
        <v>0</v>
      </c>
      <c r="BP289" s="6">
        <f t="shared" si="3820"/>
        <v>0</v>
      </c>
      <c r="BQ289" s="6"/>
      <c r="BR289" s="6">
        <f t="shared" si="3821"/>
        <v>0</v>
      </c>
      <c r="BS289" s="6">
        <f t="shared" si="3822"/>
        <v>0</v>
      </c>
      <c r="BT289" s="6">
        <f t="shared" si="3823"/>
        <v>0</v>
      </c>
      <c r="BU289" s="6">
        <f t="shared" si="3824"/>
        <v>0</v>
      </c>
      <c r="BV289" s="6">
        <f t="shared" si="3825"/>
        <v>0</v>
      </c>
      <c r="BW289" s="6"/>
      <c r="BX289" s="6">
        <f t="shared" si="3826"/>
        <v>0</v>
      </c>
      <c r="BY289" s="6">
        <f t="shared" si="3827"/>
        <v>0</v>
      </c>
      <c r="BZ289" s="6">
        <f t="shared" si="3828"/>
        <v>0</v>
      </c>
      <c r="CA289" s="6">
        <f t="shared" si="3829"/>
        <v>0</v>
      </c>
      <c r="CB289" s="6">
        <f t="shared" si="3830"/>
        <v>0</v>
      </c>
      <c r="CC289" s="6"/>
      <c r="CD289" s="6">
        <f t="shared" si="3831"/>
        <v>0</v>
      </c>
      <c r="CE289" s="6">
        <f t="shared" si="3832"/>
        <v>0</v>
      </c>
      <c r="CF289" s="6">
        <f t="shared" si="3833"/>
        <v>0</v>
      </c>
      <c r="CG289" s="6">
        <f t="shared" si="3834"/>
        <v>0</v>
      </c>
      <c r="CH289" s="6">
        <f t="shared" si="3835"/>
        <v>0</v>
      </c>
      <c r="CI289" s="6"/>
      <c r="CJ289" s="6"/>
      <c r="CK289" s="6"/>
      <c r="CL289" s="6"/>
      <c r="CM289" s="6"/>
      <c r="CN289" s="6"/>
    </row>
    <row r="290" spans="2:92" ht="12.95" hidden="1" customHeight="1" outlineLevel="1" x14ac:dyDescent="0.25">
      <c r="B290" s="2" t="s">
        <v>40</v>
      </c>
      <c r="AB290" s="25">
        <f>Capitalization!F47</f>
        <v>0</v>
      </c>
      <c r="AC290" s="25">
        <f t="shared" ref="AC290" si="3837">AB290</f>
        <v>0</v>
      </c>
      <c r="AD290" s="25">
        <f t="shared" si="3789"/>
        <v>0</v>
      </c>
      <c r="AE290" s="25">
        <f t="shared" si="3790"/>
        <v>0</v>
      </c>
      <c r="AF290" s="25">
        <f t="shared" si="3791"/>
        <v>0</v>
      </c>
      <c r="AG290" s="10"/>
      <c r="AH290" s="25">
        <f t="shared" si="3792"/>
        <v>0</v>
      </c>
      <c r="AI290" s="25">
        <f t="shared" si="3793"/>
        <v>0</v>
      </c>
      <c r="AJ290" s="25">
        <f t="shared" si="3794"/>
        <v>0</v>
      </c>
      <c r="AK290" s="25">
        <f t="shared" si="3795"/>
        <v>0</v>
      </c>
      <c r="AL290" s="25">
        <f t="shared" si="3796"/>
        <v>0</v>
      </c>
      <c r="AM290" s="10"/>
      <c r="AN290" s="25">
        <f t="shared" si="3797"/>
        <v>0</v>
      </c>
      <c r="AO290" s="261">
        <f t="shared" si="3798"/>
        <v>0</v>
      </c>
      <c r="AP290" s="25">
        <f t="shared" si="3799"/>
        <v>0</v>
      </c>
      <c r="AQ290" s="261">
        <f t="shared" si="3800"/>
        <v>0</v>
      </c>
      <c r="AR290" s="261">
        <f t="shared" si="3801"/>
        <v>0</v>
      </c>
      <c r="AS290" s="10"/>
      <c r="AT290" s="25">
        <f t="shared" si="3802"/>
        <v>0</v>
      </c>
      <c r="AU290" s="261">
        <f t="shared" si="3803"/>
        <v>0</v>
      </c>
      <c r="AV290" s="261">
        <f t="shared" si="3804"/>
        <v>0</v>
      </c>
      <c r="AW290" s="363">
        <f t="shared" si="3805"/>
        <v>0</v>
      </c>
      <c r="AX290" s="25">
        <f t="shared" si="3806"/>
        <v>0</v>
      </c>
      <c r="AY290" s="10"/>
      <c r="AZ290" s="25">
        <f t="shared" si="3781"/>
        <v>0</v>
      </c>
      <c r="BA290" s="25">
        <f t="shared" si="3807"/>
        <v>0</v>
      </c>
      <c r="BB290" s="25">
        <f t="shared" si="3808"/>
        <v>0</v>
      </c>
      <c r="BC290" s="25">
        <f t="shared" si="3809"/>
        <v>0</v>
      </c>
      <c r="BD290" s="25">
        <f t="shared" si="3810"/>
        <v>0</v>
      </c>
      <c r="BE290" s="10"/>
      <c r="BF290" s="25">
        <f t="shared" si="3811"/>
        <v>0</v>
      </c>
      <c r="BG290" s="25">
        <f t="shared" si="3812"/>
        <v>0</v>
      </c>
      <c r="BH290" s="25">
        <f t="shared" si="3813"/>
        <v>0</v>
      </c>
      <c r="BI290" s="25">
        <f t="shared" si="3814"/>
        <v>0</v>
      </c>
      <c r="BJ290" s="25">
        <f t="shared" si="3815"/>
        <v>0</v>
      </c>
      <c r="BK290" s="10"/>
      <c r="BL290" s="25">
        <f t="shared" si="3816"/>
        <v>0</v>
      </c>
      <c r="BM290" s="25">
        <f t="shared" si="3817"/>
        <v>0</v>
      </c>
      <c r="BN290" s="25">
        <f t="shared" si="3818"/>
        <v>0</v>
      </c>
      <c r="BO290" s="25">
        <f t="shared" si="3819"/>
        <v>0</v>
      </c>
      <c r="BP290" s="25">
        <f t="shared" si="3820"/>
        <v>0</v>
      </c>
      <c r="BQ290" s="10"/>
      <c r="BR290" s="25">
        <f t="shared" si="3821"/>
        <v>0</v>
      </c>
      <c r="BS290" s="25">
        <f t="shared" si="3822"/>
        <v>0</v>
      </c>
      <c r="BT290" s="25">
        <f t="shared" si="3823"/>
        <v>0</v>
      </c>
      <c r="BU290" s="25">
        <f t="shared" si="3824"/>
        <v>0</v>
      </c>
      <c r="BV290" s="25">
        <f t="shared" si="3825"/>
        <v>0</v>
      </c>
      <c r="BW290" s="10"/>
      <c r="BX290" s="25">
        <f t="shared" si="3826"/>
        <v>0</v>
      </c>
      <c r="BY290" s="25">
        <f t="shared" si="3827"/>
        <v>0</v>
      </c>
      <c r="BZ290" s="25">
        <f t="shared" si="3828"/>
        <v>0</v>
      </c>
      <c r="CA290" s="25">
        <f t="shared" si="3829"/>
        <v>0</v>
      </c>
      <c r="CB290" s="25">
        <f t="shared" si="3830"/>
        <v>0</v>
      </c>
      <c r="CC290" s="10"/>
      <c r="CD290" s="25">
        <f t="shared" si="3831"/>
        <v>0</v>
      </c>
      <c r="CE290" s="25">
        <f t="shared" si="3832"/>
        <v>0</v>
      </c>
      <c r="CF290" s="25">
        <f t="shared" si="3833"/>
        <v>0</v>
      </c>
      <c r="CG290" s="25">
        <f t="shared" si="3834"/>
        <v>0</v>
      </c>
      <c r="CH290" s="25">
        <f t="shared" si="3835"/>
        <v>0</v>
      </c>
      <c r="CI290" s="10"/>
      <c r="CJ290" s="25"/>
      <c r="CK290" s="25"/>
      <c r="CL290" s="25"/>
      <c r="CM290" s="25"/>
      <c r="CN290" s="25"/>
    </row>
    <row r="291" spans="2:92" ht="12.95" hidden="1" customHeight="1" outlineLevel="1" x14ac:dyDescent="0.25">
      <c r="B291" s="2">
        <f>Capitalization!B48</f>
        <v>0</v>
      </c>
      <c r="AB291" s="6">
        <f>Capitalization!E48</f>
        <v>0</v>
      </c>
      <c r="AC291" s="6">
        <f>AB291</f>
        <v>0</v>
      </c>
      <c r="AD291" s="6">
        <f t="shared" si="3789"/>
        <v>0</v>
      </c>
      <c r="AE291" s="6">
        <f t="shared" si="3790"/>
        <v>0</v>
      </c>
      <c r="AF291" s="6">
        <f t="shared" si="3791"/>
        <v>0</v>
      </c>
      <c r="AG291" s="6"/>
      <c r="AH291" s="6">
        <f t="shared" si="3792"/>
        <v>0</v>
      </c>
      <c r="AI291" s="6">
        <f t="shared" si="3793"/>
        <v>0</v>
      </c>
      <c r="AJ291" s="6">
        <f t="shared" si="3794"/>
        <v>0</v>
      </c>
      <c r="AK291" s="6">
        <f t="shared" si="3795"/>
        <v>0</v>
      </c>
      <c r="AL291" s="6">
        <f t="shared" si="3796"/>
        <v>0</v>
      </c>
      <c r="AM291" s="6"/>
      <c r="AN291" s="6">
        <f t="shared" si="3797"/>
        <v>0</v>
      </c>
      <c r="AO291" s="243">
        <f t="shared" si="3798"/>
        <v>0</v>
      </c>
      <c r="AP291" s="6">
        <f t="shared" si="3799"/>
        <v>0</v>
      </c>
      <c r="AQ291" s="243">
        <f t="shared" si="3800"/>
        <v>0</v>
      </c>
      <c r="AR291" s="243">
        <f t="shared" si="3801"/>
        <v>0</v>
      </c>
      <c r="AS291" s="6"/>
      <c r="AT291" s="6">
        <f t="shared" si="3802"/>
        <v>0</v>
      </c>
      <c r="AU291" s="243">
        <f t="shared" si="3803"/>
        <v>0</v>
      </c>
      <c r="AV291" s="243">
        <f t="shared" si="3804"/>
        <v>0</v>
      </c>
      <c r="AW291" s="164">
        <f t="shared" si="3805"/>
        <v>0</v>
      </c>
      <c r="AX291" s="6">
        <f t="shared" si="3806"/>
        <v>0</v>
      </c>
      <c r="AY291" s="6"/>
      <c r="AZ291" s="6">
        <f t="shared" si="3781"/>
        <v>0</v>
      </c>
      <c r="BA291" s="6">
        <f t="shared" si="3807"/>
        <v>0</v>
      </c>
      <c r="BB291" s="6">
        <f t="shared" si="3808"/>
        <v>0</v>
      </c>
      <c r="BC291" s="6">
        <f t="shared" si="3809"/>
        <v>0</v>
      </c>
      <c r="BD291" s="6">
        <f t="shared" si="3810"/>
        <v>0</v>
      </c>
      <c r="BE291" s="6"/>
      <c r="BF291" s="6">
        <f t="shared" si="3811"/>
        <v>0</v>
      </c>
      <c r="BG291" s="6">
        <f t="shared" si="3812"/>
        <v>0</v>
      </c>
      <c r="BH291" s="6">
        <f t="shared" si="3813"/>
        <v>0</v>
      </c>
      <c r="BI291" s="6">
        <f t="shared" si="3814"/>
        <v>0</v>
      </c>
      <c r="BJ291" s="6">
        <f t="shared" si="3815"/>
        <v>0</v>
      </c>
      <c r="BK291" s="6"/>
      <c r="BL291" s="6">
        <f t="shared" si="3816"/>
        <v>0</v>
      </c>
      <c r="BM291" s="6">
        <f t="shared" si="3817"/>
        <v>0</v>
      </c>
      <c r="BN291" s="6">
        <f t="shared" si="3818"/>
        <v>0</v>
      </c>
      <c r="BO291" s="6">
        <f t="shared" si="3819"/>
        <v>0</v>
      </c>
      <c r="BP291" s="6">
        <f t="shared" si="3820"/>
        <v>0</v>
      </c>
      <c r="BQ291" s="6"/>
      <c r="BR291" s="6">
        <f t="shared" si="3821"/>
        <v>0</v>
      </c>
      <c r="BS291" s="6">
        <f t="shared" si="3822"/>
        <v>0</v>
      </c>
      <c r="BT291" s="6">
        <f t="shared" si="3823"/>
        <v>0</v>
      </c>
      <c r="BU291" s="6">
        <f t="shared" si="3824"/>
        <v>0</v>
      </c>
      <c r="BV291" s="6">
        <f t="shared" si="3825"/>
        <v>0</v>
      </c>
      <c r="BW291" s="6"/>
      <c r="BX291" s="6">
        <f t="shared" si="3826"/>
        <v>0</v>
      </c>
      <c r="BY291" s="6">
        <f t="shared" si="3827"/>
        <v>0</v>
      </c>
      <c r="BZ291" s="6">
        <f t="shared" si="3828"/>
        <v>0</v>
      </c>
      <c r="CA291" s="6">
        <f t="shared" si="3829"/>
        <v>0</v>
      </c>
      <c r="CB291" s="6">
        <f t="shared" si="3830"/>
        <v>0</v>
      </c>
      <c r="CC291" s="6"/>
      <c r="CD291" s="6">
        <f t="shared" si="3831"/>
        <v>0</v>
      </c>
      <c r="CE291" s="6">
        <f t="shared" si="3832"/>
        <v>0</v>
      </c>
      <c r="CF291" s="6">
        <f t="shared" si="3833"/>
        <v>0</v>
      </c>
      <c r="CG291" s="6">
        <f t="shared" si="3834"/>
        <v>0</v>
      </c>
      <c r="CH291" s="6">
        <f t="shared" si="3835"/>
        <v>0</v>
      </c>
      <c r="CI291" s="6"/>
      <c r="CJ291" s="6"/>
      <c r="CK291" s="6"/>
      <c r="CL291" s="6"/>
      <c r="CM291" s="6"/>
      <c r="CN291" s="6"/>
    </row>
    <row r="292" spans="2:92" ht="12.95" hidden="1" customHeight="1" outlineLevel="1" x14ac:dyDescent="0.25">
      <c r="B292" s="2" t="s">
        <v>40</v>
      </c>
      <c r="AB292" s="25">
        <f>Capitalization!F48</f>
        <v>0</v>
      </c>
      <c r="AC292" s="25">
        <f t="shared" ref="AC292" si="3838">AB292</f>
        <v>0</v>
      </c>
      <c r="AD292" s="25">
        <f t="shared" si="3789"/>
        <v>0</v>
      </c>
      <c r="AE292" s="25">
        <f t="shared" si="3790"/>
        <v>0</v>
      </c>
      <c r="AF292" s="25">
        <f t="shared" si="3791"/>
        <v>0</v>
      </c>
      <c r="AG292" s="10"/>
      <c r="AH292" s="25">
        <f t="shared" si="3792"/>
        <v>0</v>
      </c>
      <c r="AI292" s="25">
        <f t="shared" si="3793"/>
        <v>0</v>
      </c>
      <c r="AJ292" s="25">
        <f t="shared" si="3794"/>
        <v>0</v>
      </c>
      <c r="AK292" s="25">
        <f t="shared" si="3795"/>
        <v>0</v>
      </c>
      <c r="AL292" s="25">
        <f t="shared" si="3796"/>
        <v>0</v>
      </c>
      <c r="AM292" s="10"/>
      <c r="AN292" s="25">
        <f t="shared" si="3797"/>
        <v>0</v>
      </c>
      <c r="AO292" s="261">
        <f t="shared" si="3798"/>
        <v>0</v>
      </c>
      <c r="AP292" s="25">
        <f t="shared" si="3799"/>
        <v>0</v>
      </c>
      <c r="AQ292" s="261">
        <f t="shared" si="3800"/>
        <v>0</v>
      </c>
      <c r="AR292" s="261">
        <f t="shared" si="3801"/>
        <v>0</v>
      </c>
      <c r="AS292" s="10"/>
      <c r="AT292" s="25">
        <f t="shared" si="3802"/>
        <v>0</v>
      </c>
      <c r="AU292" s="261">
        <f t="shared" si="3803"/>
        <v>0</v>
      </c>
      <c r="AV292" s="261">
        <f t="shared" si="3804"/>
        <v>0</v>
      </c>
      <c r="AW292" s="363">
        <f t="shared" si="3805"/>
        <v>0</v>
      </c>
      <c r="AX292" s="25">
        <f t="shared" si="3806"/>
        <v>0</v>
      </c>
      <c r="AY292" s="10"/>
      <c r="AZ292" s="25">
        <f t="shared" si="3781"/>
        <v>0</v>
      </c>
      <c r="BA292" s="25">
        <f t="shared" si="3807"/>
        <v>0</v>
      </c>
      <c r="BB292" s="25">
        <f t="shared" si="3808"/>
        <v>0</v>
      </c>
      <c r="BC292" s="25">
        <f t="shared" si="3809"/>
        <v>0</v>
      </c>
      <c r="BD292" s="25">
        <f t="shared" si="3810"/>
        <v>0</v>
      </c>
      <c r="BE292" s="10"/>
      <c r="BF292" s="25">
        <f t="shared" si="3811"/>
        <v>0</v>
      </c>
      <c r="BG292" s="25">
        <f t="shared" si="3812"/>
        <v>0</v>
      </c>
      <c r="BH292" s="25">
        <f t="shared" si="3813"/>
        <v>0</v>
      </c>
      <c r="BI292" s="25">
        <f t="shared" si="3814"/>
        <v>0</v>
      </c>
      <c r="BJ292" s="25">
        <f t="shared" si="3815"/>
        <v>0</v>
      </c>
      <c r="BK292" s="10"/>
      <c r="BL292" s="25">
        <f t="shared" si="3816"/>
        <v>0</v>
      </c>
      <c r="BM292" s="25">
        <f t="shared" si="3817"/>
        <v>0</v>
      </c>
      <c r="BN292" s="25">
        <f t="shared" si="3818"/>
        <v>0</v>
      </c>
      <c r="BO292" s="25">
        <f t="shared" si="3819"/>
        <v>0</v>
      </c>
      <c r="BP292" s="25">
        <f t="shared" si="3820"/>
        <v>0</v>
      </c>
      <c r="BQ292" s="10"/>
      <c r="BR292" s="25">
        <f t="shared" si="3821"/>
        <v>0</v>
      </c>
      <c r="BS292" s="25">
        <f t="shared" si="3822"/>
        <v>0</v>
      </c>
      <c r="BT292" s="25">
        <f t="shared" si="3823"/>
        <v>0</v>
      </c>
      <c r="BU292" s="25">
        <f t="shared" si="3824"/>
        <v>0</v>
      </c>
      <c r="BV292" s="25">
        <f t="shared" si="3825"/>
        <v>0</v>
      </c>
      <c r="BW292" s="10"/>
      <c r="BX292" s="25">
        <f t="shared" si="3826"/>
        <v>0</v>
      </c>
      <c r="BY292" s="25">
        <f t="shared" si="3827"/>
        <v>0</v>
      </c>
      <c r="BZ292" s="25">
        <f t="shared" si="3828"/>
        <v>0</v>
      </c>
      <c r="CA292" s="25">
        <f t="shared" si="3829"/>
        <v>0</v>
      </c>
      <c r="CB292" s="25">
        <f t="shared" si="3830"/>
        <v>0</v>
      </c>
      <c r="CC292" s="10"/>
      <c r="CD292" s="25">
        <f t="shared" si="3831"/>
        <v>0</v>
      </c>
      <c r="CE292" s="25">
        <f t="shared" si="3832"/>
        <v>0</v>
      </c>
      <c r="CF292" s="25">
        <f t="shared" si="3833"/>
        <v>0</v>
      </c>
      <c r="CG292" s="25">
        <f t="shared" si="3834"/>
        <v>0</v>
      </c>
      <c r="CH292" s="25">
        <f t="shared" si="3835"/>
        <v>0</v>
      </c>
      <c r="CI292" s="10"/>
      <c r="CJ292" s="25"/>
      <c r="CK292" s="25"/>
      <c r="CL292" s="25"/>
      <c r="CM292" s="25"/>
      <c r="CN292" s="25"/>
    </row>
    <row r="293" spans="2:92" ht="12.95" hidden="1" customHeight="1" outlineLevel="1" x14ac:dyDescent="0.25">
      <c r="B293" s="2">
        <f>Capitalization!B49</f>
        <v>0</v>
      </c>
      <c r="AB293" s="6">
        <f>Capitalization!E49</f>
        <v>0</v>
      </c>
      <c r="AC293" s="6">
        <f>AB293</f>
        <v>0</v>
      </c>
      <c r="AD293" s="6">
        <f t="shared" si="3789"/>
        <v>0</v>
      </c>
      <c r="AE293" s="6">
        <f t="shared" si="3790"/>
        <v>0</v>
      </c>
      <c r="AF293" s="6">
        <f t="shared" si="3791"/>
        <v>0</v>
      </c>
      <c r="AG293" s="6"/>
      <c r="AH293" s="6">
        <f t="shared" si="3792"/>
        <v>0</v>
      </c>
      <c r="AI293" s="6">
        <f t="shared" si="3793"/>
        <v>0</v>
      </c>
      <c r="AJ293" s="6">
        <f t="shared" si="3794"/>
        <v>0</v>
      </c>
      <c r="AK293" s="6">
        <f t="shared" si="3795"/>
        <v>0</v>
      </c>
      <c r="AL293" s="6">
        <f t="shared" si="3796"/>
        <v>0</v>
      </c>
      <c r="AM293" s="6"/>
      <c r="AN293" s="6">
        <f t="shared" si="3797"/>
        <v>0</v>
      </c>
      <c r="AO293" s="243">
        <f t="shared" si="3798"/>
        <v>0</v>
      </c>
      <c r="AP293" s="6">
        <f t="shared" si="3799"/>
        <v>0</v>
      </c>
      <c r="AQ293" s="243">
        <f t="shared" si="3800"/>
        <v>0</v>
      </c>
      <c r="AR293" s="243">
        <f t="shared" si="3801"/>
        <v>0</v>
      </c>
      <c r="AS293" s="6"/>
      <c r="AT293" s="6">
        <f t="shared" si="3802"/>
        <v>0</v>
      </c>
      <c r="AU293" s="243">
        <f t="shared" si="3803"/>
        <v>0</v>
      </c>
      <c r="AV293" s="243">
        <f t="shared" si="3804"/>
        <v>0</v>
      </c>
      <c r="AW293" s="164">
        <f t="shared" si="3805"/>
        <v>0</v>
      </c>
      <c r="AX293" s="6">
        <f t="shared" si="3806"/>
        <v>0</v>
      </c>
      <c r="AY293" s="6"/>
      <c r="AZ293" s="6">
        <f t="shared" si="3781"/>
        <v>0</v>
      </c>
      <c r="BA293" s="6">
        <f t="shared" si="3807"/>
        <v>0</v>
      </c>
      <c r="BB293" s="6">
        <f t="shared" si="3808"/>
        <v>0</v>
      </c>
      <c r="BC293" s="6">
        <f t="shared" si="3809"/>
        <v>0</v>
      </c>
      <c r="BD293" s="6">
        <f t="shared" si="3810"/>
        <v>0</v>
      </c>
      <c r="BE293" s="6"/>
      <c r="BF293" s="6">
        <f t="shared" si="3811"/>
        <v>0</v>
      </c>
      <c r="BG293" s="6">
        <f t="shared" si="3812"/>
        <v>0</v>
      </c>
      <c r="BH293" s="6">
        <f t="shared" si="3813"/>
        <v>0</v>
      </c>
      <c r="BI293" s="6">
        <f t="shared" si="3814"/>
        <v>0</v>
      </c>
      <c r="BJ293" s="6">
        <f t="shared" si="3815"/>
        <v>0</v>
      </c>
      <c r="BK293" s="6"/>
      <c r="BL293" s="6">
        <f t="shared" si="3816"/>
        <v>0</v>
      </c>
      <c r="BM293" s="6">
        <f t="shared" si="3817"/>
        <v>0</v>
      </c>
      <c r="BN293" s="6">
        <f t="shared" si="3818"/>
        <v>0</v>
      </c>
      <c r="BO293" s="6">
        <f t="shared" si="3819"/>
        <v>0</v>
      </c>
      <c r="BP293" s="6">
        <f t="shared" si="3820"/>
        <v>0</v>
      </c>
      <c r="BQ293" s="6"/>
      <c r="BR293" s="6">
        <f t="shared" si="3821"/>
        <v>0</v>
      </c>
      <c r="BS293" s="6">
        <f t="shared" si="3822"/>
        <v>0</v>
      </c>
      <c r="BT293" s="6">
        <f t="shared" si="3823"/>
        <v>0</v>
      </c>
      <c r="BU293" s="6">
        <f t="shared" si="3824"/>
        <v>0</v>
      </c>
      <c r="BV293" s="6">
        <f t="shared" si="3825"/>
        <v>0</v>
      </c>
      <c r="BW293" s="6"/>
      <c r="BX293" s="6">
        <f t="shared" si="3826"/>
        <v>0</v>
      </c>
      <c r="BY293" s="6">
        <f t="shared" si="3827"/>
        <v>0</v>
      </c>
      <c r="BZ293" s="6">
        <f t="shared" si="3828"/>
        <v>0</v>
      </c>
      <c r="CA293" s="6">
        <f t="shared" si="3829"/>
        <v>0</v>
      </c>
      <c r="CB293" s="6">
        <f t="shared" si="3830"/>
        <v>0</v>
      </c>
      <c r="CC293" s="6"/>
      <c r="CD293" s="6">
        <f t="shared" si="3831"/>
        <v>0</v>
      </c>
      <c r="CE293" s="6">
        <f t="shared" si="3832"/>
        <v>0</v>
      </c>
      <c r="CF293" s="6">
        <f t="shared" si="3833"/>
        <v>0</v>
      </c>
      <c r="CG293" s="6">
        <f t="shared" si="3834"/>
        <v>0</v>
      </c>
      <c r="CH293" s="6">
        <f t="shared" si="3835"/>
        <v>0</v>
      </c>
      <c r="CI293" s="6"/>
      <c r="CJ293" s="6"/>
      <c r="CK293" s="6"/>
      <c r="CL293" s="6"/>
      <c r="CM293" s="6"/>
      <c r="CN293" s="6"/>
    </row>
    <row r="294" spans="2:92" ht="12.95" hidden="1" customHeight="1" outlineLevel="1" x14ac:dyDescent="0.25">
      <c r="B294" s="2" t="s">
        <v>40</v>
      </c>
      <c r="AB294" s="25">
        <f>Capitalization!F49</f>
        <v>0</v>
      </c>
      <c r="AC294" s="25">
        <f t="shared" ref="AC294" si="3839">AB294</f>
        <v>0</v>
      </c>
      <c r="AD294" s="25">
        <f t="shared" si="3789"/>
        <v>0</v>
      </c>
      <c r="AE294" s="25">
        <f t="shared" si="3790"/>
        <v>0</v>
      </c>
      <c r="AF294" s="25">
        <f t="shared" si="3791"/>
        <v>0</v>
      </c>
      <c r="AG294" s="10"/>
      <c r="AH294" s="25">
        <f t="shared" si="3792"/>
        <v>0</v>
      </c>
      <c r="AI294" s="25">
        <f t="shared" si="3793"/>
        <v>0</v>
      </c>
      <c r="AJ294" s="25">
        <f t="shared" si="3794"/>
        <v>0</v>
      </c>
      <c r="AK294" s="25">
        <f t="shared" si="3795"/>
        <v>0</v>
      </c>
      <c r="AL294" s="25">
        <f t="shared" si="3796"/>
        <v>0</v>
      </c>
      <c r="AM294" s="10"/>
      <c r="AN294" s="25">
        <f t="shared" si="3797"/>
        <v>0</v>
      </c>
      <c r="AO294" s="261">
        <f t="shared" si="3798"/>
        <v>0</v>
      </c>
      <c r="AP294" s="25">
        <f t="shared" si="3799"/>
        <v>0</v>
      </c>
      <c r="AQ294" s="261">
        <f t="shared" si="3800"/>
        <v>0</v>
      </c>
      <c r="AR294" s="261">
        <f t="shared" si="3801"/>
        <v>0</v>
      </c>
      <c r="AS294" s="10"/>
      <c r="AT294" s="25">
        <f t="shared" si="3802"/>
        <v>0</v>
      </c>
      <c r="AU294" s="261">
        <f t="shared" si="3803"/>
        <v>0</v>
      </c>
      <c r="AV294" s="261">
        <f t="shared" si="3804"/>
        <v>0</v>
      </c>
      <c r="AW294" s="363">
        <f t="shared" si="3805"/>
        <v>0</v>
      </c>
      <c r="AX294" s="25">
        <f t="shared" si="3806"/>
        <v>0</v>
      </c>
      <c r="AY294" s="10"/>
      <c r="AZ294" s="25">
        <f t="shared" si="3781"/>
        <v>0</v>
      </c>
      <c r="BA294" s="25">
        <f t="shared" si="3807"/>
        <v>0</v>
      </c>
      <c r="BB294" s="25">
        <f t="shared" si="3808"/>
        <v>0</v>
      </c>
      <c r="BC294" s="25">
        <f t="shared" si="3809"/>
        <v>0</v>
      </c>
      <c r="BD294" s="25">
        <f t="shared" si="3810"/>
        <v>0</v>
      </c>
      <c r="BE294" s="10"/>
      <c r="BF294" s="25">
        <f t="shared" si="3811"/>
        <v>0</v>
      </c>
      <c r="BG294" s="25">
        <f t="shared" si="3812"/>
        <v>0</v>
      </c>
      <c r="BH294" s="25">
        <f t="shared" si="3813"/>
        <v>0</v>
      </c>
      <c r="BI294" s="25">
        <f t="shared" si="3814"/>
        <v>0</v>
      </c>
      <c r="BJ294" s="25">
        <f t="shared" si="3815"/>
        <v>0</v>
      </c>
      <c r="BK294" s="10"/>
      <c r="BL294" s="25">
        <f t="shared" si="3816"/>
        <v>0</v>
      </c>
      <c r="BM294" s="25">
        <f t="shared" si="3817"/>
        <v>0</v>
      </c>
      <c r="BN294" s="25">
        <f t="shared" si="3818"/>
        <v>0</v>
      </c>
      <c r="BO294" s="25">
        <f t="shared" si="3819"/>
        <v>0</v>
      </c>
      <c r="BP294" s="25">
        <f t="shared" si="3820"/>
        <v>0</v>
      </c>
      <c r="BQ294" s="10"/>
      <c r="BR294" s="25">
        <f t="shared" si="3821"/>
        <v>0</v>
      </c>
      <c r="BS294" s="25">
        <f t="shared" si="3822"/>
        <v>0</v>
      </c>
      <c r="BT294" s="25">
        <f t="shared" si="3823"/>
        <v>0</v>
      </c>
      <c r="BU294" s="25">
        <f t="shared" si="3824"/>
        <v>0</v>
      </c>
      <c r="BV294" s="25">
        <f t="shared" si="3825"/>
        <v>0</v>
      </c>
      <c r="BW294" s="10"/>
      <c r="BX294" s="25">
        <f t="shared" si="3826"/>
        <v>0</v>
      </c>
      <c r="BY294" s="25">
        <f t="shared" si="3827"/>
        <v>0</v>
      </c>
      <c r="BZ294" s="25">
        <f t="shared" si="3828"/>
        <v>0</v>
      </c>
      <c r="CA294" s="25">
        <f t="shared" si="3829"/>
        <v>0</v>
      </c>
      <c r="CB294" s="25">
        <f t="shared" si="3830"/>
        <v>0</v>
      </c>
      <c r="CC294" s="10"/>
      <c r="CD294" s="25">
        <f t="shared" si="3831"/>
        <v>0</v>
      </c>
      <c r="CE294" s="25">
        <f t="shared" si="3832"/>
        <v>0</v>
      </c>
      <c r="CF294" s="25">
        <f t="shared" si="3833"/>
        <v>0</v>
      </c>
      <c r="CG294" s="25">
        <f t="shared" si="3834"/>
        <v>0</v>
      </c>
      <c r="CH294" s="25">
        <f t="shared" si="3835"/>
        <v>0</v>
      </c>
      <c r="CI294" s="10"/>
      <c r="CJ294" s="25"/>
      <c r="CK294" s="25"/>
      <c r="CL294" s="25"/>
      <c r="CM294" s="25"/>
      <c r="CN294" s="25"/>
    </row>
    <row r="295" spans="2:92" ht="12.95" hidden="1" customHeight="1" outlineLevel="1" x14ac:dyDescent="0.25">
      <c r="B295" s="2">
        <f>Capitalization!B50</f>
        <v>0</v>
      </c>
      <c r="AB295" s="6">
        <f>Capitalization!E50</f>
        <v>0</v>
      </c>
      <c r="AC295" s="6">
        <f>AB295</f>
        <v>0</v>
      </c>
      <c r="AD295" s="6">
        <f t="shared" si="3789"/>
        <v>0</v>
      </c>
      <c r="AE295" s="6">
        <f t="shared" si="3790"/>
        <v>0</v>
      </c>
      <c r="AF295" s="6">
        <f t="shared" si="3791"/>
        <v>0</v>
      </c>
      <c r="AG295" s="6"/>
      <c r="AH295" s="6">
        <f t="shared" si="3792"/>
        <v>0</v>
      </c>
      <c r="AI295" s="6">
        <f t="shared" si="3793"/>
        <v>0</v>
      </c>
      <c r="AJ295" s="6">
        <f t="shared" si="3794"/>
        <v>0</v>
      </c>
      <c r="AK295" s="6">
        <f t="shared" si="3795"/>
        <v>0</v>
      </c>
      <c r="AL295" s="6">
        <f t="shared" si="3796"/>
        <v>0</v>
      </c>
      <c r="AM295" s="6"/>
      <c r="AN295" s="6">
        <f t="shared" si="3797"/>
        <v>0</v>
      </c>
      <c r="AO295" s="243">
        <f t="shared" si="3798"/>
        <v>0</v>
      </c>
      <c r="AP295" s="6">
        <f t="shared" si="3799"/>
        <v>0</v>
      </c>
      <c r="AQ295" s="243">
        <f t="shared" si="3800"/>
        <v>0</v>
      </c>
      <c r="AR295" s="243">
        <f t="shared" si="3801"/>
        <v>0</v>
      </c>
      <c r="AS295" s="6"/>
      <c r="AT295" s="6">
        <f t="shared" si="3802"/>
        <v>0</v>
      </c>
      <c r="AU295" s="243">
        <f t="shared" si="3803"/>
        <v>0</v>
      </c>
      <c r="AV295" s="243">
        <f t="shared" si="3804"/>
        <v>0</v>
      </c>
      <c r="AW295" s="164">
        <f t="shared" si="3805"/>
        <v>0</v>
      </c>
      <c r="AX295" s="6">
        <f t="shared" si="3806"/>
        <v>0</v>
      </c>
      <c r="AY295" s="6"/>
      <c r="AZ295" s="6">
        <f t="shared" si="3781"/>
        <v>0</v>
      </c>
      <c r="BA295" s="6">
        <f t="shared" si="3807"/>
        <v>0</v>
      </c>
      <c r="BB295" s="6">
        <f t="shared" si="3808"/>
        <v>0</v>
      </c>
      <c r="BC295" s="6">
        <f t="shared" si="3809"/>
        <v>0</v>
      </c>
      <c r="BD295" s="6">
        <f t="shared" si="3810"/>
        <v>0</v>
      </c>
      <c r="BE295" s="6"/>
      <c r="BF295" s="6">
        <f t="shared" si="3811"/>
        <v>0</v>
      </c>
      <c r="BG295" s="6">
        <f t="shared" si="3812"/>
        <v>0</v>
      </c>
      <c r="BH295" s="6">
        <f t="shared" si="3813"/>
        <v>0</v>
      </c>
      <c r="BI295" s="6">
        <f t="shared" si="3814"/>
        <v>0</v>
      </c>
      <c r="BJ295" s="6">
        <f t="shared" si="3815"/>
        <v>0</v>
      </c>
      <c r="BK295" s="6"/>
      <c r="BL295" s="6">
        <f t="shared" si="3816"/>
        <v>0</v>
      </c>
      <c r="BM295" s="6">
        <f t="shared" si="3817"/>
        <v>0</v>
      </c>
      <c r="BN295" s="6">
        <f t="shared" si="3818"/>
        <v>0</v>
      </c>
      <c r="BO295" s="6">
        <f t="shared" si="3819"/>
        <v>0</v>
      </c>
      <c r="BP295" s="6">
        <f t="shared" si="3820"/>
        <v>0</v>
      </c>
      <c r="BQ295" s="6"/>
      <c r="BR295" s="6">
        <f t="shared" si="3821"/>
        <v>0</v>
      </c>
      <c r="BS295" s="6">
        <f t="shared" si="3822"/>
        <v>0</v>
      </c>
      <c r="BT295" s="6">
        <f t="shared" si="3823"/>
        <v>0</v>
      </c>
      <c r="BU295" s="6">
        <f t="shared" si="3824"/>
        <v>0</v>
      </c>
      <c r="BV295" s="6">
        <f t="shared" si="3825"/>
        <v>0</v>
      </c>
      <c r="BW295" s="6"/>
      <c r="BX295" s="6">
        <f t="shared" si="3826"/>
        <v>0</v>
      </c>
      <c r="BY295" s="6">
        <f t="shared" si="3827"/>
        <v>0</v>
      </c>
      <c r="BZ295" s="6">
        <f t="shared" si="3828"/>
        <v>0</v>
      </c>
      <c r="CA295" s="6">
        <f t="shared" si="3829"/>
        <v>0</v>
      </c>
      <c r="CB295" s="6">
        <f t="shared" si="3830"/>
        <v>0</v>
      </c>
      <c r="CC295" s="6"/>
      <c r="CD295" s="6">
        <f t="shared" si="3831"/>
        <v>0</v>
      </c>
      <c r="CE295" s="6">
        <f t="shared" si="3832"/>
        <v>0</v>
      </c>
      <c r="CF295" s="6">
        <f t="shared" si="3833"/>
        <v>0</v>
      </c>
      <c r="CG295" s="6">
        <f t="shared" si="3834"/>
        <v>0</v>
      </c>
      <c r="CH295" s="6">
        <f t="shared" si="3835"/>
        <v>0</v>
      </c>
      <c r="CI295" s="6"/>
      <c r="CJ295" s="6"/>
      <c r="CK295" s="6"/>
      <c r="CL295" s="6"/>
      <c r="CM295" s="6"/>
      <c r="CN295" s="6"/>
    </row>
    <row r="296" spans="2:92" ht="12.95" hidden="1" customHeight="1" outlineLevel="1" x14ac:dyDescent="0.25">
      <c r="B296" s="2" t="s">
        <v>40</v>
      </c>
      <c r="AB296" s="25">
        <f>Capitalization!F50</f>
        <v>0</v>
      </c>
      <c r="AC296" s="25">
        <f t="shared" ref="AC296" si="3840">AB296</f>
        <v>0</v>
      </c>
      <c r="AD296" s="25">
        <f t="shared" si="3789"/>
        <v>0</v>
      </c>
      <c r="AE296" s="25">
        <f t="shared" si="3790"/>
        <v>0</v>
      </c>
      <c r="AF296" s="25">
        <f t="shared" si="3791"/>
        <v>0</v>
      </c>
      <c r="AG296" s="10"/>
      <c r="AH296" s="25">
        <f t="shared" si="3792"/>
        <v>0</v>
      </c>
      <c r="AI296" s="25">
        <f t="shared" si="3793"/>
        <v>0</v>
      </c>
      <c r="AJ296" s="25">
        <f t="shared" si="3794"/>
        <v>0</v>
      </c>
      <c r="AK296" s="25">
        <f t="shared" si="3795"/>
        <v>0</v>
      </c>
      <c r="AL296" s="25">
        <f t="shared" si="3796"/>
        <v>0</v>
      </c>
      <c r="AM296" s="10"/>
      <c r="AN296" s="25">
        <f t="shared" si="3797"/>
        <v>0</v>
      </c>
      <c r="AO296" s="261">
        <f t="shared" si="3798"/>
        <v>0</v>
      </c>
      <c r="AP296" s="25">
        <f t="shared" si="3799"/>
        <v>0</v>
      </c>
      <c r="AQ296" s="261">
        <f t="shared" si="3800"/>
        <v>0</v>
      </c>
      <c r="AR296" s="261">
        <f t="shared" si="3801"/>
        <v>0</v>
      </c>
      <c r="AS296" s="10"/>
      <c r="AT296" s="25">
        <f t="shared" si="3802"/>
        <v>0</v>
      </c>
      <c r="AU296" s="261">
        <f t="shared" si="3803"/>
        <v>0</v>
      </c>
      <c r="AV296" s="261">
        <f t="shared" si="3804"/>
        <v>0</v>
      </c>
      <c r="AW296" s="363">
        <f t="shared" si="3805"/>
        <v>0</v>
      </c>
      <c r="AX296" s="25">
        <f t="shared" si="3806"/>
        <v>0</v>
      </c>
      <c r="AY296" s="10"/>
      <c r="AZ296" s="25">
        <f t="shared" si="3781"/>
        <v>0</v>
      </c>
      <c r="BA296" s="25">
        <f t="shared" si="3807"/>
        <v>0</v>
      </c>
      <c r="BB296" s="25">
        <f t="shared" si="3808"/>
        <v>0</v>
      </c>
      <c r="BC296" s="25">
        <f t="shared" si="3809"/>
        <v>0</v>
      </c>
      <c r="BD296" s="25">
        <f t="shared" si="3810"/>
        <v>0</v>
      </c>
      <c r="BE296" s="10"/>
      <c r="BF296" s="25">
        <f t="shared" si="3811"/>
        <v>0</v>
      </c>
      <c r="BG296" s="25">
        <f t="shared" si="3812"/>
        <v>0</v>
      </c>
      <c r="BH296" s="25">
        <f t="shared" si="3813"/>
        <v>0</v>
      </c>
      <c r="BI296" s="25">
        <f t="shared" si="3814"/>
        <v>0</v>
      </c>
      <c r="BJ296" s="25">
        <f t="shared" si="3815"/>
        <v>0</v>
      </c>
      <c r="BK296" s="10"/>
      <c r="BL296" s="25">
        <f t="shared" si="3816"/>
        <v>0</v>
      </c>
      <c r="BM296" s="25">
        <f t="shared" si="3817"/>
        <v>0</v>
      </c>
      <c r="BN296" s="25">
        <f t="shared" si="3818"/>
        <v>0</v>
      </c>
      <c r="BO296" s="25">
        <f t="shared" si="3819"/>
        <v>0</v>
      </c>
      <c r="BP296" s="25">
        <f t="shared" si="3820"/>
        <v>0</v>
      </c>
      <c r="BQ296" s="10"/>
      <c r="BR296" s="25">
        <f t="shared" si="3821"/>
        <v>0</v>
      </c>
      <c r="BS296" s="25">
        <f t="shared" si="3822"/>
        <v>0</v>
      </c>
      <c r="BT296" s="25">
        <f t="shared" si="3823"/>
        <v>0</v>
      </c>
      <c r="BU296" s="25">
        <f t="shared" si="3824"/>
        <v>0</v>
      </c>
      <c r="BV296" s="25">
        <f t="shared" si="3825"/>
        <v>0</v>
      </c>
      <c r="BW296" s="10"/>
      <c r="BX296" s="25">
        <f t="shared" si="3826"/>
        <v>0</v>
      </c>
      <c r="BY296" s="25">
        <f t="shared" si="3827"/>
        <v>0</v>
      </c>
      <c r="BZ296" s="25">
        <f t="shared" si="3828"/>
        <v>0</v>
      </c>
      <c r="CA296" s="25">
        <f t="shared" si="3829"/>
        <v>0</v>
      </c>
      <c r="CB296" s="25">
        <f t="shared" si="3830"/>
        <v>0</v>
      </c>
      <c r="CC296" s="10"/>
      <c r="CD296" s="25">
        <f t="shared" si="3831"/>
        <v>0</v>
      </c>
      <c r="CE296" s="25">
        <f t="shared" si="3832"/>
        <v>0</v>
      </c>
      <c r="CF296" s="25">
        <f t="shared" si="3833"/>
        <v>0</v>
      </c>
      <c r="CG296" s="25">
        <f t="shared" si="3834"/>
        <v>0</v>
      </c>
      <c r="CH296" s="25">
        <f t="shared" si="3835"/>
        <v>0</v>
      </c>
      <c r="CI296" s="10"/>
      <c r="CJ296" s="25"/>
      <c r="CK296" s="25"/>
      <c r="CL296" s="25"/>
      <c r="CM296" s="25"/>
      <c r="CN296" s="25"/>
    </row>
    <row r="297" spans="2:92" ht="12.95" hidden="1" customHeight="1" outlineLevel="1" x14ac:dyDescent="0.25">
      <c r="B297" s="2">
        <f>Capitalization!B51</f>
        <v>0</v>
      </c>
      <c r="AB297" s="6">
        <f>Capitalization!E51</f>
        <v>0</v>
      </c>
      <c r="AC297" s="6">
        <f>AB297</f>
        <v>0</v>
      </c>
      <c r="AD297" s="6">
        <f t="shared" si="3789"/>
        <v>0</v>
      </c>
      <c r="AE297" s="6">
        <f t="shared" si="3790"/>
        <v>0</v>
      </c>
      <c r="AF297" s="6">
        <f t="shared" si="3791"/>
        <v>0</v>
      </c>
      <c r="AG297" s="6"/>
      <c r="AH297" s="6">
        <f t="shared" si="3792"/>
        <v>0</v>
      </c>
      <c r="AI297" s="6">
        <f t="shared" si="3793"/>
        <v>0</v>
      </c>
      <c r="AJ297" s="6">
        <f t="shared" si="3794"/>
        <v>0</v>
      </c>
      <c r="AK297" s="6">
        <f t="shared" si="3795"/>
        <v>0</v>
      </c>
      <c r="AL297" s="6">
        <f t="shared" si="3796"/>
        <v>0</v>
      </c>
      <c r="AM297" s="6"/>
      <c r="AN297" s="6">
        <f t="shared" si="3797"/>
        <v>0</v>
      </c>
      <c r="AO297" s="243">
        <f t="shared" si="3798"/>
        <v>0</v>
      </c>
      <c r="AP297" s="6">
        <f t="shared" si="3799"/>
        <v>0</v>
      </c>
      <c r="AQ297" s="243">
        <f t="shared" si="3800"/>
        <v>0</v>
      </c>
      <c r="AR297" s="243">
        <f t="shared" si="3801"/>
        <v>0</v>
      </c>
      <c r="AS297" s="6"/>
      <c r="AT297" s="6">
        <f t="shared" si="3802"/>
        <v>0</v>
      </c>
      <c r="AU297" s="243">
        <f t="shared" si="3803"/>
        <v>0</v>
      </c>
      <c r="AV297" s="243">
        <f t="shared" si="3804"/>
        <v>0</v>
      </c>
      <c r="AW297" s="164">
        <f t="shared" si="3805"/>
        <v>0</v>
      </c>
      <c r="AX297" s="6">
        <f t="shared" si="3806"/>
        <v>0</v>
      </c>
      <c r="AY297" s="6"/>
      <c r="AZ297" s="6">
        <f t="shared" si="3781"/>
        <v>0</v>
      </c>
      <c r="BA297" s="6">
        <f t="shared" si="3807"/>
        <v>0</v>
      </c>
      <c r="BB297" s="6">
        <f t="shared" si="3808"/>
        <v>0</v>
      </c>
      <c r="BC297" s="6">
        <f t="shared" si="3809"/>
        <v>0</v>
      </c>
      <c r="BD297" s="6">
        <f t="shared" si="3810"/>
        <v>0</v>
      </c>
      <c r="BE297" s="6"/>
      <c r="BF297" s="6">
        <f t="shared" si="3811"/>
        <v>0</v>
      </c>
      <c r="BG297" s="6">
        <f t="shared" si="3812"/>
        <v>0</v>
      </c>
      <c r="BH297" s="6">
        <f t="shared" si="3813"/>
        <v>0</v>
      </c>
      <c r="BI297" s="6">
        <f t="shared" si="3814"/>
        <v>0</v>
      </c>
      <c r="BJ297" s="6">
        <f t="shared" si="3815"/>
        <v>0</v>
      </c>
      <c r="BK297" s="6"/>
      <c r="BL297" s="6">
        <f t="shared" si="3816"/>
        <v>0</v>
      </c>
      <c r="BM297" s="6">
        <f t="shared" si="3817"/>
        <v>0</v>
      </c>
      <c r="BN297" s="6">
        <f t="shared" si="3818"/>
        <v>0</v>
      </c>
      <c r="BO297" s="6">
        <f t="shared" si="3819"/>
        <v>0</v>
      </c>
      <c r="BP297" s="6">
        <f t="shared" si="3820"/>
        <v>0</v>
      </c>
      <c r="BQ297" s="6"/>
      <c r="BR297" s="6">
        <f t="shared" si="3821"/>
        <v>0</v>
      </c>
      <c r="BS297" s="6">
        <f t="shared" si="3822"/>
        <v>0</v>
      </c>
      <c r="BT297" s="6">
        <f t="shared" si="3823"/>
        <v>0</v>
      </c>
      <c r="BU297" s="6">
        <f t="shared" si="3824"/>
        <v>0</v>
      </c>
      <c r="BV297" s="6">
        <f t="shared" si="3825"/>
        <v>0</v>
      </c>
      <c r="BW297" s="6"/>
      <c r="BX297" s="6">
        <f t="shared" si="3826"/>
        <v>0</v>
      </c>
      <c r="BY297" s="6">
        <f t="shared" si="3827"/>
        <v>0</v>
      </c>
      <c r="BZ297" s="6">
        <f t="shared" si="3828"/>
        <v>0</v>
      </c>
      <c r="CA297" s="6">
        <f t="shared" si="3829"/>
        <v>0</v>
      </c>
      <c r="CB297" s="6">
        <f t="shared" si="3830"/>
        <v>0</v>
      </c>
      <c r="CC297" s="6"/>
      <c r="CD297" s="6">
        <f t="shared" si="3831"/>
        <v>0</v>
      </c>
      <c r="CE297" s="6">
        <f t="shared" si="3832"/>
        <v>0</v>
      </c>
      <c r="CF297" s="6">
        <f t="shared" si="3833"/>
        <v>0</v>
      </c>
      <c r="CG297" s="6">
        <f t="shared" si="3834"/>
        <v>0</v>
      </c>
      <c r="CH297" s="6">
        <f t="shared" si="3835"/>
        <v>0</v>
      </c>
      <c r="CI297" s="6"/>
      <c r="CJ297" s="6"/>
      <c r="CK297" s="6"/>
      <c r="CL297" s="6"/>
      <c r="CM297" s="6"/>
      <c r="CN297" s="6"/>
    </row>
    <row r="298" spans="2:92" ht="12.95" hidden="1" customHeight="1" outlineLevel="1" x14ac:dyDescent="0.25">
      <c r="B298" s="2" t="s">
        <v>40</v>
      </c>
      <c r="AB298" s="25">
        <f>Capitalization!F51</f>
        <v>0</v>
      </c>
      <c r="AC298" s="25">
        <f t="shared" ref="AC298" si="3841">AB298</f>
        <v>0</v>
      </c>
      <c r="AD298" s="25">
        <f t="shared" si="3789"/>
        <v>0</v>
      </c>
      <c r="AE298" s="25">
        <f t="shared" si="3790"/>
        <v>0</v>
      </c>
      <c r="AF298" s="25">
        <f t="shared" si="3791"/>
        <v>0</v>
      </c>
      <c r="AG298" s="10"/>
      <c r="AH298" s="25">
        <f t="shared" si="3792"/>
        <v>0</v>
      </c>
      <c r="AI298" s="25">
        <f t="shared" si="3793"/>
        <v>0</v>
      </c>
      <c r="AJ298" s="25">
        <f t="shared" si="3794"/>
        <v>0</v>
      </c>
      <c r="AK298" s="25">
        <f t="shared" si="3795"/>
        <v>0</v>
      </c>
      <c r="AL298" s="25">
        <f t="shared" si="3796"/>
        <v>0</v>
      </c>
      <c r="AM298" s="10"/>
      <c r="AN298" s="25">
        <f t="shared" si="3797"/>
        <v>0</v>
      </c>
      <c r="AO298" s="261">
        <f t="shared" si="3798"/>
        <v>0</v>
      </c>
      <c r="AP298" s="25">
        <f t="shared" si="3799"/>
        <v>0</v>
      </c>
      <c r="AQ298" s="261">
        <f t="shared" si="3800"/>
        <v>0</v>
      </c>
      <c r="AR298" s="261">
        <f t="shared" si="3801"/>
        <v>0</v>
      </c>
      <c r="AS298" s="10"/>
      <c r="AT298" s="25">
        <f t="shared" si="3802"/>
        <v>0</v>
      </c>
      <c r="AU298" s="261">
        <f t="shared" si="3803"/>
        <v>0</v>
      </c>
      <c r="AV298" s="261">
        <f t="shared" si="3804"/>
        <v>0</v>
      </c>
      <c r="AW298" s="363">
        <f t="shared" si="3805"/>
        <v>0</v>
      </c>
      <c r="AX298" s="25">
        <f t="shared" si="3806"/>
        <v>0</v>
      </c>
      <c r="AY298" s="10"/>
      <c r="AZ298" s="25">
        <f t="shared" si="3781"/>
        <v>0</v>
      </c>
      <c r="BA298" s="25">
        <f t="shared" si="3807"/>
        <v>0</v>
      </c>
      <c r="BB298" s="25">
        <f t="shared" si="3808"/>
        <v>0</v>
      </c>
      <c r="BC298" s="25">
        <f t="shared" si="3809"/>
        <v>0</v>
      </c>
      <c r="BD298" s="25">
        <f t="shared" si="3810"/>
        <v>0</v>
      </c>
      <c r="BE298" s="10"/>
      <c r="BF298" s="25">
        <f t="shared" si="3811"/>
        <v>0</v>
      </c>
      <c r="BG298" s="25">
        <f t="shared" si="3812"/>
        <v>0</v>
      </c>
      <c r="BH298" s="25">
        <f t="shared" si="3813"/>
        <v>0</v>
      </c>
      <c r="BI298" s="25">
        <f t="shared" si="3814"/>
        <v>0</v>
      </c>
      <c r="BJ298" s="25">
        <f t="shared" si="3815"/>
        <v>0</v>
      </c>
      <c r="BK298" s="10"/>
      <c r="BL298" s="25">
        <f t="shared" si="3816"/>
        <v>0</v>
      </c>
      <c r="BM298" s="25">
        <f t="shared" si="3817"/>
        <v>0</v>
      </c>
      <c r="BN298" s="25">
        <f t="shared" si="3818"/>
        <v>0</v>
      </c>
      <c r="BO298" s="25">
        <f t="shared" si="3819"/>
        <v>0</v>
      </c>
      <c r="BP298" s="25">
        <f t="shared" si="3820"/>
        <v>0</v>
      </c>
      <c r="BQ298" s="10"/>
      <c r="BR298" s="25">
        <f t="shared" si="3821"/>
        <v>0</v>
      </c>
      <c r="BS298" s="25">
        <f t="shared" si="3822"/>
        <v>0</v>
      </c>
      <c r="BT298" s="25">
        <f t="shared" si="3823"/>
        <v>0</v>
      </c>
      <c r="BU298" s="25">
        <f t="shared" si="3824"/>
        <v>0</v>
      </c>
      <c r="BV298" s="25">
        <f t="shared" si="3825"/>
        <v>0</v>
      </c>
      <c r="BW298" s="10"/>
      <c r="BX298" s="25">
        <f t="shared" si="3826"/>
        <v>0</v>
      </c>
      <c r="BY298" s="25">
        <f t="shared" si="3827"/>
        <v>0</v>
      </c>
      <c r="BZ298" s="25">
        <f t="shared" si="3828"/>
        <v>0</v>
      </c>
      <c r="CA298" s="25">
        <f t="shared" si="3829"/>
        <v>0</v>
      </c>
      <c r="CB298" s="25">
        <f t="shared" si="3830"/>
        <v>0</v>
      </c>
      <c r="CC298" s="10"/>
      <c r="CD298" s="25">
        <f t="shared" si="3831"/>
        <v>0</v>
      </c>
      <c r="CE298" s="25">
        <f t="shared" si="3832"/>
        <v>0</v>
      </c>
      <c r="CF298" s="25">
        <f t="shared" si="3833"/>
        <v>0</v>
      </c>
      <c r="CG298" s="25">
        <f t="shared" si="3834"/>
        <v>0</v>
      </c>
      <c r="CH298" s="25">
        <f t="shared" si="3835"/>
        <v>0</v>
      </c>
      <c r="CI298" s="10"/>
      <c r="CJ298" s="25"/>
      <c r="CK298" s="25"/>
      <c r="CL298" s="25"/>
      <c r="CM298" s="25"/>
      <c r="CN298" s="25"/>
    </row>
    <row r="299" spans="2:92" ht="12.95" hidden="1" customHeight="1" outlineLevel="1" x14ac:dyDescent="0.25">
      <c r="B299" s="2">
        <f>Capitalization!B52</f>
        <v>0</v>
      </c>
      <c r="AB299" s="6">
        <f>Capitalization!E52</f>
        <v>0</v>
      </c>
      <c r="AC299" s="6">
        <f>AB299</f>
        <v>0</v>
      </c>
      <c r="AD299" s="6">
        <f t="shared" si="3789"/>
        <v>0</v>
      </c>
      <c r="AE299" s="6">
        <f t="shared" si="3790"/>
        <v>0</v>
      </c>
      <c r="AF299" s="6">
        <f t="shared" si="3791"/>
        <v>0</v>
      </c>
      <c r="AG299" s="6"/>
      <c r="AH299" s="6">
        <f t="shared" si="3792"/>
        <v>0</v>
      </c>
      <c r="AI299" s="6">
        <f t="shared" si="3793"/>
        <v>0</v>
      </c>
      <c r="AJ299" s="6">
        <f t="shared" si="3794"/>
        <v>0</v>
      </c>
      <c r="AK299" s="6">
        <f t="shared" si="3795"/>
        <v>0</v>
      </c>
      <c r="AL299" s="6">
        <f t="shared" si="3796"/>
        <v>0</v>
      </c>
      <c r="AM299" s="6"/>
      <c r="AN299" s="6">
        <f t="shared" si="3797"/>
        <v>0</v>
      </c>
      <c r="AO299" s="243">
        <f t="shared" si="3798"/>
        <v>0</v>
      </c>
      <c r="AP299" s="6">
        <f t="shared" si="3799"/>
        <v>0</v>
      </c>
      <c r="AQ299" s="243">
        <f t="shared" si="3800"/>
        <v>0</v>
      </c>
      <c r="AR299" s="243">
        <f t="shared" si="3801"/>
        <v>0</v>
      </c>
      <c r="AS299" s="6"/>
      <c r="AT299" s="6">
        <f t="shared" si="3802"/>
        <v>0</v>
      </c>
      <c r="AU299" s="243">
        <f t="shared" si="3803"/>
        <v>0</v>
      </c>
      <c r="AV299" s="243">
        <f t="shared" si="3804"/>
        <v>0</v>
      </c>
      <c r="AW299" s="164">
        <f t="shared" si="3805"/>
        <v>0</v>
      </c>
      <c r="AX299" s="6">
        <f t="shared" si="3806"/>
        <v>0</v>
      </c>
      <c r="AY299" s="6"/>
      <c r="AZ299" s="6">
        <f t="shared" si="3781"/>
        <v>0</v>
      </c>
      <c r="BA299" s="6">
        <f t="shared" si="3807"/>
        <v>0</v>
      </c>
      <c r="BB299" s="6">
        <f t="shared" si="3808"/>
        <v>0</v>
      </c>
      <c r="BC299" s="6">
        <f t="shared" si="3809"/>
        <v>0</v>
      </c>
      <c r="BD299" s="6">
        <f t="shared" si="3810"/>
        <v>0</v>
      </c>
      <c r="BE299" s="6"/>
      <c r="BF299" s="6">
        <f t="shared" si="3811"/>
        <v>0</v>
      </c>
      <c r="BG299" s="6">
        <f t="shared" si="3812"/>
        <v>0</v>
      </c>
      <c r="BH299" s="6">
        <f t="shared" si="3813"/>
        <v>0</v>
      </c>
      <c r="BI299" s="6">
        <f t="shared" si="3814"/>
        <v>0</v>
      </c>
      <c r="BJ299" s="6">
        <f t="shared" si="3815"/>
        <v>0</v>
      </c>
      <c r="BK299" s="6"/>
      <c r="BL299" s="6">
        <f t="shared" si="3816"/>
        <v>0</v>
      </c>
      <c r="BM299" s="6">
        <f t="shared" si="3817"/>
        <v>0</v>
      </c>
      <c r="BN299" s="6">
        <f t="shared" si="3818"/>
        <v>0</v>
      </c>
      <c r="BO299" s="6">
        <f t="shared" si="3819"/>
        <v>0</v>
      </c>
      <c r="BP299" s="6">
        <f t="shared" si="3820"/>
        <v>0</v>
      </c>
      <c r="BQ299" s="6"/>
      <c r="BR299" s="6">
        <f t="shared" si="3821"/>
        <v>0</v>
      </c>
      <c r="BS299" s="6">
        <f t="shared" si="3822"/>
        <v>0</v>
      </c>
      <c r="BT299" s="6">
        <f t="shared" si="3823"/>
        <v>0</v>
      </c>
      <c r="BU299" s="6">
        <f t="shared" si="3824"/>
        <v>0</v>
      </c>
      <c r="BV299" s="6">
        <f t="shared" si="3825"/>
        <v>0</v>
      </c>
      <c r="BW299" s="6"/>
      <c r="BX299" s="6">
        <f t="shared" si="3826"/>
        <v>0</v>
      </c>
      <c r="BY299" s="6">
        <f t="shared" si="3827"/>
        <v>0</v>
      </c>
      <c r="BZ299" s="6">
        <f t="shared" si="3828"/>
        <v>0</v>
      </c>
      <c r="CA299" s="6">
        <f t="shared" si="3829"/>
        <v>0</v>
      </c>
      <c r="CB299" s="6">
        <f t="shared" si="3830"/>
        <v>0</v>
      </c>
      <c r="CC299" s="6"/>
      <c r="CD299" s="6">
        <f t="shared" si="3831"/>
        <v>0</v>
      </c>
      <c r="CE299" s="6">
        <f t="shared" si="3832"/>
        <v>0</v>
      </c>
      <c r="CF299" s="6">
        <f t="shared" si="3833"/>
        <v>0</v>
      </c>
      <c r="CG299" s="6">
        <f t="shared" si="3834"/>
        <v>0</v>
      </c>
      <c r="CH299" s="6">
        <f t="shared" si="3835"/>
        <v>0</v>
      </c>
      <c r="CI299" s="6"/>
      <c r="CJ299" s="6"/>
      <c r="CK299" s="6"/>
      <c r="CL299" s="6"/>
      <c r="CM299" s="6"/>
      <c r="CN299" s="6"/>
    </row>
    <row r="300" spans="2:92" ht="12.95" hidden="1" customHeight="1" outlineLevel="1" x14ac:dyDescent="0.25">
      <c r="B300" s="2" t="s">
        <v>40</v>
      </c>
      <c r="AB300" s="25">
        <f>Capitalization!F52</f>
        <v>0</v>
      </c>
      <c r="AC300" s="25">
        <f t="shared" ref="AC300" si="3842">AB300</f>
        <v>0</v>
      </c>
      <c r="AD300" s="25">
        <f t="shared" si="3789"/>
        <v>0</v>
      </c>
      <c r="AE300" s="25">
        <f t="shared" si="3790"/>
        <v>0</v>
      </c>
      <c r="AF300" s="25">
        <f t="shared" si="3791"/>
        <v>0</v>
      </c>
      <c r="AG300" s="10"/>
      <c r="AH300" s="25">
        <f t="shared" si="3792"/>
        <v>0</v>
      </c>
      <c r="AI300" s="25">
        <f t="shared" si="3793"/>
        <v>0</v>
      </c>
      <c r="AJ300" s="25">
        <f t="shared" si="3794"/>
        <v>0</v>
      </c>
      <c r="AK300" s="25">
        <f t="shared" si="3795"/>
        <v>0</v>
      </c>
      <c r="AL300" s="25">
        <f t="shared" si="3796"/>
        <v>0</v>
      </c>
      <c r="AM300" s="10"/>
      <c r="AN300" s="25">
        <f t="shared" si="3797"/>
        <v>0</v>
      </c>
      <c r="AO300" s="261">
        <f t="shared" si="3798"/>
        <v>0</v>
      </c>
      <c r="AP300" s="25">
        <f t="shared" si="3799"/>
        <v>0</v>
      </c>
      <c r="AQ300" s="261">
        <f t="shared" si="3800"/>
        <v>0</v>
      </c>
      <c r="AR300" s="261">
        <f t="shared" si="3801"/>
        <v>0</v>
      </c>
      <c r="AS300" s="10"/>
      <c r="AT300" s="25">
        <f t="shared" si="3802"/>
        <v>0</v>
      </c>
      <c r="AU300" s="261">
        <f t="shared" si="3803"/>
        <v>0</v>
      </c>
      <c r="AV300" s="261">
        <f t="shared" si="3804"/>
        <v>0</v>
      </c>
      <c r="AW300" s="363">
        <f t="shared" si="3805"/>
        <v>0</v>
      </c>
      <c r="AX300" s="25">
        <f t="shared" si="3806"/>
        <v>0</v>
      </c>
      <c r="AY300" s="10"/>
      <c r="AZ300" s="25">
        <f t="shared" si="3781"/>
        <v>0</v>
      </c>
      <c r="BA300" s="25">
        <f t="shared" si="3807"/>
        <v>0</v>
      </c>
      <c r="BB300" s="25">
        <f t="shared" si="3808"/>
        <v>0</v>
      </c>
      <c r="BC300" s="25">
        <f t="shared" si="3809"/>
        <v>0</v>
      </c>
      <c r="BD300" s="25">
        <f t="shared" si="3810"/>
        <v>0</v>
      </c>
      <c r="BE300" s="10"/>
      <c r="BF300" s="25">
        <f t="shared" si="3811"/>
        <v>0</v>
      </c>
      <c r="BG300" s="25">
        <f t="shared" si="3812"/>
        <v>0</v>
      </c>
      <c r="BH300" s="25">
        <f t="shared" si="3813"/>
        <v>0</v>
      </c>
      <c r="BI300" s="25">
        <f t="shared" si="3814"/>
        <v>0</v>
      </c>
      <c r="BJ300" s="25">
        <f t="shared" si="3815"/>
        <v>0</v>
      </c>
      <c r="BK300" s="10"/>
      <c r="BL300" s="25">
        <f t="shared" si="3816"/>
        <v>0</v>
      </c>
      <c r="BM300" s="25">
        <f t="shared" si="3817"/>
        <v>0</v>
      </c>
      <c r="BN300" s="25">
        <f t="shared" si="3818"/>
        <v>0</v>
      </c>
      <c r="BO300" s="25">
        <f t="shared" si="3819"/>
        <v>0</v>
      </c>
      <c r="BP300" s="25">
        <f t="shared" si="3820"/>
        <v>0</v>
      </c>
      <c r="BQ300" s="10"/>
      <c r="BR300" s="25">
        <f t="shared" si="3821"/>
        <v>0</v>
      </c>
      <c r="BS300" s="25">
        <f t="shared" si="3822"/>
        <v>0</v>
      </c>
      <c r="BT300" s="25">
        <f t="shared" si="3823"/>
        <v>0</v>
      </c>
      <c r="BU300" s="25">
        <f t="shared" si="3824"/>
        <v>0</v>
      </c>
      <c r="BV300" s="25">
        <f t="shared" si="3825"/>
        <v>0</v>
      </c>
      <c r="BW300" s="10"/>
      <c r="BX300" s="25">
        <f t="shared" si="3826"/>
        <v>0</v>
      </c>
      <c r="BY300" s="25">
        <f t="shared" si="3827"/>
        <v>0</v>
      </c>
      <c r="BZ300" s="25">
        <f t="shared" si="3828"/>
        <v>0</v>
      </c>
      <c r="CA300" s="25">
        <f t="shared" si="3829"/>
        <v>0</v>
      </c>
      <c r="CB300" s="25">
        <f t="shared" si="3830"/>
        <v>0</v>
      </c>
      <c r="CC300" s="10"/>
      <c r="CD300" s="25">
        <f t="shared" si="3831"/>
        <v>0</v>
      </c>
      <c r="CE300" s="25">
        <f t="shared" si="3832"/>
        <v>0</v>
      </c>
      <c r="CF300" s="25">
        <f t="shared" si="3833"/>
        <v>0</v>
      </c>
      <c r="CG300" s="25">
        <f t="shared" si="3834"/>
        <v>0</v>
      </c>
      <c r="CH300" s="25">
        <f t="shared" si="3835"/>
        <v>0</v>
      </c>
      <c r="CI300" s="10"/>
      <c r="CJ300" s="25"/>
      <c r="CK300" s="25"/>
      <c r="CL300" s="25"/>
      <c r="CM300" s="25"/>
      <c r="CN300" s="25"/>
    </row>
    <row r="301" spans="2:92" ht="12.95" hidden="1" customHeight="1" outlineLevel="1" x14ac:dyDescent="0.25">
      <c r="B301" s="2">
        <f>Capitalization!B53</f>
        <v>0</v>
      </c>
      <c r="AB301" s="6">
        <f>Capitalization!E53</f>
        <v>0</v>
      </c>
      <c r="AC301" s="6">
        <f>AB301</f>
        <v>0</v>
      </c>
      <c r="AD301" s="6">
        <f t="shared" si="3789"/>
        <v>0</v>
      </c>
      <c r="AE301" s="6">
        <f t="shared" si="3790"/>
        <v>0</v>
      </c>
      <c r="AF301" s="6">
        <f t="shared" si="3791"/>
        <v>0</v>
      </c>
      <c r="AG301" s="6"/>
      <c r="AH301" s="6">
        <f t="shared" si="3792"/>
        <v>0</v>
      </c>
      <c r="AI301" s="6">
        <f t="shared" si="3793"/>
        <v>0</v>
      </c>
      <c r="AJ301" s="6">
        <f t="shared" si="3794"/>
        <v>0</v>
      </c>
      <c r="AK301" s="6">
        <f t="shared" si="3795"/>
        <v>0</v>
      </c>
      <c r="AL301" s="6">
        <f t="shared" si="3796"/>
        <v>0</v>
      </c>
      <c r="AM301" s="6"/>
      <c r="AN301" s="6">
        <f t="shared" si="3797"/>
        <v>0</v>
      </c>
      <c r="AO301" s="243">
        <f t="shared" si="3798"/>
        <v>0</v>
      </c>
      <c r="AP301" s="6">
        <f t="shared" si="3799"/>
        <v>0</v>
      </c>
      <c r="AQ301" s="243">
        <f t="shared" si="3800"/>
        <v>0</v>
      </c>
      <c r="AR301" s="243">
        <f t="shared" si="3801"/>
        <v>0</v>
      </c>
      <c r="AS301" s="6"/>
      <c r="AT301" s="6">
        <f t="shared" si="3802"/>
        <v>0</v>
      </c>
      <c r="AU301" s="243">
        <f t="shared" si="3803"/>
        <v>0</v>
      </c>
      <c r="AV301" s="243">
        <f t="shared" si="3804"/>
        <v>0</v>
      </c>
      <c r="AW301" s="164">
        <f t="shared" si="3805"/>
        <v>0</v>
      </c>
      <c r="AX301" s="6">
        <f t="shared" si="3806"/>
        <v>0</v>
      </c>
      <c r="AY301" s="6"/>
      <c r="AZ301" s="6">
        <f t="shared" si="3781"/>
        <v>0</v>
      </c>
      <c r="BA301" s="6">
        <f t="shared" si="3807"/>
        <v>0</v>
      </c>
      <c r="BB301" s="6">
        <f t="shared" si="3808"/>
        <v>0</v>
      </c>
      <c r="BC301" s="6">
        <f t="shared" si="3809"/>
        <v>0</v>
      </c>
      <c r="BD301" s="6">
        <f t="shared" si="3810"/>
        <v>0</v>
      </c>
      <c r="BE301" s="6"/>
      <c r="BF301" s="6">
        <f t="shared" si="3811"/>
        <v>0</v>
      </c>
      <c r="BG301" s="6">
        <f t="shared" si="3812"/>
        <v>0</v>
      </c>
      <c r="BH301" s="6">
        <f t="shared" si="3813"/>
        <v>0</v>
      </c>
      <c r="BI301" s="6">
        <f t="shared" si="3814"/>
        <v>0</v>
      </c>
      <c r="BJ301" s="6">
        <f t="shared" si="3815"/>
        <v>0</v>
      </c>
      <c r="BK301" s="6"/>
      <c r="BL301" s="6">
        <f t="shared" si="3816"/>
        <v>0</v>
      </c>
      <c r="BM301" s="6">
        <f t="shared" si="3817"/>
        <v>0</v>
      </c>
      <c r="BN301" s="6">
        <f t="shared" si="3818"/>
        <v>0</v>
      </c>
      <c r="BO301" s="6">
        <f t="shared" si="3819"/>
        <v>0</v>
      </c>
      <c r="BP301" s="6">
        <f t="shared" si="3820"/>
        <v>0</v>
      </c>
      <c r="BQ301" s="6"/>
      <c r="BR301" s="6">
        <f t="shared" si="3821"/>
        <v>0</v>
      </c>
      <c r="BS301" s="6">
        <f t="shared" si="3822"/>
        <v>0</v>
      </c>
      <c r="BT301" s="6">
        <f t="shared" si="3823"/>
        <v>0</v>
      </c>
      <c r="BU301" s="6">
        <f t="shared" si="3824"/>
        <v>0</v>
      </c>
      <c r="BV301" s="6">
        <f t="shared" si="3825"/>
        <v>0</v>
      </c>
      <c r="BW301" s="6"/>
      <c r="BX301" s="6">
        <f t="shared" si="3826"/>
        <v>0</v>
      </c>
      <c r="BY301" s="6">
        <f t="shared" si="3827"/>
        <v>0</v>
      </c>
      <c r="BZ301" s="6">
        <f t="shared" si="3828"/>
        <v>0</v>
      </c>
      <c r="CA301" s="6">
        <f t="shared" si="3829"/>
        <v>0</v>
      </c>
      <c r="CB301" s="6">
        <f t="shared" si="3830"/>
        <v>0</v>
      </c>
      <c r="CC301" s="6"/>
      <c r="CD301" s="6">
        <f t="shared" si="3831"/>
        <v>0</v>
      </c>
      <c r="CE301" s="6">
        <f t="shared" si="3832"/>
        <v>0</v>
      </c>
      <c r="CF301" s="6">
        <f t="shared" si="3833"/>
        <v>0</v>
      </c>
      <c r="CG301" s="6">
        <f t="shared" si="3834"/>
        <v>0</v>
      </c>
      <c r="CH301" s="6">
        <f t="shared" si="3835"/>
        <v>0</v>
      </c>
      <c r="CI301" s="6"/>
      <c r="CJ301" s="6"/>
      <c r="CK301" s="6"/>
      <c r="CL301" s="6"/>
      <c r="CM301" s="6"/>
      <c r="CN301" s="6"/>
    </row>
    <row r="302" spans="2:92" ht="12.95" hidden="1" customHeight="1" outlineLevel="1" x14ac:dyDescent="0.25">
      <c r="B302" s="2" t="s">
        <v>40</v>
      </c>
      <c r="AB302" s="25">
        <f>Capitalization!F53</f>
        <v>0</v>
      </c>
      <c r="AC302" s="25">
        <f t="shared" ref="AC302" si="3843">AB302</f>
        <v>0</v>
      </c>
      <c r="AD302" s="25">
        <f t="shared" si="3789"/>
        <v>0</v>
      </c>
      <c r="AE302" s="25">
        <f t="shared" si="3790"/>
        <v>0</v>
      </c>
      <c r="AF302" s="25">
        <f t="shared" si="3791"/>
        <v>0</v>
      </c>
      <c r="AG302" s="10"/>
      <c r="AH302" s="25">
        <f t="shared" si="3792"/>
        <v>0</v>
      </c>
      <c r="AI302" s="25">
        <f t="shared" si="3793"/>
        <v>0</v>
      </c>
      <c r="AJ302" s="25">
        <f t="shared" si="3794"/>
        <v>0</v>
      </c>
      <c r="AK302" s="25">
        <f t="shared" si="3795"/>
        <v>0</v>
      </c>
      <c r="AL302" s="25">
        <f t="shared" si="3796"/>
        <v>0</v>
      </c>
      <c r="AM302" s="10"/>
      <c r="AN302" s="25">
        <f t="shared" si="3797"/>
        <v>0</v>
      </c>
      <c r="AO302" s="261">
        <f t="shared" si="3798"/>
        <v>0</v>
      </c>
      <c r="AP302" s="25">
        <f t="shared" si="3799"/>
        <v>0</v>
      </c>
      <c r="AQ302" s="261">
        <f t="shared" si="3800"/>
        <v>0</v>
      </c>
      <c r="AR302" s="261">
        <f t="shared" si="3801"/>
        <v>0</v>
      </c>
      <c r="AS302" s="10"/>
      <c r="AT302" s="25">
        <f t="shared" si="3802"/>
        <v>0</v>
      </c>
      <c r="AU302" s="261">
        <f t="shared" si="3803"/>
        <v>0</v>
      </c>
      <c r="AV302" s="261">
        <f t="shared" si="3804"/>
        <v>0</v>
      </c>
      <c r="AW302" s="363">
        <f t="shared" si="3805"/>
        <v>0</v>
      </c>
      <c r="AX302" s="25">
        <f t="shared" si="3806"/>
        <v>0</v>
      </c>
      <c r="AY302" s="10"/>
      <c r="AZ302" s="25">
        <f t="shared" si="3781"/>
        <v>0</v>
      </c>
      <c r="BA302" s="25">
        <f t="shared" si="3807"/>
        <v>0</v>
      </c>
      <c r="BB302" s="25">
        <f t="shared" si="3808"/>
        <v>0</v>
      </c>
      <c r="BC302" s="25">
        <f t="shared" si="3809"/>
        <v>0</v>
      </c>
      <c r="BD302" s="25">
        <f t="shared" si="3810"/>
        <v>0</v>
      </c>
      <c r="BE302" s="10"/>
      <c r="BF302" s="25">
        <f t="shared" si="3811"/>
        <v>0</v>
      </c>
      <c r="BG302" s="25">
        <f t="shared" si="3812"/>
        <v>0</v>
      </c>
      <c r="BH302" s="25">
        <f t="shared" si="3813"/>
        <v>0</v>
      </c>
      <c r="BI302" s="25">
        <f t="shared" si="3814"/>
        <v>0</v>
      </c>
      <c r="BJ302" s="25">
        <f t="shared" si="3815"/>
        <v>0</v>
      </c>
      <c r="BK302" s="10"/>
      <c r="BL302" s="25">
        <f t="shared" si="3816"/>
        <v>0</v>
      </c>
      <c r="BM302" s="25">
        <f t="shared" si="3817"/>
        <v>0</v>
      </c>
      <c r="BN302" s="25">
        <f t="shared" si="3818"/>
        <v>0</v>
      </c>
      <c r="BO302" s="25">
        <f t="shared" si="3819"/>
        <v>0</v>
      </c>
      <c r="BP302" s="25">
        <f t="shared" si="3820"/>
        <v>0</v>
      </c>
      <c r="BQ302" s="10"/>
      <c r="BR302" s="25">
        <f t="shared" si="3821"/>
        <v>0</v>
      </c>
      <c r="BS302" s="25">
        <f t="shared" si="3822"/>
        <v>0</v>
      </c>
      <c r="BT302" s="25">
        <f t="shared" si="3823"/>
        <v>0</v>
      </c>
      <c r="BU302" s="25">
        <f t="shared" si="3824"/>
        <v>0</v>
      </c>
      <c r="BV302" s="25">
        <f t="shared" si="3825"/>
        <v>0</v>
      </c>
      <c r="BW302" s="10"/>
      <c r="BX302" s="25">
        <f t="shared" si="3826"/>
        <v>0</v>
      </c>
      <c r="BY302" s="25">
        <f t="shared" si="3827"/>
        <v>0</v>
      </c>
      <c r="BZ302" s="25">
        <f t="shared" si="3828"/>
        <v>0</v>
      </c>
      <c r="CA302" s="25">
        <f t="shared" si="3829"/>
        <v>0</v>
      </c>
      <c r="CB302" s="25">
        <f t="shared" si="3830"/>
        <v>0</v>
      </c>
      <c r="CC302" s="10"/>
      <c r="CD302" s="25">
        <f t="shared" si="3831"/>
        <v>0</v>
      </c>
      <c r="CE302" s="25">
        <f t="shared" si="3832"/>
        <v>0</v>
      </c>
      <c r="CF302" s="25">
        <f t="shared" si="3833"/>
        <v>0</v>
      </c>
      <c r="CG302" s="25">
        <f t="shared" si="3834"/>
        <v>0</v>
      </c>
      <c r="CH302" s="25">
        <f t="shared" si="3835"/>
        <v>0</v>
      </c>
      <c r="CI302" s="10"/>
      <c r="CJ302" s="25"/>
      <c r="CK302" s="25"/>
      <c r="CL302" s="25"/>
      <c r="CM302" s="25"/>
      <c r="CN302" s="25"/>
    </row>
    <row r="303" spans="2:92" ht="12.95" hidden="1" customHeight="1" outlineLevel="1" x14ac:dyDescent="0.25">
      <c r="B303" s="2">
        <f>Capitalization!B54</f>
        <v>0</v>
      </c>
      <c r="AB303" s="6">
        <f>Capitalization!E54</f>
        <v>0</v>
      </c>
      <c r="AC303" s="6">
        <f>AB303</f>
        <v>0</v>
      </c>
      <c r="AD303" s="6">
        <f t="shared" si="3789"/>
        <v>0</v>
      </c>
      <c r="AE303" s="6">
        <f t="shared" si="3790"/>
        <v>0</v>
      </c>
      <c r="AF303" s="6">
        <f t="shared" si="3791"/>
        <v>0</v>
      </c>
      <c r="AG303" s="6"/>
      <c r="AH303" s="6">
        <f t="shared" si="3792"/>
        <v>0</v>
      </c>
      <c r="AI303" s="6">
        <f t="shared" si="3793"/>
        <v>0</v>
      </c>
      <c r="AJ303" s="6">
        <f t="shared" si="3794"/>
        <v>0</v>
      </c>
      <c r="AK303" s="6">
        <f t="shared" si="3795"/>
        <v>0</v>
      </c>
      <c r="AL303" s="6">
        <f t="shared" si="3796"/>
        <v>0</v>
      </c>
      <c r="AM303" s="6"/>
      <c r="AN303" s="6">
        <f t="shared" si="3797"/>
        <v>0</v>
      </c>
      <c r="AO303" s="243">
        <f t="shared" si="3798"/>
        <v>0</v>
      </c>
      <c r="AP303" s="6">
        <f t="shared" si="3799"/>
        <v>0</v>
      </c>
      <c r="AQ303" s="243">
        <f t="shared" si="3800"/>
        <v>0</v>
      </c>
      <c r="AR303" s="243">
        <f t="shared" si="3801"/>
        <v>0</v>
      </c>
      <c r="AS303" s="6"/>
      <c r="AT303" s="6">
        <f t="shared" si="3802"/>
        <v>0</v>
      </c>
      <c r="AU303" s="243">
        <f t="shared" si="3803"/>
        <v>0</v>
      </c>
      <c r="AV303" s="243">
        <f t="shared" si="3804"/>
        <v>0</v>
      </c>
      <c r="AW303" s="164">
        <f t="shared" si="3805"/>
        <v>0</v>
      </c>
      <c r="AX303" s="6">
        <f t="shared" si="3806"/>
        <v>0</v>
      </c>
      <c r="AY303" s="6"/>
      <c r="AZ303" s="6">
        <f t="shared" si="3781"/>
        <v>0</v>
      </c>
      <c r="BA303" s="6">
        <f t="shared" si="3807"/>
        <v>0</v>
      </c>
      <c r="BB303" s="6">
        <f t="shared" si="3808"/>
        <v>0</v>
      </c>
      <c r="BC303" s="6">
        <f t="shared" si="3809"/>
        <v>0</v>
      </c>
      <c r="BD303" s="6">
        <f t="shared" si="3810"/>
        <v>0</v>
      </c>
      <c r="BE303" s="6"/>
      <c r="BF303" s="6">
        <f t="shared" si="3811"/>
        <v>0</v>
      </c>
      <c r="BG303" s="6">
        <f t="shared" si="3812"/>
        <v>0</v>
      </c>
      <c r="BH303" s="6">
        <f t="shared" si="3813"/>
        <v>0</v>
      </c>
      <c r="BI303" s="6">
        <f t="shared" si="3814"/>
        <v>0</v>
      </c>
      <c r="BJ303" s="6">
        <f t="shared" si="3815"/>
        <v>0</v>
      </c>
      <c r="BK303" s="6"/>
      <c r="BL303" s="6">
        <f t="shared" si="3816"/>
        <v>0</v>
      </c>
      <c r="BM303" s="6">
        <f t="shared" si="3817"/>
        <v>0</v>
      </c>
      <c r="BN303" s="6">
        <f t="shared" si="3818"/>
        <v>0</v>
      </c>
      <c r="BO303" s="6">
        <f t="shared" si="3819"/>
        <v>0</v>
      </c>
      <c r="BP303" s="6">
        <f t="shared" si="3820"/>
        <v>0</v>
      </c>
      <c r="BQ303" s="6"/>
      <c r="BR303" s="6">
        <f t="shared" si="3821"/>
        <v>0</v>
      </c>
      <c r="BS303" s="6">
        <f t="shared" si="3822"/>
        <v>0</v>
      </c>
      <c r="BT303" s="6">
        <f t="shared" si="3823"/>
        <v>0</v>
      </c>
      <c r="BU303" s="6">
        <f t="shared" si="3824"/>
        <v>0</v>
      </c>
      <c r="BV303" s="6">
        <f t="shared" si="3825"/>
        <v>0</v>
      </c>
      <c r="BW303" s="6"/>
      <c r="BX303" s="6">
        <f t="shared" si="3826"/>
        <v>0</v>
      </c>
      <c r="BY303" s="6">
        <f t="shared" si="3827"/>
        <v>0</v>
      </c>
      <c r="BZ303" s="6">
        <f t="shared" si="3828"/>
        <v>0</v>
      </c>
      <c r="CA303" s="6">
        <f t="shared" si="3829"/>
        <v>0</v>
      </c>
      <c r="CB303" s="6">
        <f t="shared" si="3830"/>
        <v>0</v>
      </c>
      <c r="CC303" s="6"/>
      <c r="CD303" s="6">
        <f t="shared" si="3831"/>
        <v>0</v>
      </c>
      <c r="CE303" s="6">
        <f t="shared" si="3832"/>
        <v>0</v>
      </c>
      <c r="CF303" s="6">
        <f t="shared" si="3833"/>
        <v>0</v>
      </c>
      <c r="CG303" s="6">
        <f t="shared" si="3834"/>
        <v>0</v>
      </c>
      <c r="CH303" s="6">
        <f t="shared" si="3835"/>
        <v>0</v>
      </c>
      <c r="CI303" s="6"/>
      <c r="CJ303" s="6"/>
      <c r="CK303" s="6"/>
      <c r="CL303" s="6"/>
      <c r="CM303" s="6"/>
      <c r="CN303" s="6"/>
    </row>
    <row r="304" spans="2:92" ht="12.95" hidden="1" customHeight="1" outlineLevel="1" x14ac:dyDescent="0.25">
      <c r="B304" s="2" t="s">
        <v>40</v>
      </c>
      <c r="AB304" s="25">
        <f>Capitalization!F54</f>
        <v>0</v>
      </c>
      <c r="AC304" s="25">
        <f t="shared" ref="AC304" si="3844">AB304</f>
        <v>0</v>
      </c>
      <c r="AD304" s="25">
        <f t="shared" si="3789"/>
        <v>0</v>
      </c>
      <c r="AE304" s="25">
        <f t="shared" si="3790"/>
        <v>0</v>
      </c>
      <c r="AF304" s="25">
        <f t="shared" si="3791"/>
        <v>0</v>
      </c>
      <c r="AG304" s="10"/>
      <c r="AH304" s="25">
        <f t="shared" si="3792"/>
        <v>0</v>
      </c>
      <c r="AI304" s="25">
        <f t="shared" si="3793"/>
        <v>0</v>
      </c>
      <c r="AJ304" s="25">
        <f t="shared" si="3794"/>
        <v>0</v>
      </c>
      <c r="AK304" s="25">
        <f t="shared" si="3795"/>
        <v>0</v>
      </c>
      <c r="AL304" s="25">
        <f t="shared" si="3796"/>
        <v>0</v>
      </c>
      <c r="AM304" s="10"/>
      <c r="AN304" s="25">
        <f t="shared" si="3797"/>
        <v>0</v>
      </c>
      <c r="AO304" s="261">
        <f t="shared" si="3798"/>
        <v>0</v>
      </c>
      <c r="AP304" s="25">
        <f t="shared" si="3799"/>
        <v>0</v>
      </c>
      <c r="AQ304" s="261">
        <f t="shared" si="3800"/>
        <v>0</v>
      </c>
      <c r="AR304" s="261">
        <f t="shared" si="3801"/>
        <v>0</v>
      </c>
      <c r="AS304" s="10"/>
      <c r="AT304" s="25">
        <f t="shared" si="3802"/>
        <v>0</v>
      </c>
      <c r="AU304" s="261">
        <f t="shared" si="3803"/>
        <v>0</v>
      </c>
      <c r="AV304" s="261">
        <f t="shared" si="3804"/>
        <v>0</v>
      </c>
      <c r="AW304" s="363">
        <f t="shared" si="3805"/>
        <v>0</v>
      </c>
      <c r="AX304" s="25">
        <f t="shared" si="3806"/>
        <v>0</v>
      </c>
      <c r="AY304" s="10"/>
      <c r="AZ304" s="25">
        <f t="shared" si="3781"/>
        <v>0</v>
      </c>
      <c r="BA304" s="25">
        <f t="shared" si="3807"/>
        <v>0</v>
      </c>
      <c r="BB304" s="25">
        <f t="shared" si="3808"/>
        <v>0</v>
      </c>
      <c r="BC304" s="25">
        <f t="shared" si="3809"/>
        <v>0</v>
      </c>
      <c r="BD304" s="25">
        <f t="shared" si="3810"/>
        <v>0</v>
      </c>
      <c r="BE304" s="10"/>
      <c r="BF304" s="25">
        <f t="shared" si="3811"/>
        <v>0</v>
      </c>
      <c r="BG304" s="25">
        <f t="shared" si="3812"/>
        <v>0</v>
      </c>
      <c r="BH304" s="25">
        <f t="shared" si="3813"/>
        <v>0</v>
      </c>
      <c r="BI304" s="25">
        <f t="shared" si="3814"/>
        <v>0</v>
      </c>
      <c r="BJ304" s="25">
        <f t="shared" si="3815"/>
        <v>0</v>
      </c>
      <c r="BK304" s="10"/>
      <c r="BL304" s="25">
        <f t="shared" si="3816"/>
        <v>0</v>
      </c>
      <c r="BM304" s="25">
        <f t="shared" si="3817"/>
        <v>0</v>
      </c>
      <c r="BN304" s="25">
        <f t="shared" si="3818"/>
        <v>0</v>
      </c>
      <c r="BO304" s="25">
        <f t="shared" si="3819"/>
        <v>0</v>
      </c>
      <c r="BP304" s="25">
        <f t="shared" si="3820"/>
        <v>0</v>
      </c>
      <c r="BQ304" s="10"/>
      <c r="BR304" s="25">
        <f t="shared" si="3821"/>
        <v>0</v>
      </c>
      <c r="BS304" s="25">
        <f t="shared" si="3822"/>
        <v>0</v>
      </c>
      <c r="BT304" s="25">
        <f t="shared" si="3823"/>
        <v>0</v>
      </c>
      <c r="BU304" s="25">
        <f t="shared" si="3824"/>
        <v>0</v>
      </c>
      <c r="BV304" s="25">
        <f t="shared" si="3825"/>
        <v>0</v>
      </c>
      <c r="BW304" s="10"/>
      <c r="BX304" s="25">
        <f t="shared" si="3826"/>
        <v>0</v>
      </c>
      <c r="BY304" s="25">
        <f t="shared" si="3827"/>
        <v>0</v>
      </c>
      <c r="BZ304" s="25">
        <f t="shared" si="3828"/>
        <v>0</v>
      </c>
      <c r="CA304" s="25">
        <f t="shared" si="3829"/>
        <v>0</v>
      </c>
      <c r="CB304" s="25">
        <f t="shared" si="3830"/>
        <v>0</v>
      </c>
      <c r="CC304" s="10"/>
      <c r="CD304" s="25">
        <f t="shared" si="3831"/>
        <v>0</v>
      </c>
      <c r="CE304" s="25">
        <f t="shared" si="3832"/>
        <v>0</v>
      </c>
      <c r="CF304" s="25">
        <f t="shared" si="3833"/>
        <v>0</v>
      </c>
      <c r="CG304" s="25">
        <f t="shared" si="3834"/>
        <v>0</v>
      </c>
      <c r="CH304" s="25">
        <f t="shared" si="3835"/>
        <v>0</v>
      </c>
      <c r="CI304" s="10"/>
      <c r="CJ304" s="25"/>
      <c r="CK304" s="25"/>
      <c r="CL304" s="25"/>
      <c r="CM304" s="25"/>
      <c r="CN304" s="25"/>
    </row>
    <row r="305" spans="2:92" ht="12.95" hidden="1" customHeight="1" outlineLevel="1" x14ac:dyDescent="0.25">
      <c r="B305" s="2">
        <f>Capitalization!B55</f>
        <v>0</v>
      </c>
      <c r="AB305" s="6">
        <f>Capitalization!E55</f>
        <v>0</v>
      </c>
      <c r="AC305" s="6">
        <f>AB305</f>
        <v>0</v>
      </c>
      <c r="AD305" s="6">
        <f t="shared" si="3789"/>
        <v>0</v>
      </c>
      <c r="AE305" s="6">
        <f t="shared" si="3790"/>
        <v>0</v>
      </c>
      <c r="AF305" s="6">
        <f t="shared" si="3791"/>
        <v>0</v>
      </c>
      <c r="AG305" s="6"/>
      <c r="AH305" s="6">
        <f t="shared" si="3792"/>
        <v>0</v>
      </c>
      <c r="AI305" s="6">
        <f t="shared" si="3793"/>
        <v>0</v>
      </c>
      <c r="AJ305" s="6">
        <f t="shared" si="3794"/>
        <v>0</v>
      </c>
      <c r="AK305" s="6">
        <f t="shared" si="3795"/>
        <v>0</v>
      </c>
      <c r="AL305" s="6">
        <f t="shared" si="3796"/>
        <v>0</v>
      </c>
      <c r="AM305" s="6"/>
      <c r="AN305" s="6">
        <f t="shared" si="3797"/>
        <v>0</v>
      </c>
      <c r="AO305" s="243">
        <f t="shared" si="3798"/>
        <v>0</v>
      </c>
      <c r="AP305" s="6">
        <f t="shared" si="3799"/>
        <v>0</v>
      </c>
      <c r="AQ305" s="243">
        <f t="shared" si="3800"/>
        <v>0</v>
      </c>
      <c r="AR305" s="243">
        <f t="shared" si="3801"/>
        <v>0</v>
      </c>
      <c r="AS305" s="6"/>
      <c r="AT305" s="6">
        <f t="shared" si="3802"/>
        <v>0</v>
      </c>
      <c r="AU305" s="243">
        <f t="shared" si="3803"/>
        <v>0</v>
      </c>
      <c r="AV305" s="243">
        <f t="shared" si="3804"/>
        <v>0</v>
      </c>
      <c r="AW305" s="164">
        <f t="shared" si="3805"/>
        <v>0</v>
      </c>
      <c r="AX305" s="6">
        <f t="shared" si="3806"/>
        <v>0</v>
      </c>
      <c r="AY305" s="6"/>
      <c r="AZ305" s="6">
        <f t="shared" ref="AZ305:AZ336" si="3845">DD305</f>
        <v>0</v>
      </c>
      <c r="BA305" s="6">
        <f t="shared" si="3807"/>
        <v>0</v>
      </c>
      <c r="BB305" s="6">
        <f t="shared" si="3808"/>
        <v>0</v>
      </c>
      <c r="BC305" s="6">
        <f t="shared" si="3809"/>
        <v>0</v>
      </c>
      <c r="BD305" s="6">
        <f t="shared" si="3810"/>
        <v>0</v>
      </c>
      <c r="BE305" s="6"/>
      <c r="BF305" s="6">
        <f t="shared" si="3811"/>
        <v>0</v>
      </c>
      <c r="BG305" s="6">
        <f t="shared" si="3812"/>
        <v>0</v>
      </c>
      <c r="BH305" s="6">
        <f t="shared" si="3813"/>
        <v>0</v>
      </c>
      <c r="BI305" s="6">
        <f t="shared" si="3814"/>
        <v>0</v>
      </c>
      <c r="BJ305" s="6">
        <f t="shared" si="3815"/>
        <v>0</v>
      </c>
      <c r="BK305" s="6"/>
      <c r="BL305" s="6">
        <f t="shared" si="3816"/>
        <v>0</v>
      </c>
      <c r="BM305" s="6">
        <f t="shared" si="3817"/>
        <v>0</v>
      </c>
      <c r="BN305" s="6">
        <f t="shared" si="3818"/>
        <v>0</v>
      </c>
      <c r="BO305" s="6">
        <f t="shared" si="3819"/>
        <v>0</v>
      </c>
      <c r="BP305" s="6">
        <f t="shared" si="3820"/>
        <v>0</v>
      </c>
      <c r="BQ305" s="6"/>
      <c r="BR305" s="6">
        <f t="shared" si="3821"/>
        <v>0</v>
      </c>
      <c r="BS305" s="6">
        <f t="shared" si="3822"/>
        <v>0</v>
      </c>
      <c r="BT305" s="6">
        <f t="shared" si="3823"/>
        <v>0</v>
      </c>
      <c r="BU305" s="6">
        <f t="shared" si="3824"/>
        <v>0</v>
      </c>
      <c r="BV305" s="6">
        <f t="shared" si="3825"/>
        <v>0</v>
      </c>
      <c r="BW305" s="6"/>
      <c r="BX305" s="6">
        <f t="shared" si="3826"/>
        <v>0</v>
      </c>
      <c r="BY305" s="6">
        <f t="shared" si="3827"/>
        <v>0</v>
      </c>
      <c r="BZ305" s="6">
        <f t="shared" si="3828"/>
        <v>0</v>
      </c>
      <c r="CA305" s="6">
        <f t="shared" si="3829"/>
        <v>0</v>
      </c>
      <c r="CB305" s="6">
        <f t="shared" si="3830"/>
        <v>0</v>
      </c>
      <c r="CC305" s="6"/>
      <c r="CD305" s="6">
        <f t="shared" si="3831"/>
        <v>0</v>
      </c>
      <c r="CE305" s="6">
        <f t="shared" si="3832"/>
        <v>0</v>
      </c>
      <c r="CF305" s="6">
        <f t="shared" si="3833"/>
        <v>0</v>
      </c>
      <c r="CG305" s="6">
        <f t="shared" si="3834"/>
        <v>0</v>
      </c>
      <c r="CH305" s="6">
        <f t="shared" si="3835"/>
        <v>0</v>
      </c>
      <c r="CI305" s="6"/>
      <c r="CJ305" s="6"/>
      <c r="CK305" s="6"/>
      <c r="CL305" s="6"/>
      <c r="CM305" s="6"/>
      <c r="CN305" s="6"/>
    </row>
    <row r="306" spans="2:92" ht="12.95" hidden="1" customHeight="1" outlineLevel="1" x14ac:dyDescent="0.25">
      <c r="B306" s="2" t="s">
        <v>40</v>
      </c>
      <c r="AB306" s="25">
        <f>Capitalization!F55</f>
        <v>0</v>
      </c>
      <c r="AC306" s="25">
        <f t="shared" ref="AC306" si="3846">AB306</f>
        <v>0</v>
      </c>
      <c r="AD306" s="25">
        <f t="shared" si="3789"/>
        <v>0</v>
      </c>
      <c r="AE306" s="25">
        <f t="shared" si="3790"/>
        <v>0</v>
      </c>
      <c r="AF306" s="25">
        <f t="shared" si="3791"/>
        <v>0</v>
      </c>
      <c r="AG306" s="10"/>
      <c r="AH306" s="25">
        <f t="shared" si="3792"/>
        <v>0</v>
      </c>
      <c r="AI306" s="25">
        <f t="shared" si="3793"/>
        <v>0</v>
      </c>
      <c r="AJ306" s="25">
        <f t="shared" si="3794"/>
        <v>0</v>
      </c>
      <c r="AK306" s="25">
        <f t="shared" si="3795"/>
        <v>0</v>
      </c>
      <c r="AL306" s="25">
        <f t="shared" si="3796"/>
        <v>0</v>
      </c>
      <c r="AM306" s="10"/>
      <c r="AN306" s="25">
        <f t="shared" si="3797"/>
        <v>0</v>
      </c>
      <c r="AO306" s="261">
        <f t="shared" si="3798"/>
        <v>0</v>
      </c>
      <c r="AP306" s="25">
        <f t="shared" si="3799"/>
        <v>0</v>
      </c>
      <c r="AQ306" s="261">
        <f t="shared" si="3800"/>
        <v>0</v>
      </c>
      <c r="AR306" s="261">
        <f t="shared" si="3801"/>
        <v>0</v>
      </c>
      <c r="AS306" s="10"/>
      <c r="AT306" s="25">
        <f t="shared" si="3802"/>
        <v>0</v>
      </c>
      <c r="AU306" s="261">
        <f t="shared" si="3803"/>
        <v>0</v>
      </c>
      <c r="AV306" s="261">
        <f t="shared" si="3804"/>
        <v>0</v>
      </c>
      <c r="AW306" s="363">
        <f t="shared" si="3805"/>
        <v>0</v>
      </c>
      <c r="AX306" s="25">
        <f t="shared" si="3806"/>
        <v>0</v>
      </c>
      <c r="AY306" s="10"/>
      <c r="AZ306" s="25">
        <f t="shared" si="3845"/>
        <v>0</v>
      </c>
      <c r="BA306" s="25">
        <f t="shared" si="3807"/>
        <v>0</v>
      </c>
      <c r="BB306" s="25">
        <f t="shared" si="3808"/>
        <v>0</v>
      </c>
      <c r="BC306" s="25">
        <f t="shared" si="3809"/>
        <v>0</v>
      </c>
      <c r="BD306" s="25">
        <f t="shared" si="3810"/>
        <v>0</v>
      </c>
      <c r="BE306" s="10"/>
      <c r="BF306" s="25">
        <f t="shared" si="3811"/>
        <v>0</v>
      </c>
      <c r="BG306" s="25">
        <f t="shared" si="3812"/>
        <v>0</v>
      </c>
      <c r="BH306" s="25">
        <f t="shared" si="3813"/>
        <v>0</v>
      </c>
      <c r="BI306" s="25">
        <f t="shared" si="3814"/>
        <v>0</v>
      </c>
      <c r="BJ306" s="25">
        <f t="shared" si="3815"/>
        <v>0</v>
      </c>
      <c r="BK306" s="10"/>
      <c r="BL306" s="25">
        <f t="shared" si="3816"/>
        <v>0</v>
      </c>
      <c r="BM306" s="25">
        <f t="shared" si="3817"/>
        <v>0</v>
      </c>
      <c r="BN306" s="25">
        <f t="shared" si="3818"/>
        <v>0</v>
      </c>
      <c r="BO306" s="25">
        <f t="shared" si="3819"/>
        <v>0</v>
      </c>
      <c r="BP306" s="25">
        <f t="shared" si="3820"/>
        <v>0</v>
      </c>
      <c r="BQ306" s="10"/>
      <c r="BR306" s="25">
        <f t="shared" si="3821"/>
        <v>0</v>
      </c>
      <c r="BS306" s="25">
        <f t="shared" si="3822"/>
        <v>0</v>
      </c>
      <c r="BT306" s="25">
        <f t="shared" si="3823"/>
        <v>0</v>
      </c>
      <c r="BU306" s="25">
        <f t="shared" si="3824"/>
        <v>0</v>
      </c>
      <c r="BV306" s="25">
        <f t="shared" si="3825"/>
        <v>0</v>
      </c>
      <c r="BW306" s="10"/>
      <c r="BX306" s="25">
        <f t="shared" si="3826"/>
        <v>0</v>
      </c>
      <c r="BY306" s="25">
        <f t="shared" si="3827"/>
        <v>0</v>
      </c>
      <c r="BZ306" s="25">
        <f t="shared" si="3828"/>
        <v>0</v>
      </c>
      <c r="CA306" s="25">
        <f t="shared" si="3829"/>
        <v>0</v>
      </c>
      <c r="CB306" s="25">
        <f t="shared" si="3830"/>
        <v>0</v>
      </c>
      <c r="CC306" s="10"/>
      <c r="CD306" s="25">
        <f t="shared" si="3831"/>
        <v>0</v>
      </c>
      <c r="CE306" s="25">
        <f t="shared" si="3832"/>
        <v>0</v>
      </c>
      <c r="CF306" s="25">
        <f t="shared" si="3833"/>
        <v>0</v>
      </c>
      <c r="CG306" s="25">
        <f t="shared" si="3834"/>
        <v>0</v>
      </c>
      <c r="CH306" s="25">
        <f t="shared" si="3835"/>
        <v>0</v>
      </c>
      <c r="CI306" s="10"/>
      <c r="CJ306" s="25"/>
      <c r="CK306" s="25"/>
      <c r="CL306" s="25"/>
      <c r="CM306" s="25"/>
      <c r="CN306" s="25"/>
    </row>
    <row r="307" spans="2:92" ht="12.95" hidden="1" customHeight="1" outlineLevel="1" x14ac:dyDescent="0.25">
      <c r="B307" s="2">
        <f>Capitalization!B56</f>
        <v>0</v>
      </c>
      <c r="AB307" s="6">
        <f>Capitalization!E56</f>
        <v>0</v>
      </c>
      <c r="AC307" s="6">
        <f>AB307</f>
        <v>0</v>
      </c>
      <c r="AD307" s="6">
        <f t="shared" si="3789"/>
        <v>0</v>
      </c>
      <c r="AE307" s="6">
        <f t="shared" si="3790"/>
        <v>0</v>
      </c>
      <c r="AF307" s="6">
        <f t="shared" si="3791"/>
        <v>0</v>
      </c>
      <c r="AG307" s="6"/>
      <c r="AH307" s="6">
        <f t="shared" si="3792"/>
        <v>0</v>
      </c>
      <c r="AI307" s="6">
        <f t="shared" si="3793"/>
        <v>0</v>
      </c>
      <c r="AJ307" s="6">
        <f t="shared" si="3794"/>
        <v>0</v>
      </c>
      <c r="AK307" s="6">
        <f t="shared" si="3795"/>
        <v>0</v>
      </c>
      <c r="AL307" s="6">
        <f t="shared" si="3796"/>
        <v>0</v>
      </c>
      <c r="AM307" s="6"/>
      <c r="AN307" s="6">
        <f t="shared" si="3797"/>
        <v>0</v>
      </c>
      <c r="AO307" s="243">
        <f t="shared" si="3798"/>
        <v>0</v>
      </c>
      <c r="AP307" s="6">
        <f t="shared" si="3799"/>
        <v>0</v>
      </c>
      <c r="AQ307" s="243">
        <f t="shared" si="3800"/>
        <v>0</v>
      </c>
      <c r="AR307" s="243">
        <f t="shared" si="3801"/>
        <v>0</v>
      </c>
      <c r="AS307" s="6"/>
      <c r="AT307" s="6">
        <f t="shared" si="3802"/>
        <v>0</v>
      </c>
      <c r="AU307" s="243">
        <f t="shared" si="3803"/>
        <v>0</v>
      </c>
      <c r="AV307" s="243">
        <f t="shared" si="3804"/>
        <v>0</v>
      </c>
      <c r="AW307" s="164">
        <f t="shared" si="3805"/>
        <v>0</v>
      </c>
      <c r="AX307" s="6">
        <f t="shared" si="3806"/>
        <v>0</v>
      </c>
      <c r="AY307" s="6"/>
      <c r="AZ307" s="6">
        <f t="shared" si="3845"/>
        <v>0</v>
      </c>
      <c r="BA307" s="6">
        <f t="shared" si="3807"/>
        <v>0</v>
      </c>
      <c r="BB307" s="6">
        <f t="shared" si="3808"/>
        <v>0</v>
      </c>
      <c r="BC307" s="6">
        <f t="shared" si="3809"/>
        <v>0</v>
      </c>
      <c r="BD307" s="6">
        <f t="shared" si="3810"/>
        <v>0</v>
      </c>
      <c r="BE307" s="6"/>
      <c r="BF307" s="6">
        <f t="shared" si="3811"/>
        <v>0</v>
      </c>
      <c r="BG307" s="6">
        <f t="shared" si="3812"/>
        <v>0</v>
      </c>
      <c r="BH307" s="6">
        <f t="shared" si="3813"/>
        <v>0</v>
      </c>
      <c r="BI307" s="6">
        <f t="shared" si="3814"/>
        <v>0</v>
      </c>
      <c r="BJ307" s="6">
        <f t="shared" si="3815"/>
        <v>0</v>
      </c>
      <c r="BK307" s="6"/>
      <c r="BL307" s="6">
        <f t="shared" si="3816"/>
        <v>0</v>
      </c>
      <c r="BM307" s="6">
        <f t="shared" si="3817"/>
        <v>0</v>
      </c>
      <c r="BN307" s="6">
        <f t="shared" si="3818"/>
        <v>0</v>
      </c>
      <c r="BO307" s="6">
        <f t="shared" si="3819"/>
        <v>0</v>
      </c>
      <c r="BP307" s="6">
        <f t="shared" si="3820"/>
        <v>0</v>
      </c>
      <c r="BQ307" s="6"/>
      <c r="BR307" s="6">
        <f t="shared" si="3821"/>
        <v>0</v>
      </c>
      <c r="BS307" s="6">
        <f t="shared" si="3822"/>
        <v>0</v>
      </c>
      <c r="BT307" s="6">
        <f t="shared" si="3823"/>
        <v>0</v>
      </c>
      <c r="BU307" s="6">
        <f t="shared" si="3824"/>
        <v>0</v>
      </c>
      <c r="BV307" s="6">
        <f t="shared" si="3825"/>
        <v>0</v>
      </c>
      <c r="BW307" s="6"/>
      <c r="BX307" s="6">
        <f t="shared" si="3826"/>
        <v>0</v>
      </c>
      <c r="BY307" s="6">
        <f t="shared" si="3827"/>
        <v>0</v>
      </c>
      <c r="BZ307" s="6">
        <f t="shared" si="3828"/>
        <v>0</v>
      </c>
      <c r="CA307" s="6">
        <f t="shared" si="3829"/>
        <v>0</v>
      </c>
      <c r="CB307" s="6">
        <f t="shared" si="3830"/>
        <v>0</v>
      </c>
      <c r="CC307" s="6"/>
      <c r="CD307" s="6">
        <f t="shared" si="3831"/>
        <v>0</v>
      </c>
      <c r="CE307" s="6">
        <f t="shared" si="3832"/>
        <v>0</v>
      </c>
      <c r="CF307" s="6">
        <f t="shared" si="3833"/>
        <v>0</v>
      </c>
      <c r="CG307" s="6">
        <f t="shared" si="3834"/>
        <v>0</v>
      </c>
      <c r="CH307" s="6">
        <f t="shared" si="3835"/>
        <v>0</v>
      </c>
      <c r="CI307" s="6"/>
      <c r="CJ307" s="6"/>
      <c r="CK307" s="6"/>
      <c r="CL307" s="6"/>
      <c r="CM307" s="6"/>
      <c r="CN307" s="6"/>
    </row>
    <row r="308" spans="2:92" ht="12.95" hidden="1" customHeight="1" outlineLevel="1" x14ac:dyDescent="0.25">
      <c r="B308" s="2" t="s">
        <v>40</v>
      </c>
      <c r="AB308" s="25">
        <f>Capitalization!F56</f>
        <v>0</v>
      </c>
      <c r="AC308" s="25">
        <f t="shared" ref="AC308" si="3847">AB308</f>
        <v>0</v>
      </c>
      <c r="AD308" s="25">
        <f t="shared" si="3789"/>
        <v>0</v>
      </c>
      <c r="AE308" s="25">
        <f t="shared" si="3790"/>
        <v>0</v>
      </c>
      <c r="AF308" s="25">
        <f t="shared" si="3791"/>
        <v>0</v>
      </c>
      <c r="AG308" s="10"/>
      <c r="AH308" s="25">
        <f t="shared" si="3792"/>
        <v>0</v>
      </c>
      <c r="AI308" s="25">
        <f t="shared" si="3793"/>
        <v>0</v>
      </c>
      <c r="AJ308" s="25">
        <f t="shared" si="3794"/>
        <v>0</v>
      </c>
      <c r="AK308" s="25">
        <f t="shared" si="3795"/>
        <v>0</v>
      </c>
      <c r="AL308" s="25">
        <f t="shared" si="3796"/>
        <v>0</v>
      </c>
      <c r="AM308" s="10"/>
      <c r="AN308" s="25">
        <f t="shared" si="3797"/>
        <v>0</v>
      </c>
      <c r="AO308" s="261">
        <f t="shared" si="3798"/>
        <v>0</v>
      </c>
      <c r="AP308" s="25">
        <f t="shared" si="3799"/>
        <v>0</v>
      </c>
      <c r="AQ308" s="261">
        <f t="shared" si="3800"/>
        <v>0</v>
      </c>
      <c r="AR308" s="261">
        <f t="shared" si="3801"/>
        <v>0</v>
      </c>
      <c r="AS308" s="10"/>
      <c r="AT308" s="25">
        <f t="shared" si="3802"/>
        <v>0</v>
      </c>
      <c r="AU308" s="261">
        <f t="shared" si="3803"/>
        <v>0</v>
      </c>
      <c r="AV308" s="261">
        <f t="shared" si="3804"/>
        <v>0</v>
      </c>
      <c r="AW308" s="363">
        <f t="shared" si="3805"/>
        <v>0</v>
      </c>
      <c r="AX308" s="25">
        <f t="shared" si="3806"/>
        <v>0</v>
      </c>
      <c r="AY308" s="10"/>
      <c r="AZ308" s="25">
        <f t="shared" si="3845"/>
        <v>0</v>
      </c>
      <c r="BA308" s="25">
        <f t="shared" si="3807"/>
        <v>0</v>
      </c>
      <c r="BB308" s="25">
        <f t="shared" si="3808"/>
        <v>0</v>
      </c>
      <c r="BC308" s="25">
        <f t="shared" si="3809"/>
        <v>0</v>
      </c>
      <c r="BD308" s="25">
        <f t="shared" si="3810"/>
        <v>0</v>
      </c>
      <c r="BE308" s="10"/>
      <c r="BF308" s="25">
        <f t="shared" si="3811"/>
        <v>0</v>
      </c>
      <c r="BG308" s="25">
        <f t="shared" si="3812"/>
        <v>0</v>
      </c>
      <c r="BH308" s="25">
        <f t="shared" si="3813"/>
        <v>0</v>
      </c>
      <c r="BI308" s="25">
        <f t="shared" si="3814"/>
        <v>0</v>
      </c>
      <c r="BJ308" s="25">
        <f t="shared" si="3815"/>
        <v>0</v>
      </c>
      <c r="BK308" s="10"/>
      <c r="BL308" s="25">
        <f t="shared" si="3816"/>
        <v>0</v>
      </c>
      <c r="BM308" s="25">
        <f t="shared" si="3817"/>
        <v>0</v>
      </c>
      <c r="BN308" s="25">
        <f t="shared" si="3818"/>
        <v>0</v>
      </c>
      <c r="BO308" s="25">
        <f t="shared" si="3819"/>
        <v>0</v>
      </c>
      <c r="BP308" s="25">
        <f t="shared" si="3820"/>
        <v>0</v>
      </c>
      <c r="BQ308" s="10"/>
      <c r="BR308" s="25">
        <f t="shared" si="3821"/>
        <v>0</v>
      </c>
      <c r="BS308" s="25">
        <f t="shared" si="3822"/>
        <v>0</v>
      </c>
      <c r="BT308" s="25">
        <f t="shared" si="3823"/>
        <v>0</v>
      </c>
      <c r="BU308" s="25">
        <f t="shared" si="3824"/>
        <v>0</v>
      </c>
      <c r="BV308" s="25">
        <f t="shared" si="3825"/>
        <v>0</v>
      </c>
      <c r="BW308" s="10"/>
      <c r="BX308" s="25">
        <f t="shared" si="3826"/>
        <v>0</v>
      </c>
      <c r="BY308" s="25">
        <f t="shared" si="3827"/>
        <v>0</v>
      </c>
      <c r="BZ308" s="25">
        <f t="shared" si="3828"/>
        <v>0</v>
      </c>
      <c r="CA308" s="25">
        <f t="shared" si="3829"/>
        <v>0</v>
      </c>
      <c r="CB308" s="25">
        <f t="shared" si="3830"/>
        <v>0</v>
      </c>
      <c r="CC308" s="10"/>
      <c r="CD308" s="25">
        <f t="shared" si="3831"/>
        <v>0</v>
      </c>
      <c r="CE308" s="25">
        <f t="shared" si="3832"/>
        <v>0</v>
      </c>
      <c r="CF308" s="25">
        <f t="shared" si="3833"/>
        <v>0</v>
      </c>
      <c r="CG308" s="25">
        <f t="shared" si="3834"/>
        <v>0</v>
      </c>
      <c r="CH308" s="25">
        <f t="shared" si="3835"/>
        <v>0</v>
      </c>
      <c r="CI308" s="10"/>
      <c r="CJ308" s="25"/>
      <c r="CK308" s="25"/>
      <c r="CL308" s="25"/>
      <c r="CM308" s="25"/>
      <c r="CN308" s="25"/>
    </row>
    <row r="309" spans="2:92" ht="12.95" hidden="1" customHeight="1" outlineLevel="1" x14ac:dyDescent="0.25">
      <c r="B309" s="2">
        <f>Capitalization!B57</f>
        <v>0</v>
      </c>
      <c r="AB309" s="6">
        <f>Capitalization!E57</f>
        <v>0</v>
      </c>
      <c r="AC309" s="6">
        <f>AB309</f>
        <v>0</v>
      </c>
      <c r="AD309" s="6">
        <f t="shared" si="3789"/>
        <v>0</v>
      </c>
      <c r="AE309" s="6">
        <f t="shared" si="3790"/>
        <v>0</v>
      </c>
      <c r="AF309" s="6">
        <f t="shared" si="3791"/>
        <v>0</v>
      </c>
      <c r="AG309" s="6"/>
      <c r="AH309" s="6">
        <f t="shared" si="3792"/>
        <v>0</v>
      </c>
      <c r="AI309" s="6">
        <f t="shared" si="3793"/>
        <v>0</v>
      </c>
      <c r="AJ309" s="6">
        <f t="shared" si="3794"/>
        <v>0</v>
      </c>
      <c r="AK309" s="6">
        <f t="shared" si="3795"/>
        <v>0</v>
      </c>
      <c r="AL309" s="6">
        <f t="shared" si="3796"/>
        <v>0</v>
      </c>
      <c r="AM309" s="6"/>
      <c r="AN309" s="6">
        <f t="shared" si="3797"/>
        <v>0</v>
      </c>
      <c r="AO309" s="243">
        <f t="shared" si="3798"/>
        <v>0</v>
      </c>
      <c r="AP309" s="6">
        <f t="shared" si="3799"/>
        <v>0</v>
      </c>
      <c r="AQ309" s="243">
        <f t="shared" si="3800"/>
        <v>0</v>
      </c>
      <c r="AR309" s="243">
        <f t="shared" si="3801"/>
        <v>0</v>
      </c>
      <c r="AS309" s="6"/>
      <c r="AT309" s="6">
        <f t="shared" si="3802"/>
        <v>0</v>
      </c>
      <c r="AU309" s="243">
        <f t="shared" si="3803"/>
        <v>0</v>
      </c>
      <c r="AV309" s="243">
        <f t="shared" si="3804"/>
        <v>0</v>
      </c>
      <c r="AW309" s="164">
        <f t="shared" si="3805"/>
        <v>0</v>
      </c>
      <c r="AX309" s="6">
        <f t="shared" si="3806"/>
        <v>0</v>
      </c>
      <c r="AY309" s="6"/>
      <c r="AZ309" s="6">
        <f t="shared" si="3845"/>
        <v>0</v>
      </c>
      <c r="BA309" s="6">
        <f t="shared" si="3807"/>
        <v>0</v>
      </c>
      <c r="BB309" s="6">
        <f t="shared" si="3808"/>
        <v>0</v>
      </c>
      <c r="BC309" s="6">
        <f t="shared" si="3809"/>
        <v>0</v>
      </c>
      <c r="BD309" s="6">
        <f t="shared" si="3810"/>
        <v>0</v>
      </c>
      <c r="BE309" s="6"/>
      <c r="BF309" s="6">
        <f t="shared" si="3811"/>
        <v>0</v>
      </c>
      <c r="BG309" s="6">
        <f t="shared" si="3812"/>
        <v>0</v>
      </c>
      <c r="BH309" s="6">
        <f t="shared" si="3813"/>
        <v>0</v>
      </c>
      <c r="BI309" s="6">
        <f t="shared" si="3814"/>
        <v>0</v>
      </c>
      <c r="BJ309" s="6">
        <f t="shared" si="3815"/>
        <v>0</v>
      </c>
      <c r="BK309" s="6"/>
      <c r="BL309" s="6">
        <f t="shared" si="3816"/>
        <v>0</v>
      </c>
      <c r="BM309" s="6">
        <f t="shared" si="3817"/>
        <v>0</v>
      </c>
      <c r="BN309" s="6">
        <f t="shared" si="3818"/>
        <v>0</v>
      </c>
      <c r="BO309" s="6">
        <f t="shared" si="3819"/>
        <v>0</v>
      </c>
      <c r="BP309" s="6">
        <f t="shared" si="3820"/>
        <v>0</v>
      </c>
      <c r="BQ309" s="6"/>
      <c r="BR309" s="6">
        <f t="shared" si="3821"/>
        <v>0</v>
      </c>
      <c r="BS309" s="6">
        <f t="shared" si="3822"/>
        <v>0</v>
      </c>
      <c r="BT309" s="6">
        <f t="shared" si="3823"/>
        <v>0</v>
      </c>
      <c r="BU309" s="6">
        <f t="shared" si="3824"/>
        <v>0</v>
      </c>
      <c r="BV309" s="6">
        <f t="shared" si="3825"/>
        <v>0</v>
      </c>
      <c r="BW309" s="6"/>
      <c r="BX309" s="6">
        <f t="shared" si="3826"/>
        <v>0</v>
      </c>
      <c r="BY309" s="6">
        <f t="shared" si="3827"/>
        <v>0</v>
      </c>
      <c r="BZ309" s="6">
        <f t="shared" si="3828"/>
        <v>0</v>
      </c>
      <c r="CA309" s="6">
        <f t="shared" si="3829"/>
        <v>0</v>
      </c>
      <c r="CB309" s="6">
        <f t="shared" si="3830"/>
        <v>0</v>
      </c>
      <c r="CC309" s="6"/>
      <c r="CD309" s="6">
        <f t="shared" si="3831"/>
        <v>0</v>
      </c>
      <c r="CE309" s="6">
        <f t="shared" si="3832"/>
        <v>0</v>
      </c>
      <c r="CF309" s="6">
        <f t="shared" si="3833"/>
        <v>0</v>
      </c>
      <c r="CG309" s="6">
        <f t="shared" si="3834"/>
        <v>0</v>
      </c>
      <c r="CH309" s="6">
        <f t="shared" si="3835"/>
        <v>0</v>
      </c>
      <c r="CI309" s="6"/>
      <c r="CJ309" s="6"/>
      <c r="CK309" s="6"/>
      <c r="CL309" s="6"/>
      <c r="CM309" s="6"/>
      <c r="CN309" s="6"/>
    </row>
    <row r="310" spans="2:92" ht="12.95" hidden="1" customHeight="1" outlineLevel="1" x14ac:dyDescent="0.25">
      <c r="B310" s="2" t="s">
        <v>40</v>
      </c>
      <c r="AB310" s="25">
        <f>Capitalization!F57</f>
        <v>0</v>
      </c>
      <c r="AC310" s="25">
        <f t="shared" ref="AC310" si="3848">AB310</f>
        <v>0</v>
      </c>
      <c r="AD310" s="25">
        <f t="shared" si="3789"/>
        <v>0</v>
      </c>
      <c r="AE310" s="25">
        <f t="shared" si="3790"/>
        <v>0</v>
      </c>
      <c r="AF310" s="25">
        <f t="shared" si="3791"/>
        <v>0</v>
      </c>
      <c r="AG310" s="10"/>
      <c r="AH310" s="25">
        <f t="shared" si="3792"/>
        <v>0</v>
      </c>
      <c r="AI310" s="25">
        <f t="shared" si="3793"/>
        <v>0</v>
      </c>
      <c r="AJ310" s="25">
        <f t="shared" si="3794"/>
        <v>0</v>
      </c>
      <c r="AK310" s="25">
        <f t="shared" si="3795"/>
        <v>0</v>
      </c>
      <c r="AL310" s="25">
        <f t="shared" si="3796"/>
        <v>0</v>
      </c>
      <c r="AM310" s="10"/>
      <c r="AN310" s="25">
        <f t="shared" si="3797"/>
        <v>0</v>
      </c>
      <c r="AO310" s="261">
        <f t="shared" si="3798"/>
        <v>0</v>
      </c>
      <c r="AP310" s="25">
        <f t="shared" si="3799"/>
        <v>0</v>
      </c>
      <c r="AQ310" s="261">
        <f t="shared" si="3800"/>
        <v>0</v>
      </c>
      <c r="AR310" s="261">
        <f t="shared" si="3801"/>
        <v>0</v>
      </c>
      <c r="AS310" s="10"/>
      <c r="AT310" s="25">
        <f t="shared" si="3802"/>
        <v>0</v>
      </c>
      <c r="AU310" s="261">
        <f t="shared" si="3803"/>
        <v>0</v>
      </c>
      <c r="AV310" s="261">
        <f t="shared" si="3804"/>
        <v>0</v>
      </c>
      <c r="AW310" s="363">
        <f t="shared" si="3805"/>
        <v>0</v>
      </c>
      <c r="AX310" s="25">
        <f t="shared" si="3806"/>
        <v>0</v>
      </c>
      <c r="AY310" s="10"/>
      <c r="AZ310" s="25">
        <f t="shared" si="3845"/>
        <v>0</v>
      </c>
      <c r="BA310" s="25">
        <f t="shared" si="3807"/>
        <v>0</v>
      </c>
      <c r="BB310" s="25">
        <f t="shared" si="3808"/>
        <v>0</v>
      </c>
      <c r="BC310" s="25">
        <f t="shared" si="3809"/>
        <v>0</v>
      </c>
      <c r="BD310" s="25">
        <f t="shared" si="3810"/>
        <v>0</v>
      </c>
      <c r="BE310" s="10"/>
      <c r="BF310" s="25">
        <f t="shared" si="3811"/>
        <v>0</v>
      </c>
      <c r="BG310" s="25">
        <f t="shared" si="3812"/>
        <v>0</v>
      </c>
      <c r="BH310" s="25">
        <f t="shared" si="3813"/>
        <v>0</v>
      </c>
      <c r="BI310" s="25">
        <f t="shared" si="3814"/>
        <v>0</v>
      </c>
      <c r="BJ310" s="25">
        <f t="shared" si="3815"/>
        <v>0</v>
      </c>
      <c r="BK310" s="10"/>
      <c r="BL310" s="25">
        <f t="shared" si="3816"/>
        <v>0</v>
      </c>
      <c r="BM310" s="25">
        <f t="shared" si="3817"/>
        <v>0</v>
      </c>
      <c r="BN310" s="25">
        <f t="shared" si="3818"/>
        <v>0</v>
      </c>
      <c r="BO310" s="25">
        <f t="shared" si="3819"/>
        <v>0</v>
      </c>
      <c r="BP310" s="25">
        <f t="shared" si="3820"/>
        <v>0</v>
      </c>
      <c r="BQ310" s="10"/>
      <c r="BR310" s="25">
        <f t="shared" si="3821"/>
        <v>0</v>
      </c>
      <c r="BS310" s="25">
        <f t="shared" si="3822"/>
        <v>0</v>
      </c>
      <c r="BT310" s="25">
        <f t="shared" si="3823"/>
        <v>0</v>
      </c>
      <c r="BU310" s="25">
        <f t="shared" si="3824"/>
        <v>0</v>
      </c>
      <c r="BV310" s="25">
        <f t="shared" si="3825"/>
        <v>0</v>
      </c>
      <c r="BW310" s="10"/>
      <c r="BX310" s="25">
        <f t="shared" si="3826"/>
        <v>0</v>
      </c>
      <c r="BY310" s="25">
        <f t="shared" si="3827"/>
        <v>0</v>
      </c>
      <c r="BZ310" s="25">
        <f t="shared" si="3828"/>
        <v>0</v>
      </c>
      <c r="CA310" s="25">
        <f t="shared" si="3829"/>
        <v>0</v>
      </c>
      <c r="CB310" s="25">
        <f t="shared" si="3830"/>
        <v>0</v>
      </c>
      <c r="CC310" s="10"/>
      <c r="CD310" s="25">
        <f t="shared" si="3831"/>
        <v>0</v>
      </c>
      <c r="CE310" s="25">
        <f t="shared" si="3832"/>
        <v>0</v>
      </c>
      <c r="CF310" s="25">
        <f t="shared" si="3833"/>
        <v>0</v>
      </c>
      <c r="CG310" s="25">
        <f t="shared" si="3834"/>
        <v>0</v>
      </c>
      <c r="CH310" s="25">
        <f t="shared" si="3835"/>
        <v>0</v>
      </c>
      <c r="CI310" s="10"/>
      <c r="CJ310" s="25"/>
      <c r="CK310" s="25"/>
      <c r="CL310" s="25"/>
      <c r="CM310" s="25"/>
      <c r="CN310" s="25"/>
    </row>
    <row r="311" spans="2:92" ht="12.95" hidden="1" customHeight="1" outlineLevel="1" x14ac:dyDescent="0.25">
      <c r="B311" s="2">
        <f>Capitalization!B58</f>
        <v>0</v>
      </c>
      <c r="AB311" s="6">
        <f>Capitalization!E58</f>
        <v>0</v>
      </c>
      <c r="AC311" s="6">
        <f>AB311</f>
        <v>0</v>
      </c>
      <c r="AD311" s="6">
        <f t="shared" si="3789"/>
        <v>0</v>
      </c>
      <c r="AE311" s="6">
        <f t="shared" si="3790"/>
        <v>0</v>
      </c>
      <c r="AF311" s="6">
        <f t="shared" si="3791"/>
        <v>0</v>
      </c>
      <c r="AG311" s="6"/>
      <c r="AH311" s="6">
        <f t="shared" si="3792"/>
        <v>0</v>
      </c>
      <c r="AI311" s="6">
        <f t="shared" si="3793"/>
        <v>0</v>
      </c>
      <c r="AJ311" s="6">
        <f t="shared" si="3794"/>
        <v>0</v>
      </c>
      <c r="AK311" s="6">
        <f t="shared" si="3795"/>
        <v>0</v>
      </c>
      <c r="AL311" s="6">
        <f t="shared" si="3796"/>
        <v>0</v>
      </c>
      <c r="AM311" s="6"/>
      <c r="AN311" s="6">
        <f t="shared" si="3797"/>
        <v>0</v>
      </c>
      <c r="AO311" s="243">
        <f t="shared" si="3798"/>
        <v>0</v>
      </c>
      <c r="AP311" s="6">
        <f t="shared" si="3799"/>
        <v>0</v>
      </c>
      <c r="AQ311" s="243">
        <f t="shared" si="3800"/>
        <v>0</v>
      </c>
      <c r="AR311" s="243">
        <f t="shared" si="3801"/>
        <v>0</v>
      </c>
      <c r="AS311" s="6"/>
      <c r="AT311" s="6">
        <f t="shared" si="3802"/>
        <v>0</v>
      </c>
      <c r="AU311" s="243">
        <f t="shared" si="3803"/>
        <v>0</v>
      </c>
      <c r="AV311" s="243">
        <f t="shared" si="3804"/>
        <v>0</v>
      </c>
      <c r="AW311" s="164">
        <f t="shared" si="3805"/>
        <v>0</v>
      </c>
      <c r="AX311" s="6">
        <f t="shared" si="3806"/>
        <v>0</v>
      </c>
      <c r="AY311" s="6"/>
      <c r="AZ311" s="6">
        <f t="shared" si="3845"/>
        <v>0</v>
      </c>
      <c r="BA311" s="6">
        <f t="shared" si="3807"/>
        <v>0</v>
      </c>
      <c r="BB311" s="6">
        <f t="shared" si="3808"/>
        <v>0</v>
      </c>
      <c r="BC311" s="6">
        <f t="shared" si="3809"/>
        <v>0</v>
      </c>
      <c r="BD311" s="6">
        <f t="shared" si="3810"/>
        <v>0</v>
      </c>
      <c r="BE311" s="6"/>
      <c r="BF311" s="6">
        <f t="shared" si="3811"/>
        <v>0</v>
      </c>
      <c r="BG311" s="6">
        <f t="shared" si="3812"/>
        <v>0</v>
      </c>
      <c r="BH311" s="6">
        <f t="shared" si="3813"/>
        <v>0</v>
      </c>
      <c r="BI311" s="6">
        <f t="shared" si="3814"/>
        <v>0</v>
      </c>
      <c r="BJ311" s="6">
        <f t="shared" si="3815"/>
        <v>0</v>
      </c>
      <c r="BK311" s="6"/>
      <c r="BL311" s="6">
        <f t="shared" si="3816"/>
        <v>0</v>
      </c>
      <c r="BM311" s="6">
        <f t="shared" si="3817"/>
        <v>0</v>
      </c>
      <c r="BN311" s="6">
        <f t="shared" si="3818"/>
        <v>0</v>
      </c>
      <c r="BO311" s="6">
        <f t="shared" si="3819"/>
        <v>0</v>
      </c>
      <c r="BP311" s="6">
        <f t="shared" si="3820"/>
        <v>0</v>
      </c>
      <c r="BQ311" s="6"/>
      <c r="BR311" s="6">
        <f t="shared" si="3821"/>
        <v>0</v>
      </c>
      <c r="BS311" s="6">
        <f t="shared" si="3822"/>
        <v>0</v>
      </c>
      <c r="BT311" s="6">
        <f t="shared" si="3823"/>
        <v>0</v>
      </c>
      <c r="BU311" s="6">
        <f t="shared" si="3824"/>
        <v>0</v>
      </c>
      <c r="BV311" s="6">
        <f t="shared" si="3825"/>
        <v>0</v>
      </c>
      <c r="BW311" s="6"/>
      <c r="BX311" s="6">
        <f t="shared" si="3826"/>
        <v>0</v>
      </c>
      <c r="BY311" s="6">
        <f t="shared" si="3827"/>
        <v>0</v>
      </c>
      <c r="BZ311" s="6">
        <f t="shared" si="3828"/>
        <v>0</v>
      </c>
      <c r="CA311" s="6">
        <f t="shared" si="3829"/>
        <v>0</v>
      </c>
      <c r="CB311" s="6">
        <f t="shared" si="3830"/>
        <v>0</v>
      </c>
      <c r="CC311" s="6"/>
      <c r="CD311" s="6">
        <f t="shared" si="3831"/>
        <v>0</v>
      </c>
      <c r="CE311" s="6">
        <f t="shared" si="3832"/>
        <v>0</v>
      </c>
      <c r="CF311" s="6">
        <f t="shared" si="3833"/>
        <v>0</v>
      </c>
      <c r="CG311" s="6">
        <f t="shared" si="3834"/>
        <v>0</v>
      </c>
      <c r="CH311" s="6">
        <f t="shared" si="3835"/>
        <v>0</v>
      </c>
      <c r="CI311" s="6"/>
      <c r="CJ311" s="6"/>
      <c r="CK311" s="6"/>
      <c r="CL311" s="6"/>
      <c r="CM311" s="6"/>
      <c r="CN311" s="6"/>
    </row>
    <row r="312" spans="2:92" ht="12.95" hidden="1" customHeight="1" outlineLevel="1" x14ac:dyDescent="0.25">
      <c r="B312" s="2" t="s">
        <v>40</v>
      </c>
      <c r="AB312" s="25">
        <f>Capitalization!F58</f>
        <v>0</v>
      </c>
      <c r="AC312" s="25">
        <f t="shared" ref="AC312" si="3849">AB312</f>
        <v>0</v>
      </c>
      <c r="AD312" s="25">
        <f t="shared" si="3789"/>
        <v>0</v>
      </c>
      <c r="AE312" s="25">
        <f t="shared" si="3790"/>
        <v>0</v>
      </c>
      <c r="AF312" s="25">
        <f t="shared" si="3791"/>
        <v>0</v>
      </c>
      <c r="AG312" s="10"/>
      <c r="AH312" s="25">
        <f t="shared" si="3792"/>
        <v>0</v>
      </c>
      <c r="AI312" s="25">
        <f t="shared" si="3793"/>
        <v>0</v>
      </c>
      <c r="AJ312" s="25">
        <f t="shared" si="3794"/>
        <v>0</v>
      </c>
      <c r="AK312" s="25">
        <f t="shared" si="3795"/>
        <v>0</v>
      </c>
      <c r="AL312" s="25">
        <f t="shared" si="3796"/>
        <v>0</v>
      </c>
      <c r="AM312" s="10"/>
      <c r="AN312" s="25">
        <f t="shared" si="3797"/>
        <v>0</v>
      </c>
      <c r="AO312" s="261">
        <f t="shared" si="3798"/>
        <v>0</v>
      </c>
      <c r="AP312" s="25">
        <f t="shared" si="3799"/>
        <v>0</v>
      </c>
      <c r="AQ312" s="261">
        <f t="shared" si="3800"/>
        <v>0</v>
      </c>
      <c r="AR312" s="261">
        <f t="shared" si="3801"/>
        <v>0</v>
      </c>
      <c r="AS312" s="10"/>
      <c r="AT312" s="25">
        <f t="shared" si="3802"/>
        <v>0</v>
      </c>
      <c r="AU312" s="261">
        <f t="shared" si="3803"/>
        <v>0</v>
      </c>
      <c r="AV312" s="261">
        <f t="shared" si="3804"/>
        <v>0</v>
      </c>
      <c r="AW312" s="363">
        <f t="shared" si="3805"/>
        <v>0</v>
      </c>
      <c r="AX312" s="25">
        <f t="shared" si="3806"/>
        <v>0</v>
      </c>
      <c r="AY312" s="10"/>
      <c r="AZ312" s="25">
        <f t="shared" si="3845"/>
        <v>0</v>
      </c>
      <c r="BA312" s="25">
        <f t="shared" si="3807"/>
        <v>0</v>
      </c>
      <c r="BB312" s="25">
        <f t="shared" si="3808"/>
        <v>0</v>
      </c>
      <c r="BC312" s="25">
        <f t="shared" si="3809"/>
        <v>0</v>
      </c>
      <c r="BD312" s="25">
        <f t="shared" si="3810"/>
        <v>0</v>
      </c>
      <c r="BE312" s="10"/>
      <c r="BF312" s="25">
        <f t="shared" si="3811"/>
        <v>0</v>
      </c>
      <c r="BG312" s="25">
        <f t="shared" si="3812"/>
        <v>0</v>
      </c>
      <c r="BH312" s="25">
        <f t="shared" si="3813"/>
        <v>0</v>
      </c>
      <c r="BI312" s="25">
        <f t="shared" si="3814"/>
        <v>0</v>
      </c>
      <c r="BJ312" s="25">
        <f t="shared" si="3815"/>
        <v>0</v>
      </c>
      <c r="BK312" s="10"/>
      <c r="BL312" s="25">
        <f t="shared" si="3816"/>
        <v>0</v>
      </c>
      <c r="BM312" s="25">
        <f t="shared" si="3817"/>
        <v>0</v>
      </c>
      <c r="BN312" s="25">
        <f t="shared" si="3818"/>
        <v>0</v>
      </c>
      <c r="BO312" s="25">
        <f t="shared" si="3819"/>
        <v>0</v>
      </c>
      <c r="BP312" s="25">
        <f t="shared" si="3820"/>
        <v>0</v>
      </c>
      <c r="BQ312" s="10"/>
      <c r="BR312" s="25">
        <f t="shared" si="3821"/>
        <v>0</v>
      </c>
      <c r="BS312" s="25">
        <f t="shared" si="3822"/>
        <v>0</v>
      </c>
      <c r="BT312" s="25">
        <f t="shared" si="3823"/>
        <v>0</v>
      </c>
      <c r="BU312" s="25">
        <f t="shared" si="3824"/>
        <v>0</v>
      </c>
      <c r="BV312" s="25">
        <f t="shared" si="3825"/>
        <v>0</v>
      </c>
      <c r="BW312" s="10"/>
      <c r="BX312" s="25">
        <f t="shared" si="3826"/>
        <v>0</v>
      </c>
      <c r="BY312" s="25">
        <f t="shared" si="3827"/>
        <v>0</v>
      </c>
      <c r="BZ312" s="25">
        <f t="shared" si="3828"/>
        <v>0</v>
      </c>
      <c r="CA312" s="25">
        <f t="shared" si="3829"/>
        <v>0</v>
      </c>
      <c r="CB312" s="25">
        <f t="shared" si="3830"/>
        <v>0</v>
      </c>
      <c r="CC312" s="10"/>
      <c r="CD312" s="25">
        <f t="shared" si="3831"/>
        <v>0</v>
      </c>
      <c r="CE312" s="25">
        <f t="shared" si="3832"/>
        <v>0</v>
      </c>
      <c r="CF312" s="25">
        <f t="shared" si="3833"/>
        <v>0</v>
      </c>
      <c r="CG312" s="25">
        <f t="shared" si="3834"/>
        <v>0</v>
      </c>
      <c r="CH312" s="25">
        <f t="shared" si="3835"/>
        <v>0</v>
      </c>
      <c r="CI312" s="10"/>
      <c r="CJ312" s="25"/>
      <c r="CK312" s="25"/>
      <c r="CL312" s="25"/>
      <c r="CM312" s="25"/>
      <c r="CN312" s="25"/>
    </row>
    <row r="313" spans="2:92" ht="12.95" hidden="1" customHeight="1" outlineLevel="1" x14ac:dyDescent="0.25">
      <c r="B313" s="2">
        <f>Capitalization!B59</f>
        <v>0</v>
      </c>
      <c r="AB313" s="6">
        <f>Capitalization!E59</f>
        <v>0</v>
      </c>
      <c r="AC313" s="6">
        <f>AB313</f>
        <v>0</v>
      </c>
      <c r="AD313" s="6">
        <f t="shared" si="3789"/>
        <v>0</v>
      </c>
      <c r="AE313" s="6">
        <f t="shared" si="3790"/>
        <v>0</v>
      </c>
      <c r="AF313" s="6">
        <f t="shared" si="3791"/>
        <v>0</v>
      </c>
      <c r="AG313" s="6"/>
      <c r="AH313" s="6">
        <f t="shared" si="3792"/>
        <v>0</v>
      </c>
      <c r="AI313" s="6">
        <f t="shared" si="3793"/>
        <v>0</v>
      </c>
      <c r="AJ313" s="6">
        <f t="shared" si="3794"/>
        <v>0</v>
      </c>
      <c r="AK313" s="6">
        <f t="shared" si="3795"/>
        <v>0</v>
      </c>
      <c r="AL313" s="6">
        <f t="shared" si="3796"/>
        <v>0</v>
      </c>
      <c r="AM313" s="6"/>
      <c r="AN313" s="6">
        <f t="shared" si="3797"/>
        <v>0</v>
      </c>
      <c r="AO313" s="243">
        <f t="shared" si="3798"/>
        <v>0</v>
      </c>
      <c r="AP313" s="6">
        <f t="shared" si="3799"/>
        <v>0</v>
      </c>
      <c r="AQ313" s="243">
        <f t="shared" si="3800"/>
        <v>0</v>
      </c>
      <c r="AR313" s="243">
        <f t="shared" si="3801"/>
        <v>0</v>
      </c>
      <c r="AS313" s="6"/>
      <c r="AT313" s="6">
        <f t="shared" si="3802"/>
        <v>0</v>
      </c>
      <c r="AU313" s="243">
        <f t="shared" si="3803"/>
        <v>0</v>
      </c>
      <c r="AV313" s="243">
        <f t="shared" si="3804"/>
        <v>0</v>
      </c>
      <c r="AW313" s="164">
        <f t="shared" si="3805"/>
        <v>0</v>
      </c>
      <c r="AX313" s="6">
        <f t="shared" si="3806"/>
        <v>0</v>
      </c>
      <c r="AY313" s="6"/>
      <c r="AZ313" s="6">
        <f t="shared" si="3845"/>
        <v>0</v>
      </c>
      <c r="BA313" s="6">
        <f t="shared" si="3807"/>
        <v>0</v>
      </c>
      <c r="BB313" s="6">
        <f t="shared" si="3808"/>
        <v>0</v>
      </c>
      <c r="BC313" s="6">
        <f t="shared" si="3809"/>
        <v>0</v>
      </c>
      <c r="BD313" s="6">
        <f t="shared" si="3810"/>
        <v>0</v>
      </c>
      <c r="BE313" s="6"/>
      <c r="BF313" s="6">
        <f t="shared" si="3811"/>
        <v>0</v>
      </c>
      <c r="BG313" s="6">
        <f t="shared" si="3812"/>
        <v>0</v>
      </c>
      <c r="BH313" s="6">
        <f t="shared" si="3813"/>
        <v>0</v>
      </c>
      <c r="BI313" s="6">
        <f t="shared" si="3814"/>
        <v>0</v>
      </c>
      <c r="BJ313" s="6">
        <f t="shared" si="3815"/>
        <v>0</v>
      </c>
      <c r="BK313" s="6"/>
      <c r="BL313" s="6">
        <f t="shared" si="3816"/>
        <v>0</v>
      </c>
      <c r="BM313" s="6">
        <f t="shared" si="3817"/>
        <v>0</v>
      </c>
      <c r="BN313" s="6">
        <f t="shared" si="3818"/>
        <v>0</v>
      </c>
      <c r="BO313" s="6">
        <f t="shared" si="3819"/>
        <v>0</v>
      </c>
      <c r="BP313" s="6">
        <f t="shared" si="3820"/>
        <v>0</v>
      </c>
      <c r="BQ313" s="6"/>
      <c r="BR313" s="6">
        <f t="shared" si="3821"/>
        <v>0</v>
      </c>
      <c r="BS313" s="6">
        <f t="shared" si="3822"/>
        <v>0</v>
      </c>
      <c r="BT313" s="6">
        <f t="shared" si="3823"/>
        <v>0</v>
      </c>
      <c r="BU313" s="6">
        <f t="shared" si="3824"/>
        <v>0</v>
      </c>
      <c r="BV313" s="6">
        <f t="shared" si="3825"/>
        <v>0</v>
      </c>
      <c r="BW313" s="6"/>
      <c r="BX313" s="6">
        <f t="shared" si="3826"/>
        <v>0</v>
      </c>
      <c r="BY313" s="6">
        <f t="shared" si="3827"/>
        <v>0</v>
      </c>
      <c r="BZ313" s="6">
        <f t="shared" si="3828"/>
        <v>0</v>
      </c>
      <c r="CA313" s="6">
        <f t="shared" si="3829"/>
        <v>0</v>
      </c>
      <c r="CB313" s="6">
        <f t="shared" si="3830"/>
        <v>0</v>
      </c>
      <c r="CC313" s="6"/>
      <c r="CD313" s="6">
        <f t="shared" si="3831"/>
        <v>0</v>
      </c>
      <c r="CE313" s="6">
        <f t="shared" si="3832"/>
        <v>0</v>
      </c>
      <c r="CF313" s="6">
        <f t="shared" si="3833"/>
        <v>0</v>
      </c>
      <c r="CG313" s="6">
        <f t="shared" si="3834"/>
        <v>0</v>
      </c>
      <c r="CH313" s="6">
        <f t="shared" si="3835"/>
        <v>0</v>
      </c>
      <c r="CI313" s="6"/>
      <c r="CJ313" s="6"/>
      <c r="CK313" s="6"/>
      <c r="CL313" s="6"/>
      <c r="CM313" s="6"/>
      <c r="CN313" s="6"/>
    </row>
    <row r="314" spans="2:92" ht="12.95" hidden="1" customHeight="1" outlineLevel="1" x14ac:dyDescent="0.25">
      <c r="B314" s="2" t="s">
        <v>40</v>
      </c>
      <c r="AB314" s="25">
        <f>Capitalization!F59</f>
        <v>0</v>
      </c>
      <c r="AC314" s="25">
        <f t="shared" ref="AC314" si="3850">AB314</f>
        <v>0</v>
      </c>
      <c r="AD314" s="25">
        <f t="shared" si="3789"/>
        <v>0</v>
      </c>
      <c r="AE314" s="25">
        <f t="shared" si="3790"/>
        <v>0</v>
      </c>
      <c r="AF314" s="25">
        <f t="shared" si="3791"/>
        <v>0</v>
      </c>
      <c r="AG314" s="10"/>
      <c r="AH314" s="25">
        <f t="shared" si="3792"/>
        <v>0</v>
      </c>
      <c r="AI314" s="25">
        <f t="shared" si="3793"/>
        <v>0</v>
      </c>
      <c r="AJ314" s="25">
        <f t="shared" si="3794"/>
        <v>0</v>
      </c>
      <c r="AK314" s="25">
        <f t="shared" si="3795"/>
        <v>0</v>
      </c>
      <c r="AL314" s="25">
        <f t="shared" si="3796"/>
        <v>0</v>
      </c>
      <c r="AM314" s="10"/>
      <c r="AN314" s="25">
        <f t="shared" si="3797"/>
        <v>0</v>
      </c>
      <c r="AO314" s="261">
        <f t="shared" si="3798"/>
        <v>0</v>
      </c>
      <c r="AP314" s="25">
        <f t="shared" si="3799"/>
        <v>0</v>
      </c>
      <c r="AQ314" s="261">
        <f t="shared" si="3800"/>
        <v>0</v>
      </c>
      <c r="AR314" s="261">
        <f t="shared" si="3801"/>
        <v>0</v>
      </c>
      <c r="AS314" s="10"/>
      <c r="AT314" s="25">
        <f t="shared" si="3802"/>
        <v>0</v>
      </c>
      <c r="AU314" s="261">
        <f t="shared" si="3803"/>
        <v>0</v>
      </c>
      <c r="AV314" s="261">
        <f t="shared" si="3804"/>
        <v>0</v>
      </c>
      <c r="AW314" s="363">
        <f t="shared" si="3805"/>
        <v>0</v>
      </c>
      <c r="AX314" s="25">
        <f t="shared" si="3806"/>
        <v>0</v>
      </c>
      <c r="AY314" s="10"/>
      <c r="AZ314" s="25">
        <f t="shared" si="3845"/>
        <v>0</v>
      </c>
      <c r="BA314" s="25">
        <f t="shared" si="3807"/>
        <v>0</v>
      </c>
      <c r="BB314" s="25">
        <f t="shared" si="3808"/>
        <v>0</v>
      </c>
      <c r="BC314" s="25">
        <f t="shared" si="3809"/>
        <v>0</v>
      </c>
      <c r="BD314" s="25">
        <f t="shared" si="3810"/>
        <v>0</v>
      </c>
      <c r="BE314" s="10"/>
      <c r="BF314" s="25">
        <f t="shared" si="3811"/>
        <v>0</v>
      </c>
      <c r="BG314" s="25">
        <f t="shared" si="3812"/>
        <v>0</v>
      </c>
      <c r="BH314" s="25">
        <f t="shared" si="3813"/>
        <v>0</v>
      </c>
      <c r="BI314" s="25">
        <f t="shared" si="3814"/>
        <v>0</v>
      </c>
      <c r="BJ314" s="25">
        <f t="shared" si="3815"/>
        <v>0</v>
      </c>
      <c r="BK314" s="10"/>
      <c r="BL314" s="25">
        <f t="shared" si="3816"/>
        <v>0</v>
      </c>
      <c r="BM314" s="25">
        <f t="shared" si="3817"/>
        <v>0</v>
      </c>
      <c r="BN314" s="25">
        <f t="shared" si="3818"/>
        <v>0</v>
      </c>
      <c r="BO314" s="25">
        <f t="shared" si="3819"/>
        <v>0</v>
      </c>
      <c r="BP314" s="25">
        <f t="shared" si="3820"/>
        <v>0</v>
      </c>
      <c r="BQ314" s="10"/>
      <c r="BR314" s="25">
        <f t="shared" si="3821"/>
        <v>0</v>
      </c>
      <c r="BS314" s="25">
        <f t="shared" si="3822"/>
        <v>0</v>
      </c>
      <c r="BT314" s="25">
        <f t="shared" si="3823"/>
        <v>0</v>
      </c>
      <c r="BU314" s="25">
        <f t="shared" si="3824"/>
        <v>0</v>
      </c>
      <c r="BV314" s="25">
        <f t="shared" si="3825"/>
        <v>0</v>
      </c>
      <c r="BW314" s="10"/>
      <c r="BX314" s="25">
        <f t="shared" si="3826"/>
        <v>0</v>
      </c>
      <c r="BY314" s="25">
        <f t="shared" si="3827"/>
        <v>0</v>
      </c>
      <c r="BZ314" s="25">
        <f t="shared" si="3828"/>
        <v>0</v>
      </c>
      <c r="CA314" s="25">
        <f t="shared" si="3829"/>
        <v>0</v>
      </c>
      <c r="CB314" s="25">
        <f t="shared" si="3830"/>
        <v>0</v>
      </c>
      <c r="CC314" s="10"/>
      <c r="CD314" s="25">
        <f t="shared" si="3831"/>
        <v>0</v>
      </c>
      <c r="CE314" s="25">
        <f t="shared" si="3832"/>
        <v>0</v>
      </c>
      <c r="CF314" s="25">
        <f t="shared" si="3833"/>
        <v>0</v>
      </c>
      <c r="CG314" s="25">
        <f t="shared" si="3834"/>
        <v>0</v>
      </c>
      <c r="CH314" s="25">
        <f t="shared" si="3835"/>
        <v>0</v>
      </c>
      <c r="CI314" s="10"/>
      <c r="CJ314" s="25"/>
      <c r="CK314" s="25"/>
      <c r="CL314" s="25"/>
      <c r="CM314" s="25"/>
      <c r="CN314" s="25"/>
    </row>
    <row r="315" spans="2:92" ht="12.95" hidden="1" customHeight="1" outlineLevel="1" x14ac:dyDescent="0.25">
      <c r="B315" s="2">
        <f>Capitalization!B60</f>
        <v>0</v>
      </c>
      <c r="AB315" s="6">
        <f>Capitalization!E60</f>
        <v>0</v>
      </c>
      <c r="AC315" s="6">
        <f>AB315</f>
        <v>0</v>
      </c>
      <c r="AD315" s="6">
        <f t="shared" si="3789"/>
        <v>0</v>
      </c>
      <c r="AE315" s="6">
        <f t="shared" si="3790"/>
        <v>0</v>
      </c>
      <c r="AF315" s="6">
        <f t="shared" si="3791"/>
        <v>0</v>
      </c>
      <c r="AG315" s="6"/>
      <c r="AH315" s="6">
        <f t="shared" si="3792"/>
        <v>0</v>
      </c>
      <c r="AI315" s="6">
        <f t="shared" si="3793"/>
        <v>0</v>
      </c>
      <c r="AJ315" s="6">
        <f t="shared" si="3794"/>
        <v>0</v>
      </c>
      <c r="AK315" s="6">
        <f t="shared" si="3795"/>
        <v>0</v>
      </c>
      <c r="AL315" s="6">
        <f t="shared" si="3796"/>
        <v>0</v>
      </c>
      <c r="AM315" s="6"/>
      <c r="AN315" s="6">
        <f t="shared" si="3797"/>
        <v>0</v>
      </c>
      <c r="AO315" s="243">
        <f t="shared" si="3798"/>
        <v>0</v>
      </c>
      <c r="AP315" s="6">
        <f t="shared" si="3799"/>
        <v>0</v>
      </c>
      <c r="AQ315" s="243">
        <f t="shared" si="3800"/>
        <v>0</v>
      </c>
      <c r="AR315" s="243">
        <f t="shared" si="3801"/>
        <v>0</v>
      </c>
      <c r="AS315" s="6"/>
      <c r="AT315" s="6">
        <f t="shared" si="3802"/>
        <v>0</v>
      </c>
      <c r="AU315" s="243">
        <f t="shared" si="3803"/>
        <v>0</v>
      </c>
      <c r="AV315" s="243">
        <f t="shared" si="3804"/>
        <v>0</v>
      </c>
      <c r="AW315" s="164">
        <f t="shared" si="3805"/>
        <v>0</v>
      </c>
      <c r="AX315" s="6">
        <f t="shared" si="3806"/>
        <v>0</v>
      </c>
      <c r="AY315" s="6"/>
      <c r="AZ315" s="6">
        <f t="shared" si="3845"/>
        <v>0</v>
      </c>
      <c r="BA315" s="6">
        <f t="shared" si="3807"/>
        <v>0</v>
      </c>
      <c r="BB315" s="6">
        <f t="shared" si="3808"/>
        <v>0</v>
      </c>
      <c r="BC315" s="6">
        <f t="shared" si="3809"/>
        <v>0</v>
      </c>
      <c r="BD315" s="6">
        <f t="shared" si="3810"/>
        <v>0</v>
      </c>
      <c r="BE315" s="6"/>
      <c r="BF315" s="6">
        <f t="shared" si="3811"/>
        <v>0</v>
      </c>
      <c r="BG315" s="6">
        <f t="shared" si="3812"/>
        <v>0</v>
      </c>
      <c r="BH315" s="6">
        <f t="shared" si="3813"/>
        <v>0</v>
      </c>
      <c r="BI315" s="6">
        <f t="shared" si="3814"/>
        <v>0</v>
      </c>
      <c r="BJ315" s="6">
        <f t="shared" si="3815"/>
        <v>0</v>
      </c>
      <c r="BK315" s="6"/>
      <c r="BL315" s="6">
        <f t="shared" si="3816"/>
        <v>0</v>
      </c>
      <c r="BM315" s="6">
        <f t="shared" si="3817"/>
        <v>0</v>
      </c>
      <c r="BN315" s="6">
        <f t="shared" si="3818"/>
        <v>0</v>
      </c>
      <c r="BO315" s="6">
        <f t="shared" si="3819"/>
        <v>0</v>
      </c>
      <c r="BP315" s="6">
        <f t="shared" si="3820"/>
        <v>0</v>
      </c>
      <c r="BQ315" s="6"/>
      <c r="BR315" s="6">
        <f t="shared" si="3821"/>
        <v>0</v>
      </c>
      <c r="BS315" s="6">
        <f t="shared" si="3822"/>
        <v>0</v>
      </c>
      <c r="BT315" s="6">
        <f t="shared" si="3823"/>
        <v>0</v>
      </c>
      <c r="BU315" s="6">
        <f t="shared" si="3824"/>
        <v>0</v>
      </c>
      <c r="BV315" s="6">
        <f t="shared" si="3825"/>
        <v>0</v>
      </c>
      <c r="BW315" s="6"/>
      <c r="BX315" s="6">
        <f t="shared" si="3826"/>
        <v>0</v>
      </c>
      <c r="BY315" s="6">
        <f t="shared" si="3827"/>
        <v>0</v>
      </c>
      <c r="BZ315" s="6">
        <f t="shared" si="3828"/>
        <v>0</v>
      </c>
      <c r="CA315" s="6">
        <f t="shared" si="3829"/>
        <v>0</v>
      </c>
      <c r="CB315" s="6">
        <f t="shared" si="3830"/>
        <v>0</v>
      </c>
      <c r="CC315" s="6"/>
      <c r="CD315" s="6">
        <f t="shared" si="3831"/>
        <v>0</v>
      </c>
      <c r="CE315" s="6">
        <f t="shared" si="3832"/>
        <v>0</v>
      </c>
      <c r="CF315" s="6">
        <f t="shared" si="3833"/>
        <v>0</v>
      </c>
      <c r="CG315" s="6">
        <f t="shared" si="3834"/>
        <v>0</v>
      </c>
      <c r="CH315" s="6">
        <f t="shared" si="3835"/>
        <v>0</v>
      </c>
      <c r="CI315" s="6"/>
      <c r="CJ315" s="6"/>
      <c r="CK315" s="6"/>
      <c r="CL315" s="6"/>
      <c r="CM315" s="6"/>
      <c r="CN315" s="6"/>
    </row>
    <row r="316" spans="2:92" ht="12.95" hidden="1" customHeight="1" outlineLevel="1" x14ac:dyDescent="0.25">
      <c r="B316" s="2" t="s">
        <v>40</v>
      </c>
      <c r="AB316" s="25">
        <f>Capitalization!F60</f>
        <v>0</v>
      </c>
      <c r="AC316" s="25">
        <f t="shared" ref="AC316" si="3851">AB316</f>
        <v>0</v>
      </c>
      <c r="AD316" s="25">
        <f t="shared" si="3789"/>
        <v>0</v>
      </c>
      <c r="AE316" s="25">
        <f t="shared" si="3790"/>
        <v>0</v>
      </c>
      <c r="AF316" s="25">
        <f t="shared" si="3791"/>
        <v>0</v>
      </c>
      <c r="AG316" s="10"/>
      <c r="AH316" s="25">
        <f t="shared" si="3792"/>
        <v>0</v>
      </c>
      <c r="AI316" s="25">
        <f t="shared" si="3793"/>
        <v>0</v>
      </c>
      <c r="AJ316" s="25">
        <f t="shared" si="3794"/>
        <v>0</v>
      </c>
      <c r="AK316" s="25">
        <f t="shared" si="3795"/>
        <v>0</v>
      </c>
      <c r="AL316" s="25">
        <f t="shared" si="3796"/>
        <v>0</v>
      </c>
      <c r="AM316" s="10"/>
      <c r="AN316" s="25">
        <f t="shared" si="3797"/>
        <v>0</v>
      </c>
      <c r="AO316" s="261">
        <f t="shared" si="3798"/>
        <v>0</v>
      </c>
      <c r="AP316" s="25">
        <f t="shared" si="3799"/>
        <v>0</v>
      </c>
      <c r="AQ316" s="261">
        <f t="shared" si="3800"/>
        <v>0</v>
      </c>
      <c r="AR316" s="261">
        <f t="shared" si="3801"/>
        <v>0</v>
      </c>
      <c r="AS316" s="10"/>
      <c r="AT316" s="25">
        <f t="shared" si="3802"/>
        <v>0</v>
      </c>
      <c r="AU316" s="261">
        <f t="shared" si="3803"/>
        <v>0</v>
      </c>
      <c r="AV316" s="261">
        <f t="shared" si="3804"/>
        <v>0</v>
      </c>
      <c r="AW316" s="363">
        <f t="shared" si="3805"/>
        <v>0</v>
      </c>
      <c r="AX316" s="25">
        <f t="shared" si="3806"/>
        <v>0</v>
      </c>
      <c r="AY316" s="10"/>
      <c r="AZ316" s="25">
        <f t="shared" si="3845"/>
        <v>0</v>
      </c>
      <c r="BA316" s="25">
        <f t="shared" si="3807"/>
        <v>0</v>
      </c>
      <c r="BB316" s="25">
        <f t="shared" si="3808"/>
        <v>0</v>
      </c>
      <c r="BC316" s="25">
        <f t="shared" si="3809"/>
        <v>0</v>
      </c>
      <c r="BD316" s="25">
        <f t="shared" si="3810"/>
        <v>0</v>
      </c>
      <c r="BE316" s="10"/>
      <c r="BF316" s="25">
        <f t="shared" si="3811"/>
        <v>0</v>
      </c>
      <c r="BG316" s="25">
        <f t="shared" si="3812"/>
        <v>0</v>
      </c>
      <c r="BH316" s="25">
        <f t="shared" si="3813"/>
        <v>0</v>
      </c>
      <c r="BI316" s="25">
        <f t="shared" si="3814"/>
        <v>0</v>
      </c>
      <c r="BJ316" s="25">
        <f t="shared" si="3815"/>
        <v>0</v>
      </c>
      <c r="BK316" s="10"/>
      <c r="BL316" s="25">
        <f t="shared" si="3816"/>
        <v>0</v>
      </c>
      <c r="BM316" s="25">
        <f t="shared" si="3817"/>
        <v>0</v>
      </c>
      <c r="BN316" s="25">
        <f t="shared" si="3818"/>
        <v>0</v>
      </c>
      <c r="BO316" s="25">
        <f t="shared" si="3819"/>
        <v>0</v>
      </c>
      <c r="BP316" s="25">
        <f t="shared" si="3820"/>
        <v>0</v>
      </c>
      <c r="BQ316" s="10"/>
      <c r="BR316" s="25">
        <f t="shared" si="3821"/>
        <v>0</v>
      </c>
      <c r="BS316" s="25">
        <f t="shared" si="3822"/>
        <v>0</v>
      </c>
      <c r="BT316" s="25">
        <f t="shared" si="3823"/>
        <v>0</v>
      </c>
      <c r="BU316" s="25">
        <f t="shared" si="3824"/>
        <v>0</v>
      </c>
      <c r="BV316" s="25">
        <f t="shared" si="3825"/>
        <v>0</v>
      </c>
      <c r="BW316" s="10"/>
      <c r="BX316" s="25">
        <f t="shared" si="3826"/>
        <v>0</v>
      </c>
      <c r="BY316" s="25">
        <f t="shared" si="3827"/>
        <v>0</v>
      </c>
      <c r="BZ316" s="25">
        <f t="shared" si="3828"/>
        <v>0</v>
      </c>
      <c r="CA316" s="25">
        <f t="shared" si="3829"/>
        <v>0</v>
      </c>
      <c r="CB316" s="25">
        <f t="shared" si="3830"/>
        <v>0</v>
      </c>
      <c r="CC316" s="10"/>
      <c r="CD316" s="25">
        <f t="shared" si="3831"/>
        <v>0</v>
      </c>
      <c r="CE316" s="25">
        <f t="shared" si="3832"/>
        <v>0</v>
      </c>
      <c r="CF316" s="25">
        <f t="shared" si="3833"/>
        <v>0</v>
      </c>
      <c r="CG316" s="25">
        <f t="shared" si="3834"/>
        <v>0</v>
      </c>
      <c r="CH316" s="25">
        <f t="shared" si="3835"/>
        <v>0</v>
      </c>
      <c r="CI316" s="10"/>
      <c r="CJ316" s="25"/>
      <c r="CK316" s="25"/>
      <c r="CL316" s="25"/>
      <c r="CM316" s="25"/>
      <c r="CN316" s="25"/>
    </row>
    <row r="317" spans="2:92" ht="12.95" hidden="1" customHeight="1" outlineLevel="1" x14ac:dyDescent="0.25">
      <c r="B317" s="2">
        <f>Capitalization!B61</f>
        <v>0</v>
      </c>
      <c r="AB317" s="6">
        <f>Capitalization!E61</f>
        <v>0</v>
      </c>
      <c r="AC317" s="6">
        <f>AB317</f>
        <v>0</v>
      </c>
      <c r="AD317" s="6">
        <f t="shared" si="3789"/>
        <v>0</v>
      </c>
      <c r="AE317" s="6">
        <f t="shared" si="3790"/>
        <v>0</v>
      </c>
      <c r="AF317" s="6">
        <f t="shared" si="3791"/>
        <v>0</v>
      </c>
      <c r="AG317" s="6"/>
      <c r="AH317" s="6">
        <f t="shared" si="3792"/>
        <v>0</v>
      </c>
      <c r="AI317" s="6">
        <f t="shared" si="3793"/>
        <v>0</v>
      </c>
      <c r="AJ317" s="6">
        <f t="shared" si="3794"/>
        <v>0</v>
      </c>
      <c r="AK317" s="6">
        <f t="shared" si="3795"/>
        <v>0</v>
      </c>
      <c r="AL317" s="6">
        <f t="shared" si="3796"/>
        <v>0</v>
      </c>
      <c r="AM317" s="6"/>
      <c r="AN317" s="6">
        <f t="shared" si="3797"/>
        <v>0</v>
      </c>
      <c r="AO317" s="243">
        <f t="shared" si="3798"/>
        <v>0</v>
      </c>
      <c r="AP317" s="6">
        <f t="shared" si="3799"/>
        <v>0</v>
      </c>
      <c r="AQ317" s="243">
        <f t="shared" si="3800"/>
        <v>0</v>
      </c>
      <c r="AR317" s="243">
        <f t="shared" si="3801"/>
        <v>0</v>
      </c>
      <c r="AS317" s="6"/>
      <c r="AT317" s="6">
        <f t="shared" si="3802"/>
        <v>0</v>
      </c>
      <c r="AU317" s="243">
        <f t="shared" si="3803"/>
        <v>0</v>
      </c>
      <c r="AV317" s="243">
        <f t="shared" si="3804"/>
        <v>0</v>
      </c>
      <c r="AW317" s="164">
        <f t="shared" si="3805"/>
        <v>0</v>
      </c>
      <c r="AX317" s="6">
        <f t="shared" si="3806"/>
        <v>0</v>
      </c>
      <c r="AY317" s="6"/>
      <c r="AZ317" s="6">
        <f t="shared" si="3845"/>
        <v>0</v>
      </c>
      <c r="BA317" s="6">
        <f t="shared" si="3807"/>
        <v>0</v>
      </c>
      <c r="BB317" s="6">
        <f t="shared" si="3808"/>
        <v>0</v>
      </c>
      <c r="BC317" s="6">
        <f t="shared" si="3809"/>
        <v>0</v>
      </c>
      <c r="BD317" s="6">
        <f t="shared" si="3810"/>
        <v>0</v>
      </c>
      <c r="BE317" s="6"/>
      <c r="BF317" s="6">
        <f t="shared" si="3811"/>
        <v>0</v>
      </c>
      <c r="BG317" s="6">
        <f t="shared" si="3812"/>
        <v>0</v>
      </c>
      <c r="BH317" s="6">
        <f t="shared" si="3813"/>
        <v>0</v>
      </c>
      <c r="BI317" s="6">
        <f t="shared" si="3814"/>
        <v>0</v>
      </c>
      <c r="BJ317" s="6">
        <f t="shared" si="3815"/>
        <v>0</v>
      </c>
      <c r="BK317" s="6"/>
      <c r="BL317" s="6">
        <f t="shared" si="3816"/>
        <v>0</v>
      </c>
      <c r="BM317" s="6">
        <f t="shared" si="3817"/>
        <v>0</v>
      </c>
      <c r="BN317" s="6">
        <f t="shared" si="3818"/>
        <v>0</v>
      </c>
      <c r="BO317" s="6">
        <f t="shared" si="3819"/>
        <v>0</v>
      </c>
      <c r="BP317" s="6">
        <f t="shared" si="3820"/>
        <v>0</v>
      </c>
      <c r="BQ317" s="6"/>
      <c r="BR317" s="6">
        <f t="shared" si="3821"/>
        <v>0</v>
      </c>
      <c r="BS317" s="6">
        <f t="shared" si="3822"/>
        <v>0</v>
      </c>
      <c r="BT317" s="6">
        <f t="shared" si="3823"/>
        <v>0</v>
      </c>
      <c r="BU317" s="6">
        <f t="shared" si="3824"/>
        <v>0</v>
      </c>
      <c r="BV317" s="6">
        <f t="shared" si="3825"/>
        <v>0</v>
      </c>
      <c r="BW317" s="6"/>
      <c r="BX317" s="6">
        <f t="shared" si="3826"/>
        <v>0</v>
      </c>
      <c r="BY317" s="6">
        <f t="shared" si="3827"/>
        <v>0</v>
      </c>
      <c r="BZ317" s="6">
        <f t="shared" si="3828"/>
        <v>0</v>
      </c>
      <c r="CA317" s="6">
        <f t="shared" si="3829"/>
        <v>0</v>
      </c>
      <c r="CB317" s="6">
        <f t="shared" si="3830"/>
        <v>0</v>
      </c>
      <c r="CC317" s="6"/>
      <c r="CD317" s="6">
        <f t="shared" si="3831"/>
        <v>0</v>
      </c>
      <c r="CE317" s="6">
        <f t="shared" si="3832"/>
        <v>0</v>
      </c>
      <c r="CF317" s="6">
        <f t="shared" si="3833"/>
        <v>0</v>
      </c>
      <c r="CG317" s="6">
        <f t="shared" si="3834"/>
        <v>0</v>
      </c>
      <c r="CH317" s="6">
        <f t="shared" si="3835"/>
        <v>0</v>
      </c>
      <c r="CI317" s="6"/>
      <c r="CJ317" s="6"/>
      <c r="CK317" s="6"/>
      <c r="CL317" s="6"/>
      <c r="CM317" s="6"/>
      <c r="CN317" s="6"/>
    </row>
    <row r="318" spans="2:92" ht="12.95" hidden="1" customHeight="1" outlineLevel="1" x14ac:dyDescent="0.25">
      <c r="B318" s="2" t="s">
        <v>40</v>
      </c>
      <c r="AB318" s="25">
        <f>Capitalization!F61</f>
        <v>0</v>
      </c>
      <c r="AC318" s="25">
        <f t="shared" ref="AC318" si="3852">AB318</f>
        <v>0</v>
      </c>
      <c r="AD318" s="25">
        <f t="shared" si="3789"/>
        <v>0</v>
      </c>
      <c r="AE318" s="25">
        <f t="shared" si="3790"/>
        <v>0</v>
      </c>
      <c r="AF318" s="25">
        <f t="shared" si="3791"/>
        <v>0</v>
      </c>
      <c r="AG318" s="10"/>
      <c r="AH318" s="25">
        <f t="shared" si="3792"/>
        <v>0</v>
      </c>
      <c r="AI318" s="25">
        <f t="shared" si="3793"/>
        <v>0</v>
      </c>
      <c r="AJ318" s="25">
        <f t="shared" si="3794"/>
        <v>0</v>
      </c>
      <c r="AK318" s="25">
        <f t="shared" si="3795"/>
        <v>0</v>
      </c>
      <c r="AL318" s="25">
        <f t="shared" si="3796"/>
        <v>0</v>
      </c>
      <c r="AM318" s="10"/>
      <c r="AN318" s="25">
        <f t="shared" si="3797"/>
        <v>0</v>
      </c>
      <c r="AO318" s="261">
        <f t="shared" si="3798"/>
        <v>0</v>
      </c>
      <c r="AP318" s="25">
        <f t="shared" si="3799"/>
        <v>0</v>
      </c>
      <c r="AQ318" s="261">
        <f t="shared" si="3800"/>
        <v>0</v>
      </c>
      <c r="AR318" s="261">
        <f t="shared" si="3801"/>
        <v>0</v>
      </c>
      <c r="AS318" s="10"/>
      <c r="AT318" s="25">
        <f t="shared" si="3802"/>
        <v>0</v>
      </c>
      <c r="AU318" s="261">
        <f t="shared" si="3803"/>
        <v>0</v>
      </c>
      <c r="AV318" s="261">
        <f t="shared" si="3804"/>
        <v>0</v>
      </c>
      <c r="AW318" s="363">
        <f t="shared" si="3805"/>
        <v>0</v>
      </c>
      <c r="AX318" s="25">
        <f t="shared" si="3806"/>
        <v>0</v>
      </c>
      <c r="AY318" s="10"/>
      <c r="AZ318" s="25">
        <f t="shared" si="3845"/>
        <v>0</v>
      </c>
      <c r="BA318" s="25">
        <f t="shared" si="3807"/>
        <v>0</v>
      </c>
      <c r="BB318" s="25">
        <f t="shared" si="3808"/>
        <v>0</v>
      </c>
      <c r="BC318" s="25">
        <f t="shared" si="3809"/>
        <v>0</v>
      </c>
      <c r="BD318" s="25">
        <f t="shared" si="3810"/>
        <v>0</v>
      </c>
      <c r="BE318" s="10"/>
      <c r="BF318" s="25">
        <f t="shared" si="3811"/>
        <v>0</v>
      </c>
      <c r="BG318" s="25">
        <f t="shared" si="3812"/>
        <v>0</v>
      </c>
      <c r="BH318" s="25">
        <f t="shared" si="3813"/>
        <v>0</v>
      </c>
      <c r="BI318" s="25">
        <f t="shared" si="3814"/>
        <v>0</v>
      </c>
      <c r="BJ318" s="25">
        <f t="shared" si="3815"/>
        <v>0</v>
      </c>
      <c r="BK318" s="10"/>
      <c r="BL318" s="25">
        <f t="shared" si="3816"/>
        <v>0</v>
      </c>
      <c r="BM318" s="25">
        <f t="shared" si="3817"/>
        <v>0</v>
      </c>
      <c r="BN318" s="25">
        <f t="shared" si="3818"/>
        <v>0</v>
      </c>
      <c r="BO318" s="25">
        <f t="shared" si="3819"/>
        <v>0</v>
      </c>
      <c r="BP318" s="25">
        <f t="shared" si="3820"/>
        <v>0</v>
      </c>
      <c r="BQ318" s="10"/>
      <c r="BR318" s="25">
        <f t="shared" si="3821"/>
        <v>0</v>
      </c>
      <c r="BS318" s="25">
        <f t="shared" si="3822"/>
        <v>0</v>
      </c>
      <c r="BT318" s="25">
        <f t="shared" si="3823"/>
        <v>0</v>
      </c>
      <c r="BU318" s="25">
        <f t="shared" si="3824"/>
        <v>0</v>
      </c>
      <c r="BV318" s="25">
        <f t="shared" si="3825"/>
        <v>0</v>
      </c>
      <c r="BW318" s="10"/>
      <c r="BX318" s="25">
        <f t="shared" si="3826"/>
        <v>0</v>
      </c>
      <c r="BY318" s="25">
        <f t="shared" si="3827"/>
        <v>0</v>
      </c>
      <c r="BZ318" s="25">
        <f t="shared" si="3828"/>
        <v>0</v>
      </c>
      <c r="CA318" s="25">
        <f t="shared" si="3829"/>
        <v>0</v>
      </c>
      <c r="CB318" s="25">
        <f t="shared" si="3830"/>
        <v>0</v>
      </c>
      <c r="CC318" s="10"/>
      <c r="CD318" s="25">
        <f t="shared" si="3831"/>
        <v>0</v>
      </c>
      <c r="CE318" s="25">
        <f t="shared" si="3832"/>
        <v>0</v>
      </c>
      <c r="CF318" s="25">
        <f t="shared" si="3833"/>
        <v>0</v>
      </c>
      <c r="CG318" s="25">
        <f t="shared" si="3834"/>
        <v>0</v>
      </c>
      <c r="CH318" s="25">
        <f t="shared" si="3835"/>
        <v>0</v>
      </c>
      <c r="CI318" s="10"/>
      <c r="CJ318" s="25"/>
      <c r="CK318" s="25"/>
      <c r="CL318" s="25"/>
      <c r="CM318" s="25"/>
      <c r="CN318" s="25"/>
    </row>
    <row r="319" spans="2:92" ht="12.95" hidden="1" customHeight="1" outlineLevel="1" x14ac:dyDescent="0.25">
      <c r="B319" s="2">
        <f>Capitalization!B62</f>
        <v>0</v>
      </c>
      <c r="AB319" s="6">
        <f>Capitalization!E62</f>
        <v>0</v>
      </c>
      <c r="AC319" s="6">
        <f>AB319</f>
        <v>0</v>
      </c>
      <c r="AD319" s="6">
        <f t="shared" si="3789"/>
        <v>0</v>
      </c>
      <c r="AE319" s="6">
        <f t="shared" si="3790"/>
        <v>0</v>
      </c>
      <c r="AF319" s="6">
        <f t="shared" si="3791"/>
        <v>0</v>
      </c>
      <c r="AG319" s="6"/>
      <c r="AH319" s="6">
        <f t="shared" si="3792"/>
        <v>0</v>
      </c>
      <c r="AI319" s="6">
        <f t="shared" si="3793"/>
        <v>0</v>
      </c>
      <c r="AJ319" s="6">
        <f t="shared" si="3794"/>
        <v>0</v>
      </c>
      <c r="AK319" s="6">
        <f t="shared" si="3795"/>
        <v>0</v>
      </c>
      <c r="AL319" s="6">
        <f t="shared" si="3796"/>
        <v>0</v>
      </c>
      <c r="AM319" s="6"/>
      <c r="AN319" s="6">
        <f t="shared" si="3797"/>
        <v>0</v>
      </c>
      <c r="AO319" s="243">
        <f t="shared" si="3798"/>
        <v>0</v>
      </c>
      <c r="AP319" s="6">
        <f t="shared" si="3799"/>
        <v>0</v>
      </c>
      <c r="AQ319" s="243">
        <f t="shared" si="3800"/>
        <v>0</v>
      </c>
      <c r="AR319" s="243">
        <f t="shared" si="3801"/>
        <v>0</v>
      </c>
      <c r="AS319" s="6"/>
      <c r="AT319" s="6">
        <f t="shared" si="3802"/>
        <v>0</v>
      </c>
      <c r="AU319" s="243">
        <f t="shared" si="3803"/>
        <v>0</v>
      </c>
      <c r="AV319" s="243">
        <f t="shared" si="3804"/>
        <v>0</v>
      </c>
      <c r="AW319" s="164">
        <f t="shared" si="3805"/>
        <v>0</v>
      </c>
      <c r="AX319" s="6">
        <f t="shared" si="3806"/>
        <v>0</v>
      </c>
      <c r="AY319" s="6"/>
      <c r="AZ319" s="6">
        <f t="shared" si="3845"/>
        <v>0</v>
      </c>
      <c r="BA319" s="6">
        <f t="shared" si="3807"/>
        <v>0</v>
      </c>
      <c r="BB319" s="6">
        <f t="shared" si="3808"/>
        <v>0</v>
      </c>
      <c r="BC319" s="6">
        <f t="shared" si="3809"/>
        <v>0</v>
      </c>
      <c r="BD319" s="6">
        <f t="shared" si="3810"/>
        <v>0</v>
      </c>
      <c r="BE319" s="6"/>
      <c r="BF319" s="6">
        <f t="shared" si="3811"/>
        <v>0</v>
      </c>
      <c r="BG319" s="6">
        <f t="shared" si="3812"/>
        <v>0</v>
      </c>
      <c r="BH319" s="6">
        <f t="shared" si="3813"/>
        <v>0</v>
      </c>
      <c r="BI319" s="6">
        <f t="shared" si="3814"/>
        <v>0</v>
      </c>
      <c r="BJ319" s="6">
        <f t="shared" si="3815"/>
        <v>0</v>
      </c>
      <c r="BK319" s="6"/>
      <c r="BL319" s="6">
        <f t="shared" si="3816"/>
        <v>0</v>
      </c>
      <c r="BM319" s="6">
        <f t="shared" si="3817"/>
        <v>0</v>
      </c>
      <c r="BN319" s="6">
        <f t="shared" si="3818"/>
        <v>0</v>
      </c>
      <c r="BO319" s="6">
        <f t="shared" si="3819"/>
        <v>0</v>
      </c>
      <c r="BP319" s="6">
        <f t="shared" si="3820"/>
        <v>0</v>
      </c>
      <c r="BQ319" s="6"/>
      <c r="BR319" s="6">
        <f t="shared" si="3821"/>
        <v>0</v>
      </c>
      <c r="BS319" s="6">
        <f t="shared" si="3822"/>
        <v>0</v>
      </c>
      <c r="BT319" s="6">
        <f t="shared" si="3823"/>
        <v>0</v>
      </c>
      <c r="BU319" s="6">
        <f t="shared" si="3824"/>
        <v>0</v>
      </c>
      <c r="BV319" s="6">
        <f t="shared" si="3825"/>
        <v>0</v>
      </c>
      <c r="BW319" s="6"/>
      <c r="BX319" s="6">
        <f t="shared" si="3826"/>
        <v>0</v>
      </c>
      <c r="BY319" s="6">
        <f t="shared" si="3827"/>
        <v>0</v>
      </c>
      <c r="BZ319" s="6">
        <f t="shared" si="3828"/>
        <v>0</v>
      </c>
      <c r="CA319" s="6">
        <f t="shared" si="3829"/>
        <v>0</v>
      </c>
      <c r="CB319" s="6">
        <f t="shared" si="3830"/>
        <v>0</v>
      </c>
      <c r="CC319" s="6"/>
      <c r="CD319" s="6">
        <f t="shared" si="3831"/>
        <v>0</v>
      </c>
      <c r="CE319" s="6">
        <f t="shared" si="3832"/>
        <v>0</v>
      </c>
      <c r="CF319" s="6">
        <f t="shared" si="3833"/>
        <v>0</v>
      </c>
      <c r="CG319" s="6">
        <f t="shared" si="3834"/>
        <v>0</v>
      </c>
      <c r="CH319" s="6">
        <f t="shared" si="3835"/>
        <v>0</v>
      </c>
      <c r="CI319" s="6"/>
      <c r="CJ319" s="6"/>
      <c r="CK319" s="6"/>
      <c r="CL319" s="6"/>
      <c r="CM319" s="6"/>
      <c r="CN319" s="6"/>
    </row>
    <row r="320" spans="2:92" ht="12.95" hidden="1" customHeight="1" outlineLevel="1" x14ac:dyDescent="0.25">
      <c r="B320" s="2" t="s">
        <v>40</v>
      </c>
      <c r="AB320" s="25">
        <f>Capitalization!F62</f>
        <v>0</v>
      </c>
      <c r="AC320" s="25">
        <f t="shared" ref="AC320" si="3853">AB320</f>
        <v>0</v>
      </c>
      <c r="AD320" s="25">
        <f t="shared" si="3789"/>
        <v>0</v>
      </c>
      <c r="AE320" s="25">
        <f t="shared" si="3790"/>
        <v>0</v>
      </c>
      <c r="AF320" s="25">
        <f t="shared" si="3791"/>
        <v>0</v>
      </c>
      <c r="AG320" s="10"/>
      <c r="AH320" s="25">
        <f t="shared" si="3792"/>
        <v>0</v>
      </c>
      <c r="AI320" s="25">
        <f t="shared" si="3793"/>
        <v>0</v>
      </c>
      <c r="AJ320" s="25">
        <f t="shared" si="3794"/>
        <v>0</v>
      </c>
      <c r="AK320" s="25">
        <f t="shared" si="3795"/>
        <v>0</v>
      </c>
      <c r="AL320" s="25">
        <f t="shared" si="3796"/>
        <v>0</v>
      </c>
      <c r="AM320" s="10"/>
      <c r="AN320" s="25">
        <f t="shared" si="3797"/>
        <v>0</v>
      </c>
      <c r="AO320" s="261">
        <f t="shared" si="3798"/>
        <v>0</v>
      </c>
      <c r="AP320" s="25">
        <f t="shared" si="3799"/>
        <v>0</v>
      </c>
      <c r="AQ320" s="261">
        <f t="shared" si="3800"/>
        <v>0</v>
      </c>
      <c r="AR320" s="261">
        <f t="shared" si="3801"/>
        <v>0</v>
      </c>
      <c r="AS320" s="10"/>
      <c r="AT320" s="25">
        <f t="shared" si="3802"/>
        <v>0</v>
      </c>
      <c r="AU320" s="261">
        <f t="shared" si="3803"/>
        <v>0</v>
      </c>
      <c r="AV320" s="261">
        <f t="shared" si="3804"/>
        <v>0</v>
      </c>
      <c r="AW320" s="363">
        <f t="shared" si="3805"/>
        <v>0</v>
      </c>
      <c r="AX320" s="25">
        <f t="shared" si="3806"/>
        <v>0</v>
      </c>
      <c r="AY320" s="10"/>
      <c r="AZ320" s="25">
        <f t="shared" si="3845"/>
        <v>0</v>
      </c>
      <c r="BA320" s="25">
        <f t="shared" si="3807"/>
        <v>0</v>
      </c>
      <c r="BB320" s="25">
        <f t="shared" si="3808"/>
        <v>0</v>
      </c>
      <c r="BC320" s="25">
        <f t="shared" si="3809"/>
        <v>0</v>
      </c>
      <c r="BD320" s="25">
        <f t="shared" si="3810"/>
        <v>0</v>
      </c>
      <c r="BE320" s="10"/>
      <c r="BF320" s="25">
        <f t="shared" si="3811"/>
        <v>0</v>
      </c>
      <c r="BG320" s="25">
        <f t="shared" si="3812"/>
        <v>0</v>
      </c>
      <c r="BH320" s="25">
        <f t="shared" si="3813"/>
        <v>0</v>
      </c>
      <c r="BI320" s="25">
        <f t="shared" si="3814"/>
        <v>0</v>
      </c>
      <c r="BJ320" s="25">
        <f t="shared" si="3815"/>
        <v>0</v>
      </c>
      <c r="BK320" s="10"/>
      <c r="BL320" s="25">
        <f t="shared" si="3816"/>
        <v>0</v>
      </c>
      <c r="BM320" s="25">
        <f t="shared" si="3817"/>
        <v>0</v>
      </c>
      <c r="BN320" s="25">
        <f t="shared" si="3818"/>
        <v>0</v>
      </c>
      <c r="BO320" s="25">
        <f t="shared" si="3819"/>
        <v>0</v>
      </c>
      <c r="BP320" s="25">
        <f t="shared" si="3820"/>
        <v>0</v>
      </c>
      <c r="BQ320" s="10"/>
      <c r="BR320" s="25">
        <f t="shared" si="3821"/>
        <v>0</v>
      </c>
      <c r="BS320" s="25">
        <f t="shared" si="3822"/>
        <v>0</v>
      </c>
      <c r="BT320" s="25">
        <f t="shared" si="3823"/>
        <v>0</v>
      </c>
      <c r="BU320" s="25">
        <f t="shared" si="3824"/>
        <v>0</v>
      </c>
      <c r="BV320" s="25">
        <f t="shared" si="3825"/>
        <v>0</v>
      </c>
      <c r="BW320" s="10"/>
      <c r="BX320" s="25">
        <f t="shared" si="3826"/>
        <v>0</v>
      </c>
      <c r="BY320" s="25">
        <f t="shared" si="3827"/>
        <v>0</v>
      </c>
      <c r="BZ320" s="25">
        <f t="shared" si="3828"/>
        <v>0</v>
      </c>
      <c r="CA320" s="25">
        <f t="shared" si="3829"/>
        <v>0</v>
      </c>
      <c r="CB320" s="25">
        <f t="shared" si="3830"/>
        <v>0</v>
      </c>
      <c r="CC320" s="10"/>
      <c r="CD320" s="25">
        <f t="shared" si="3831"/>
        <v>0</v>
      </c>
      <c r="CE320" s="25">
        <f t="shared" si="3832"/>
        <v>0</v>
      </c>
      <c r="CF320" s="25">
        <f t="shared" si="3833"/>
        <v>0</v>
      </c>
      <c r="CG320" s="25">
        <f t="shared" si="3834"/>
        <v>0</v>
      </c>
      <c r="CH320" s="25">
        <f t="shared" si="3835"/>
        <v>0</v>
      </c>
      <c r="CI320" s="10"/>
      <c r="CJ320" s="25"/>
      <c r="CK320" s="25"/>
      <c r="CL320" s="25"/>
      <c r="CM320" s="25"/>
      <c r="CN320" s="25"/>
    </row>
    <row r="321" spans="2:92" ht="12.95" hidden="1" customHeight="1" outlineLevel="1" x14ac:dyDescent="0.25">
      <c r="B321" s="2">
        <f>Capitalization!B63</f>
        <v>0</v>
      </c>
      <c r="AB321" s="6">
        <f>Capitalization!E63</f>
        <v>0</v>
      </c>
      <c r="AC321" s="6">
        <f>AB321</f>
        <v>0</v>
      </c>
      <c r="AD321" s="6">
        <f t="shared" si="3789"/>
        <v>0</v>
      </c>
      <c r="AE321" s="6">
        <f t="shared" si="3790"/>
        <v>0</v>
      </c>
      <c r="AF321" s="6">
        <f t="shared" si="3791"/>
        <v>0</v>
      </c>
      <c r="AG321" s="6"/>
      <c r="AH321" s="6">
        <f t="shared" si="3792"/>
        <v>0</v>
      </c>
      <c r="AI321" s="6">
        <f t="shared" si="3793"/>
        <v>0</v>
      </c>
      <c r="AJ321" s="6">
        <f t="shared" si="3794"/>
        <v>0</v>
      </c>
      <c r="AK321" s="6">
        <f t="shared" si="3795"/>
        <v>0</v>
      </c>
      <c r="AL321" s="6">
        <f t="shared" si="3796"/>
        <v>0</v>
      </c>
      <c r="AM321" s="6"/>
      <c r="AN321" s="6">
        <f t="shared" si="3797"/>
        <v>0</v>
      </c>
      <c r="AO321" s="243">
        <f t="shared" si="3798"/>
        <v>0</v>
      </c>
      <c r="AP321" s="6">
        <f t="shared" si="3799"/>
        <v>0</v>
      </c>
      <c r="AQ321" s="243">
        <f t="shared" si="3800"/>
        <v>0</v>
      </c>
      <c r="AR321" s="243">
        <f t="shared" si="3801"/>
        <v>0</v>
      </c>
      <c r="AS321" s="6"/>
      <c r="AT321" s="6">
        <f t="shared" si="3802"/>
        <v>0</v>
      </c>
      <c r="AU321" s="243">
        <f t="shared" si="3803"/>
        <v>0</v>
      </c>
      <c r="AV321" s="243">
        <f t="shared" si="3804"/>
        <v>0</v>
      </c>
      <c r="AW321" s="164">
        <f t="shared" si="3805"/>
        <v>0</v>
      </c>
      <c r="AX321" s="6">
        <f t="shared" si="3806"/>
        <v>0</v>
      </c>
      <c r="AY321" s="6"/>
      <c r="AZ321" s="6">
        <f t="shared" si="3845"/>
        <v>0</v>
      </c>
      <c r="BA321" s="6">
        <f t="shared" si="3807"/>
        <v>0</v>
      </c>
      <c r="BB321" s="6">
        <f t="shared" si="3808"/>
        <v>0</v>
      </c>
      <c r="BC321" s="6">
        <f t="shared" si="3809"/>
        <v>0</v>
      </c>
      <c r="BD321" s="6">
        <f t="shared" si="3810"/>
        <v>0</v>
      </c>
      <c r="BE321" s="6"/>
      <c r="BF321" s="6">
        <f t="shared" si="3811"/>
        <v>0</v>
      </c>
      <c r="BG321" s="6">
        <f t="shared" si="3812"/>
        <v>0</v>
      </c>
      <c r="BH321" s="6">
        <f t="shared" si="3813"/>
        <v>0</v>
      </c>
      <c r="BI321" s="6">
        <f t="shared" si="3814"/>
        <v>0</v>
      </c>
      <c r="BJ321" s="6">
        <f t="shared" si="3815"/>
        <v>0</v>
      </c>
      <c r="BK321" s="6"/>
      <c r="BL321" s="6">
        <f t="shared" si="3816"/>
        <v>0</v>
      </c>
      <c r="BM321" s="6">
        <f t="shared" si="3817"/>
        <v>0</v>
      </c>
      <c r="BN321" s="6">
        <f t="shared" si="3818"/>
        <v>0</v>
      </c>
      <c r="BO321" s="6">
        <f t="shared" si="3819"/>
        <v>0</v>
      </c>
      <c r="BP321" s="6">
        <f t="shared" si="3820"/>
        <v>0</v>
      </c>
      <c r="BQ321" s="6"/>
      <c r="BR321" s="6">
        <f t="shared" si="3821"/>
        <v>0</v>
      </c>
      <c r="BS321" s="6">
        <f t="shared" si="3822"/>
        <v>0</v>
      </c>
      <c r="BT321" s="6">
        <f t="shared" si="3823"/>
        <v>0</v>
      </c>
      <c r="BU321" s="6">
        <f t="shared" si="3824"/>
        <v>0</v>
      </c>
      <c r="BV321" s="6">
        <f t="shared" si="3825"/>
        <v>0</v>
      </c>
      <c r="BW321" s="6"/>
      <c r="BX321" s="6">
        <f t="shared" si="3826"/>
        <v>0</v>
      </c>
      <c r="BY321" s="6">
        <f t="shared" si="3827"/>
        <v>0</v>
      </c>
      <c r="BZ321" s="6">
        <f t="shared" si="3828"/>
        <v>0</v>
      </c>
      <c r="CA321" s="6">
        <f t="shared" si="3829"/>
        <v>0</v>
      </c>
      <c r="CB321" s="6">
        <f t="shared" si="3830"/>
        <v>0</v>
      </c>
      <c r="CC321" s="6"/>
      <c r="CD321" s="6">
        <f t="shared" si="3831"/>
        <v>0</v>
      </c>
      <c r="CE321" s="6">
        <f t="shared" si="3832"/>
        <v>0</v>
      </c>
      <c r="CF321" s="6">
        <f t="shared" si="3833"/>
        <v>0</v>
      </c>
      <c r="CG321" s="6">
        <f t="shared" si="3834"/>
        <v>0</v>
      </c>
      <c r="CH321" s="6">
        <f t="shared" si="3835"/>
        <v>0</v>
      </c>
      <c r="CI321" s="6"/>
      <c r="CJ321" s="6"/>
      <c r="CK321" s="6"/>
      <c r="CL321" s="6"/>
      <c r="CM321" s="6"/>
      <c r="CN321" s="6"/>
    </row>
    <row r="322" spans="2:92" ht="12.95" hidden="1" customHeight="1" outlineLevel="1" x14ac:dyDescent="0.25">
      <c r="B322" s="2" t="s">
        <v>40</v>
      </c>
      <c r="AB322" s="25">
        <f>Capitalization!F63</f>
        <v>0</v>
      </c>
      <c r="AC322" s="25">
        <f t="shared" ref="AC322" si="3854">AB322</f>
        <v>0</v>
      </c>
      <c r="AD322" s="25">
        <f t="shared" si="3789"/>
        <v>0</v>
      </c>
      <c r="AE322" s="25">
        <f t="shared" si="3790"/>
        <v>0</v>
      </c>
      <c r="AF322" s="25">
        <f t="shared" si="3791"/>
        <v>0</v>
      </c>
      <c r="AG322" s="10"/>
      <c r="AH322" s="25">
        <f t="shared" si="3792"/>
        <v>0</v>
      </c>
      <c r="AI322" s="25">
        <f t="shared" si="3793"/>
        <v>0</v>
      </c>
      <c r="AJ322" s="25">
        <f t="shared" si="3794"/>
        <v>0</v>
      </c>
      <c r="AK322" s="25">
        <f t="shared" si="3795"/>
        <v>0</v>
      </c>
      <c r="AL322" s="25">
        <f t="shared" si="3796"/>
        <v>0</v>
      </c>
      <c r="AM322" s="10"/>
      <c r="AN322" s="25">
        <f t="shared" si="3797"/>
        <v>0</v>
      </c>
      <c r="AO322" s="261">
        <f t="shared" si="3798"/>
        <v>0</v>
      </c>
      <c r="AP322" s="25">
        <f t="shared" si="3799"/>
        <v>0</v>
      </c>
      <c r="AQ322" s="261">
        <f t="shared" si="3800"/>
        <v>0</v>
      </c>
      <c r="AR322" s="261">
        <f t="shared" si="3801"/>
        <v>0</v>
      </c>
      <c r="AS322" s="10"/>
      <c r="AT322" s="25">
        <f t="shared" si="3802"/>
        <v>0</v>
      </c>
      <c r="AU322" s="261">
        <f t="shared" si="3803"/>
        <v>0</v>
      </c>
      <c r="AV322" s="261">
        <f t="shared" si="3804"/>
        <v>0</v>
      </c>
      <c r="AW322" s="363">
        <f t="shared" si="3805"/>
        <v>0</v>
      </c>
      <c r="AX322" s="25">
        <f t="shared" si="3806"/>
        <v>0</v>
      </c>
      <c r="AY322" s="10"/>
      <c r="AZ322" s="25">
        <f t="shared" si="3845"/>
        <v>0</v>
      </c>
      <c r="BA322" s="25">
        <f t="shared" si="3807"/>
        <v>0</v>
      </c>
      <c r="BB322" s="25">
        <f t="shared" si="3808"/>
        <v>0</v>
      </c>
      <c r="BC322" s="25">
        <f t="shared" si="3809"/>
        <v>0</v>
      </c>
      <c r="BD322" s="25">
        <f t="shared" si="3810"/>
        <v>0</v>
      </c>
      <c r="BE322" s="10"/>
      <c r="BF322" s="25">
        <f t="shared" si="3811"/>
        <v>0</v>
      </c>
      <c r="BG322" s="25">
        <f t="shared" si="3812"/>
        <v>0</v>
      </c>
      <c r="BH322" s="25">
        <f t="shared" si="3813"/>
        <v>0</v>
      </c>
      <c r="BI322" s="25">
        <f t="shared" si="3814"/>
        <v>0</v>
      </c>
      <c r="BJ322" s="25">
        <f t="shared" si="3815"/>
        <v>0</v>
      </c>
      <c r="BK322" s="10"/>
      <c r="BL322" s="25">
        <f t="shared" si="3816"/>
        <v>0</v>
      </c>
      <c r="BM322" s="25">
        <f t="shared" si="3817"/>
        <v>0</v>
      </c>
      <c r="BN322" s="25">
        <f t="shared" si="3818"/>
        <v>0</v>
      </c>
      <c r="BO322" s="25">
        <f t="shared" si="3819"/>
        <v>0</v>
      </c>
      <c r="BP322" s="25">
        <f t="shared" si="3820"/>
        <v>0</v>
      </c>
      <c r="BQ322" s="10"/>
      <c r="BR322" s="25">
        <f t="shared" si="3821"/>
        <v>0</v>
      </c>
      <c r="BS322" s="25">
        <f t="shared" si="3822"/>
        <v>0</v>
      </c>
      <c r="BT322" s="25">
        <f t="shared" si="3823"/>
        <v>0</v>
      </c>
      <c r="BU322" s="25">
        <f t="shared" si="3824"/>
        <v>0</v>
      </c>
      <c r="BV322" s="25">
        <f t="shared" si="3825"/>
        <v>0</v>
      </c>
      <c r="BW322" s="10"/>
      <c r="BX322" s="25">
        <f t="shared" si="3826"/>
        <v>0</v>
      </c>
      <c r="BY322" s="25">
        <f t="shared" si="3827"/>
        <v>0</v>
      </c>
      <c r="BZ322" s="25">
        <f t="shared" si="3828"/>
        <v>0</v>
      </c>
      <c r="CA322" s="25">
        <f t="shared" si="3829"/>
        <v>0</v>
      </c>
      <c r="CB322" s="25">
        <f t="shared" si="3830"/>
        <v>0</v>
      </c>
      <c r="CC322" s="10"/>
      <c r="CD322" s="25">
        <f t="shared" si="3831"/>
        <v>0</v>
      </c>
      <c r="CE322" s="25">
        <f t="shared" si="3832"/>
        <v>0</v>
      </c>
      <c r="CF322" s="25">
        <f t="shared" si="3833"/>
        <v>0</v>
      </c>
      <c r="CG322" s="25">
        <f t="shared" si="3834"/>
        <v>0</v>
      </c>
      <c r="CH322" s="25">
        <f t="shared" si="3835"/>
        <v>0</v>
      </c>
      <c r="CI322" s="10"/>
      <c r="CJ322" s="25"/>
      <c r="CK322" s="25"/>
      <c r="CL322" s="25"/>
      <c r="CM322" s="25"/>
      <c r="CN322" s="25"/>
    </row>
    <row r="323" spans="2:92" ht="12.95" hidden="1" customHeight="1" outlineLevel="1" x14ac:dyDescent="0.25">
      <c r="B323" s="2">
        <f>Capitalization!B64</f>
        <v>0</v>
      </c>
      <c r="AB323" s="6">
        <f>Capitalization!E64</f>
        <v>0</v>
      </c>
      <c r="AC323" s="6">
        <f>AB323</f>
        <v>0</v>
      </c>
      <c r="AD323" s="6">
        <f t="shared" si="3789"/>
        <v>0</v>
      </c>
      <c r="AE323" s="6">
        <f t="shared" si="3790"/>
        <v>0</v>
      </c>
      <c r="AF323" s="6">
        <f t="shared" si="3791"/>
        <v>0</v>
      </c>
      <c r="AG323" s="6"/>
      <c r="AH323" s="6">
        <f t="shared" si="3792"/>
        <v>0</v>
      </c>
      <c r="AI323" s="6">
        <f t="shared" si="3793"/>
        <v>0</v>
      </c>
      <c r="AJ323" s="6">
        <f t="shared" si="3794"/>
        <v>0</v>
      </c>
      <c r="AK323" s="6">
        <f t="shared" si="3795"/>
        <v>0</v>
      </c>
      <c r="AL323" s="6">
        <f t="shared" si="3796"/>
        <v>0</v>
      </c>
      <c r="AM323" s="6"/>
      <c r="AN323" s="6">
        <f t="shared" si="3797"/>
        <v>0</v>
      </c>
      <c r="AO323" s="243">
        <f t="shared" si="3798"/>
        <v>0</v>
      </c>
      <c r="AP323" s="6">
        <f t="shared" si="3799"/>
        <v>0</v>
      </c>
      <c r="AQ323" s="243">
        <f t="shared" si="3800"/>
        <v>0</v>
      </c>
      <c r="AR323" s="243">
        <f t="shared" si="3801"/>
        <v>0</v>
      </c>
      <c r="AS323" s="6"/>
      <c r="AT323" s="6">
        <f t="shared" si="3802"/>
        <v>0</v>
      </c>
      <c r="AU323" s="243">
        <f t="shared" si="3803"/>
        <v>0</v>
      </c>
      <c r="AV323" s="243">
        <f t="shared" si="3804"/>
        <v>0</v>
      </c>
      <c r="AW323" s="164">
        <f t="shared" si="3805"/>
        <v>0</v>
      </c>
      <c r="AX323" s="6">
        <f t="shared" si="3806"/>
        <v>0</v>
      </c>
      <c r="AY323" s="6"/>
      <c r="AZ323" s="6">
        <f t="shared" si="3845"/>
        <v>0</v>
      </c>
      <c r="BA323" s="6">
        <f t="shared" si="3807"/>
        <v>0</v>
      </c>
      <c r="BB323" s="6">
        <f t="shared" si="3808"/>
        <v>0</v>
      </c>
      <c r="BC323" s="6">
        <f t="shared" si="3809"/>
        <v>0</v>
      </c>
      <c r="BD323" s="6">
        <f t="shared" si="3810"/>
        <v>0</v>
      </c>
      <c r="BE323" s="6"/>
      <c r="BF323" s="6">
        <f t="shared" si="3811"/>
        <v>0</v>
      </c>
      <c r="BG323" s="6">
        <f t="shared" si="3812"/>
        <v>0</v>
      </c>
      <c r="BH323" s="6">
        <f t="shared" si="3813"/>
        <v>0</v>
      </c>
      <c r="BI323" s="6">
        <f t="shared" si="3814"/>
        <v>0</v>
      </c>
      <c r="BJ323" s="6">
        <f t="shared" si="3815"/>
        <v>0</v>
      </c>
      <c r="BK323" s="6"/>
      <c r="BL323" s="6">
        <f t="shared" si="3816"/>
        <v>0</v>
      </c>
      <c r="BM323" s="6">
        <f t="shared" si="3817"/>
        <v>0</v>
      </c>
      <c r="BN323" s="6">
        <f t="shared" si="3818"/>
        <v>0</v>
      </c>
      <c r="BO323" s="6">
        <f t="shared" si="3819"/>
        <v>0</v>
      </c>
      <c r="BP323" s="6">
        <f t="shared" si="3820"/>
        <v>0</v>
      </c>
      <c r="BQ323" s="6"/>
      <c r="BR323" s="6">
        <f t="shared" si="3821"/>
        <v>0</v>
      </c>
      <c r="BS323" s="6">
        <f t="shared" si="3822"/>
        <v>0</v>
      </c>
      <c r="BT323" s="6">
        <f t="shared" si="3823"/>
        <v>0</v>
      </c>
      <c r="BU323" s="6">
        <f t="shared" si="3824"/>
        <v>0</v>
      </c>
      <c r="BV323" s="6">
        <f t="shared" si="3825"/>
        <v>0</v>
      </c>
      <c r="BW323" s="6"/>
      <c r="BX323" s="6">
        <f t="shared" si="3826"/>
        <v>0</v>
      </c>
      <c r="BY323" s="6">
        <f t="shared" si="3827"/>
        <v>0</v>
      </c>
      <c r="BZ323" s="6">
        <f t="shared" si="3828"/>
        <v>0</v>
      </c>
      <c r="CA323" s="6">
        <f t="shared" si="3829"/>
        <v>0</v>
      </c>
      <c r="CB323" s="6">
        <f t="shared" si="3830"/>
        <v>0</v>
      </c>
      <c r="CC323" s="6"/>
      <c r="CD323" s="6">
        <f t="shared" si="3831"/>
        <v>0</v>
      </c>
      <c r="CE323" s="6">
        <f t="shared" si="3832"/>
        <v>0</v>
      </c>
      <c r="CF323" s="6">
        <f t="shared" si="3833"/>
        <v>0</v>
      </c>
      <c r="CG323" s="6">
        <f t="shared" si="3834"/>
        <v>0</v>
      </c>
      <c r="CH323" s="6">
        <f t="shared" si="3835"/>
        <v>0</v>
      </c>
      <c r="CI323" s="6"/>
      <c r="CJ323" s="6"/>
      <c r="CK323" s="6"/>
      <c r="CL323" s="6"/>
      <c r="CM323" s="6"/>
      <c r="CN323" s="6"/>
    </row>
    <row r="324" spans="2:92" ht="12.95" hidden="1" customHeight="1" outlineLevel="1" x14ac:dyDescent="0.25">
      <c r="B324" s="2" t="s">
        <v>40</v>
      </c>
      <c r="AB324" s="25">
        <f>Capitalization!F64</f>
        <v>0</v>
      </c>
      <c r="AC324" s="25">
        <f t="shared" ref="AC324" si="3855">AB324</f>
        <v>0</v>
      </c>
      <c r="AD324" s="25">
        <f t="shared" si="3789"/>
        <v>0</v>
      </c>
      <c r="AE324" s="25">
        <f t="shared" si="3790"/>
        <v>0</v>
      </c>
      <c r="AF324" s="25">
        <f t="shared" si="3791"/>
        <v>0</v>
      </c>
      <c r="AG324" s="10"/>
      <c r="AH324" s="25">
        <f t="shared" si="3792"/>
        <v>0</v>
      </c>
      <c r="AI324" s="25">
        <f t="shared" si="3793"/>
        <v>0</v>
      </c>
      <c r="AJ324" s="25">
        <f t="shared" si="3794"/>
        <v>0</v>
      </c>
      <c r="AK324" s="25">
        <f t="shared" si="3795"/>
        <v>0</v>
      </c>
      <c r="AL324" s="25">
        <f t="shared" si="3796"/>
        <v>0</v>
      </c>
      <c r="AM324" s="10"/>
      <c r="AN324" s="25">
        <f t="shared" si="3797"/>
        <v>0</v>
      </c>
      <c r="AO324" s="261">
        <f t="shared" si="3798"/>
        <v>0</v>
      </c>
      <c r="AP324" s="25">
        <f t="shared" si="3799"/>
        <v>0</v>
      </c>
      <c r="AQ324" s="261">
        <f t="shared" si="3800"/>
        <v>0</v>
      </c>
      <c r="AR324" s="261">
        <f t="shared" si="3801"/>
        <v>0</v>
      </c>
      <c r="AS324" s="10"/>
      <c r="AT324" s="25">
        <f t="shared" si="3802"/>
        <v>0</v>
      </c>
      <c r="AU324" s="261">
        <f t="shared" si="3803"/>
        <v>0</v>
      </c>
      <c r="AV324" s="261">
        <f t="shared" si="3804"/>
        <v>0</v>
      </c>
      <c r="AW324" s="363">
        <f t="shared" si="3805"/>
        <v>0</v>
      </c>
      <c r="AX324" s="25">
        <f t="shared" si="3806"/>
        <v>0</v>
      </c>
      <c r="AY324" s="10"/>
      <c r="AZ324" s="25">
        <f t="shared" si="3845"/>
        <v>0</v>
      </c>
      <c r="BA324" s="25">
        <f t="shared" si="3807"/>
        <v>0</v>
      </c>
      <c r="BB324" s="25">
        <f t="shared" si="3808"/>
        <v>0</v>
      </c>
      <c r="BC324" s="25">
        <f t="shared" si="3809"/>
        <v>0</v>
      </c>
      <c r="BD324" s="25">
        <f t="shared" si="3810"/>
        <v>0</v>
      </c>
      <c r="BE324" s="10"/>
      <c r="BF324" s="25">
        <f t="shared" si="3811"/>
        <v>0</v>
      </c>
      <c r="BG324" s="25">
        <f t="shared" si="3812"/>
        <v>0</v>
      </c>
      <c r="BH324" s="25">
        <f t="shared" si="3813"/>
        <v>0</v>
      </c>
      <c r="BI324" s="25">
        <f t="shared" si="3814"/>
        <v>0</v>
      </c>
      <c r="BJ324" s="25">
        <f t="shared" si="3815"/>
        <v>0</v>
      </c>
      <c r="BK324" s="10"/>
      <c r="BL324" s="25">
        <f t="shared" si="3816"/>
        <v>0</v>
      </c>
      <c r="BM324" s="25">
        <f t="shared" si="3817"/>
        <v>0</v>
      </c>
      <c r="BN324" s="25">
        <f t="shared" si="3818"/>
        <v>0</v>
      </c>
      <c r="BO324" s="25">
        <f t="shared" si="3819"/>
        <v>0</v>
      </c>
      <c r="BP324" s="25">
        <f t="shared" si="3820"/>
        <v>0</v>
      </c>
      <c r="BQ324" s="10"/>
      <c r="BR324" s="25">
        <f t="shared" si="3821"/>
        <v>0</v>
      </c>
      <c r="BS324" s="25">
        <f t="shared" si="3822"/>
        <v>0</v>
      </c>
      <c r="BT324" s="25">
        <f t="shared" si="3823"/>
        <v>0</v>
      </c>
      <c r="BU324" s="25">
        <f t="shared" si="3824"/>
        <v>0</v>
      </c>
      <c r="BV324" s="25">
        <f t="shared" si="3825"/>
        <v>0</v>
      </c>
      <c r="BW324" s="10"/>
      <c r="BX324" s="25">
        <f t="shared" si="3826"/>
        <v>0</v>
      </c>
      <c r="BY324" s="25">
        <f t="shared" si="3827"/>
        <v>0</v>
      </c>
      <c r="BZ324" s="25">
        <f t="shared" si="3828"/>
        <v>0</v>
      </c>
      <c r="CA324" s="25">
        <f t="shared" si="3829"/>
        <v>0</v>
      </c>
      <c r="CB324" s="25">
        <f t="shared" si="3830"/>
        <v>0</v>
      </c>
      <c r="CC324" s="10"/>
      <c r="CD324" s="25">
        <f t="shared" si="3831"/>
        <v>0</v>
      </c>
      <c r="CE324" s="25">
        <f t="shared" si="3832"/>
        <v>0</v>
      </c>
      <c r="CF324" s="25">
        <f t="shared" si="3833"/>
        <v>0</v>
      </c>
      <c r="CG324" s="25">
        <f t="shared" si="3834"/>
        <v>0</v>
      </c>
      <c r="CH324" s="25">
        <f t="shared" si="3835"/>
        <v>0</v>
      </c>
      <c r="CI324" s="10"/>
      <c r="CJ324" s="25"/>
      <c r="CK324" s="25"/>
      <c r="CL324" s="25"/>
      <c r="CM324" s="25"/>
      <c r="CN324" s="25"/>
    </row>
    <row r="325" spans="2:92" ht="12.95" hidden="1" customHeight="1" outlineLevel="1" x14ac:dyDescent="0.25">
      <c r="B325" s="2">
        <f>Capitalization!B65</f>
        <v>0</v>
      </c>
      <c r="AB325" s="6">
        <f>Capitalization!E65</f>
        <v>0</v>
      </c>
      <c r="AC325" s="6">
        <f>AB325</f>
        <v>0</v>
      </c>
      <c r="AD325" s="6">
        <f t="shared" si="3789"/>
        <v>0</v>
      </c>
      <c r="AE325" s="6">
        <f t="shared" si="3790"/>
        <v>0</v>
      </c>
      <c r="AF325" s="6">
        <f t="shared" si="3791"/>
        <v>0</v>
      </c>
      <c r="AG325" s="6"/>
      <c r="AH325" s="6">
        <f t="shared" si="3792"/>
        <v>0</v>
      </c>
      <c r="AI325" s="6">
        <f t="shared" si="3793"/>
        <v>0</v>
      </c>
      <c r="AJ325" s="6">
        <f t="shared" si="3794"/>
        <v>0</v>
      </c>
      <c r="AK325" s="6">
        <f t="shared" si="3795"/>
        <v>0</v>
      </c>
      <c r="AL325" s="6">
        <f t="shared" si="3796"/>
        <v>0</v>
      </c>
      <c r="AM325" s="6"/>
      <c r="AN325" s="6">
        <f t="shared" si="3797"/>
        <v>0</v>
      </c>
      <c r="AO325" s="243">
        <f t="shared" si="3798"/>
        <v>0</v>
      </c>
      <c r="AP325" s="6">
        <f t="shared" si="3799"/>
        <v>0</v>
      </c>
      <c r="AQ325" s="243">
        <f t="shared" si="3800"/>
        <v>0</v>
      </c>
      <c r="AR325" s="243">
        <f t="shared" si="3801"/>
        <v>0</v>
      </c>
      <c r="AS325" s="6"/>
      <c r="AT325" s="6">
        <f t="shared" si="3802"/>
        <v>0</v>
      </c>
      <c r="AU325" s="243">
        <f t="shared" si="3803"/>
        <v>0</v>
      </c>
      <c r="AV325" s="243">
        <f t="shared" si="3804"/>
        <v>0</v>
      </c>
      <c r="AW325" s="164">
        <f t="shared" si="3805"/>
        <v>0</v>
      </c>
      <c r="AX325" s="6">
        <f t="shared" si="3806"/>
        <v>0</v>
      </c>
      <c r="AY325" s="6"/>
      <c r="AZ325" s="6">
        <f t="shared" si="3845"/>
        <v>0</v>
      </c>
      <c r="BA325" s="6">
        <f t="shared" si="3807"/>
        <v>0</v>
      </c>
      <c r="BB325" s="6">
        <f t="shared" si="3808"/>
        <v>0</v>
      </c>
      <c r="BC325" s="6">
        <f t="shared" si="3809"/>
        <v>0</v>
      </c>
      <c r="BD325" s="6">
        <f t="shared" si="3810"/>
        <v>0</v>
      </c>
      <c r="BE325" s="6"/>
      <c r="BF325" s="6">
        <f t="shared" si="3811"/>
        <v>0</v>
      </c>
      <c r="BG325" s="6">
        <f t="shared" si="3812"/>
        <v>0</v>
      </c>
      <c r="BH325" s="6">
        <f t="shared" si="3813"/>
        <v>0</v>
      </c>
      <c r="BI325" s="6">
        <f t="shared" si="3814"/>
        <v>0</v>
      </c>
      <c r="BJ325" s="6">
        <f t="shared" si="3815"/>
        <v>0</v>
      </c>
      <c r="BK325" s="6"/>
      <c r="BL325" s="6">
        <f t="shared" si="3816"/>
        <v>0</v>
      </c>
      <c r="BM325" s="6">
        <f t="shared" si="3817"/>
        <v>0</v>
      </c>
      <c r="BN325" s="6">
        <f t="shared" si="3818"/>
        <v>0</v>
      </c>
      <c r="BO325" s="6">
        <f t="shared" si="3819"/>
        <v>0</v>
      </c>
      <c r="BP325" s="6">
        <f t="shared" si="3820"/>
        <v>0</v>
      </c>
      <c r="BQ325" s="6"/>
      <c r="BR325" s="6">
        <f t="shared" si="3821"/>
        <v>0</v>
      </c>
      <c r="BS325" s="6">
        <f t="shared" si="3822"/>
        <v>0</v>
      </c>
      <c r="BT325" s="6">
        <f t="shared" si="3823"/>
        <v>0</v>
      </c>
      <c r="BU325" s="6">
        <f t="shared" si="3824"/>
        <v>0</v>
      </c>
      <c r="BV325" s="6">
        <f t="shared" si="3825"/>
        <v>0</v>
      </c>
      <c r="BW325" s="6"/>
      <c r="BX325" s="6">
        <f t="shared" si="3826"/>
        <v>0</v>
      </c>
      <c r="BY325" s="6">
        <f t="shared" si="3827"/>
        <v>0</v>
      </c>
      <c r="BZ325" s="6">
        <f t="shared" si="3828"/>
        <v>0</v>
      </c>
      <c r="CA325" s="6">
        <f t="shared" si="3829"/>
        <v>0</v>
      </c>
      <c r="CB325" s="6">
        <f t="shared" si="3830"/>
        <v>0</v>
      </c>
      <c r="CC325" s="6"/>
      <c r="CD325" s="6">
        <f t="shared" si="3831"/>
        <v>0</v>
      </c>
      <c r="CE325" s="6">
        <f t="shared" si="3832"/>
        <v>0</v>
      </c>
      <c r="CF325" s="6">
        <f t="shared" si="3833"/>
        <v>0</v>
      </c>
      <c r="CG325" s="6">
        <f t="shared" si="3834"/>
        <v>0</v>
      </c>
      <c r="CH325" s="6">
        <f t="shared" si="3835"/>
        <v>0</v>
      </c>
      <c r="CI325" s="6"/>
      <c r="CJ325" s="6"/>
      <c r="CK325" s="6"/>
      <c r="CL325" s="6"/>
      <c r="CM325" s="6"/>
      <c r="CN325" s="6"/>
    </row>
    <row r="326" spans="2:92" ht="12.95" hidden="1" customHeight="1" outlineLevel="1" x14ac:dyDescent="0.25">
      <c r="B326" s="2" t="s">
        <v>40</v>
      </c>
      <c r="AB326" s="25">
        <f>Capitalization!F65</f>
        <v>0</v>
      </c>
      <c r="AC326" s="25">
        <f t="shared" ref="AC326" si="3856">AB326</f>
        <v>0</v>
      </c>
      <c r="AD326" s="25">
        <f t="shared" si="3789"/>
        <v>0</v>
      </c>
      <c r="AE326" s="25">
        <f t="shared" si="3790"/>
        <v>0</v>
      </c>
      <c r="AF326" s="25">
        <f t="shared" si="3791"/>
        <v>0</v>
      </c>
      <c r="AG326" s="10"/>
      <c r="AH326" s="25">
        <f t="shared" si="3792"/>
        <v>0</v>
      </c>
      <c r="AI326" s="25">
        <f t="shared" si="3793"/>
        <v>0</v>
      </c>
      <c r="AJ326" s="25">
        <f t="shared" si="3794"/>
        <v>0</v>
      </c>
      <c r="AK326" s="25">
        <f t="shared" si="3795"/>
        <v>0</v>
      </c>
      <c r="AL326" s="25">
        <f t="shared" si="3796"/>
        <v>0</v>
      </c>
      <c r="AM326" s="10"/>
      <c r="AN326" s="25">
        <f t="shared" si="3797"/>
        <v>0</v>
      </c>
      <c r="AO326" s="261">
        <f t="shared" si="3798"/>
        <v>0</v>
      </c>
      <c r="AP326" s="25">
        <f t="shared" si="3799"/>
        <v>0</v>
      </c>
      <c r="AQ326" s="261">
        <f t="shared" si="3800"/>
        <v>0</v>
      </c>
      <c r="AR326" s="261">
        <f t="shared" si="3801"/>
        <v>0</v>
      </c>
      <c r="AS326" s="10"/>
      <c r="AT326" s="25">
        <f t="shared" si="3802"/>
        <v>0</v>
      </c>
      <c r="AU326" s="261">
        <f t="shared" si="3803"/>
        <v>0</v>
      </c>
      <c r="AV326" s="261">
        <f t="shared" si="3804"/>
        <v>0</v>
      </c>
      <c r="AW326" s="363">
        <f t="shared" si="3805"/>
        <v>0</v>
      </c>
      <c r="AX326" s="25">
        <f t="shared" si="3806"/>
        <v>0</v>
      </c>
      <c r="AY326" s="10"/>
      <c r="AZ326" s="25">
        <f t="shared" si="3845"/>
        <v>0</v>
      </c>
      <c r="BA326" s="25">
        <f t="shared" si="3807"/>
        <v>0</v>
      </c>
      <c r="BB326" s="25">
        <f t="shared" si="3808"/>
        <v>0</v>
      </c>
      <c r="BC326" s="25">
        <f t="shared" si="3809"/>
        <v>0</v>
      </c>
      <c r="BD326" s="25">
        <f t="shared" si="3810"/>
        <v>0</v>
      </c>
      <c r="BE326" s="10"/>
      <c r="BF326" s="25">
        <f t="shared" si="3811"/>
        <v>0</v>
      </c>
      <c r="BG326" s="25">
        <f t="shared" si="3812"/>
        <v>0</v>
      </c>
      <c r="BH326" s="25">
        <f t="shared" si="3813"/>
        <v>0</v>
      </c>
      <c r="BI326" s="25">
        <f t="shared" si="3814"/>
        <v>0</v>
      </c>
      <c r="BJ326" s="25">
        <f t="shared" si="3815"/>
        <v>0</v>
      </c>
      <c r="BK326" s="10"/>
      <c r="BL326" s="25">
        <f t="shared" si="3816"/>
        <v>0</v>
      </c>
      <c r="BM326" s="25">
        <f t="shared" si="3817"/>
        <v>0</v>
      </c>
      <c r="BN326" s="25">
        <f t="shared" si="3818"/>
        <v>0</v>
      </c>
      <c r="BO326" s="25">
        <f t="shared" si="3819"/>
        <v>0</v>
      </c>
      <c r="BP326" s="25">
        <f t="shared" si="3820"/>
        <v>0</v>
      </c>
      <c r="BQ326" s="10"/>
      <c r="BR326" s="25">
        <f t="shared" si="3821"/>
        <v>0</v>
      </c>
      <c r="BS326" s="25">
        <f t="shared" si="3822"/>
        <v>0</v>
      </c>
      <c r="BT326" s="25">
        <f t="shared" si="3823"/>
        <v>0</v>
      </c>
      <c r="BU326" s="25">
        <f t="shared" si="3824"/>
        <v>0</v>
      </c>
      <c r="BV326" s="25">
        <f t="shared" si="3825"/>
        <v>0</v>
      </c>
      <c r="BW326" s="10"/>
      <c r="BX326" s="25">
        <f t="shared" si="3826"/>
        <v>0</v>
      </c>
      <c r="BY326" s="25">
        <f t="shared" si="3827"/>
        <v>0</v>
      </c>
      <c r="BZ326" s="25">
        <f t="shared" si="3828"/>
        <v>0</v>
      </c>
      <c r="CA326" s="25">
        <f t="shared" si="3829"/>
        <v>0</v>
      </c>
      <c r="CB326" s="25">
        <f t="shared" si="3830"/>
        <v>0</v>
      </c>
      <c r="CC326" s="10"/>
      <c r="CD326" s="25">
        <f t="shared" si="3831"/>
        <v>0</v>
      </c>
      <c r="CE326" s="25">
        <f t="shared" si="3832"/>
        <v>0</v>
      </c>
      <c r="CF326" s="25">
        <f t="shared" si="3833"/>
        <v>0</v>
      </c>
      <c r="CG326" s="25">
        <f t="shared" si="3834"/>
        <v>0</v>
      </c>
      <c r="CH326" s="25">
        <f t="shared" si="3835"/>
        <v>0</v>
      </c>
      <c r="CI326" s="10"/>
      <c r="CJ326" s="25"/>
      <c r="CK326" s="25"/>
      <c r="CL326" s="25"/>
      <c r="CM326" s="25"/>
      <c r="CN326" s="25"/>
    </row>
    <row r="327" spans="2:92" ht="12.95" hidden="1" customHeight="1" outlineLevel="1" x14ac:dyDescent="0.25">
      <c r="B327" s="2">
        <f>Capitalization!B66</f>
        <v>0</v>
      </c>
      <c r="AB327" s="6">
        <f>Capitalization!E66</f>
        <v>0</v>
      </c>
      <c r="AC327" s="6">
        <f>AB327</f>
        <v>0</v>
      </c>
      <c r="AD327" s="6">
        <f t="shared" si="3789"/>
        <v>0</v>
      </c>
      <c r="AE327" s="6">
        <f t="shared" si="3790"/>
        <v>0</v>
      </c>
      <c r="AF327" s="6">
        <f t="shared" si="3791"/>
        <v>0</v>
      </c>
      <c r="AG327" s="6"/>
      <c r="AH327" s="6">
        <f t="shared" si="3792"/>
        <v>0</v>
      </c>
      <c r="AI327" s="6">
        <f t="shared" si="3793"/>
        <v>0</v>
      </c>
      <c r="AJ327" s="6">
        <f t="shared" si="3794"/>
        <v>0</v>
      </c>
      <c r="AK327" s="6">
        <f t="shared" si="3795"/>
        <v>0</v>
      </c>
      <c r="AL327" s="6">
        <f t="shared" si="3796"/>
        <v>0</v>
      </c>
      <c r="AM327" s="6"/>
      <c r="AN327" s="6">
        <f t="shared" si="3797"/>
        <v>0</v>
      </c>
      <c r="AO327" s="243">
        <f t="shared" si="3798"/>
        <v>0</v>
      </c>
      <c r="AP327" s="6">
        <f t="shared" si="3799"/>
        <v>0</v>
      </c>
      <c r="AQ327" s="243">
        <f t="shared" si="3800"/>
        <v>0</v>
      </c>
      <c r="AR327" s="243">
        <f t="shared" si="3801"/>
        <v>0</v>
      </c>
      <c r="AS327" s="6"/>
      <c r="AT327" s="6">
        <f t="shared" si="3802"/>
        <v>0</v>
      </c>
      <c r="AU327" s="243">
        <f t="shared" si="3803"/>
        <v>0</v>
      </c>
      <c r="AV327" s="243">
        <f t="shared" si="3804"/>
        <v>0</v>
      </c>
      <c r="AW327" s="164">
        <f t="shared" si="3805"/>
        <v>0</v>
      </c>
      <c r="AX327" s="6">
        <f t="shared" si="3806"/>
        <v>0</v>
      </c>
      <c r="AY327" s="6"/>
      <c r="AZ327" s="6">
        <f t="shared" si="3845"/>
        <v>0</v>
      </c>
      <c r="BA327" s="6">
        <f t="shared" si="3807"/>
        <v>0</v>
      </c>
      <c r="BB327" s="6">
        <f t="shared" si="3808"/>
        <v>0</v>
      </c>
      <c r="BC327" s="6">
        <f t="shared" si="3809"/>
        <v>0</v>
      </c>
      <c r="BD327" s="6">
        <f t="shared" si="3810"/>
        <v>0</v>
      </c>
      <c r="BE327" s="6"/>
      <c r="BF327" s="6">
        <f t="shared" si="3811"/>
        <v>0</v>
      </c>
      <c r="BG327" s="6">
        <f t="shared" si="3812"/>
        <v>0</v>
      </c>
      <c r="BH327" s="6">
        <f t="shared" si="3813"/>
        <v>0</v>
      </c>
      <c r="BI327" s="6">
        <f t="shared" si="3814"/>
        <v>0</v>
      </c>
      <c r="BJ327" s="6">
        <f t="shared" si="3815"/>
        <v>0</v>
      </c>
      <c r="BK327" s="6"/>
      <c r="BL327" s="6">
        <f t="shared" si="3816"/>
        <v>0</v>
      </c>
      <c r="BM327" s="6">
        <f t="shared" si="3817"/>
        <v>0</v>
      </c>
      <c r="BN327" s="6">
        <f t="shared" si="3818"/>
        <v>0</v>
      </c>
      <c r="BO327" s="6">
        <f t="shared" si="3819"/>
        <v>0</v>
      </c>
      <c r="BP327" s="6">
        <f t="shared" si="3820"/>
        <v>0</v>
      </c>
      <c r="BQ327" s="6"/>
      <c r="BR327" s="6">
        <f t="shared" si="3821"/>
        <v>0</v>
      </c>
      <c r="BS327" s="6">
        <f t="shared" si="3822"/>
        <v>0</v>
      </c>
      <c r="BT327" s="6">
        <f t="shared" si="3823"/>
        <v>0</v>
      </c>
      <c r="BU327" s="6">
        <f t="shared" si="3824"/>
        <v>0</v>
      </c>
      <c r="BV327" s="6">
        <f t="shared" si="3825"/>
        <v>0</v>
      </c>
      <c r="BW327" s="6"/>
      <c r="BX327" s="6">
        <f t="shared" si="3826"/>
        <v>0</v>
      </c>
      <c r="BY327" s="6">
        <f t="shared" si="3827"/>
        <v>0</v>
      </c>
      <c r="BZ327" s="6">
        <f t="shared" si="3828"/>
        <v>0</v>
      </c>
      <c r="CA327" s="6">
        <f t="shared" si="3829"/>
        <v>0</v>
      </c>
      <c r="CB327" s="6">
        <f t="shared" si="3830"/>
        <v>0</v>
      </c>
      <c r="CC327" s="6"/>
      <c r="CD327" s="6">
        <f t="shared" si="3831"/>
        <v>0</v>
      </c>
      <c r="CE327" s="6">
        <f t="shared" si="3832"/>
        <v>0</v>
      </c>
      <c r="CF327" s="6">
        <f t="shared" si="3833"/>
        <v>0</v>
      </c>
      <c r="CG327" s="6">
        <f t="shared" si="3834"/>
        <v>0</v>
      </c>
      <c r="CH327" s="6">
        <f t="shared" si="3835"/>
        <v>0</v>
      </c>
      <c r="CI327" s="6"/>
      <c r="CJ327" s="6"/>
      <c r="CK327" s="6"/>
      <c r="CL327" s="6"/>
      <c r="CM327" s="6"/>
      <c r="CN327" s="6"/>
    </row>
    <row r="328" spans="2:92" ht="12.95" hidden="1" customHeight="1" outlineLevel="1" x14ac:dyDescent="0.25">
      <c r="B328" s="2" t="s">
        <v>40</v>
      </c>
      <c r="AB328" s="25">
        <f>Capitalization!F66</f>
        <v>0</v>
      </c>
      <c r="AC328" s="25">
        <f t="shared" ref="AC328" si="3857">AB328</f>
        <v>0</v>
      </c>
      <c r="AD328" s="25">
        <f t="shared" si="3789"/>
        <v>0</v>
      </c>
      <c r="AE328" s="25">
        <f t="shared" si="3790"/>
        <v>0</v>
      </c>
      <c r="AF328" s="25">
        <f t="shared" si="3791"/>
        <v>0</v>
      </c>
      <c r="AG328" s="10"/>
      <c r="AH328" s="25">
        <f t="shared" si="3792"/>
        <v>0</v>
      </c>
      <c r="AI328" s="25">
        <f t="shared" si="3793"/>
        <v>0</v>
      </c>
      <c r="AJ328" s="25">
        <f t="shared" si="3794"/>
        <v>0</v>
      </c>
      <c r="AK328" s="25">
        <f t="shared" si="3795"/>
        <v>0</v>
      </c>
      <c r="AL328" s="25">
        <f t="shared" si="3796"/>
        <v>0</v>
      </c>
      <c r="AM328" s="10"/>
      <c r="AN328" s="25">
        <f t="shared" si="3797"/>
        <v>0</v>
      </c>
      <c r="AO328" s="261">
        <f t="shared" si="3798"/>
        <v>0</v>
      </c>
      <c r="AP328" s="25">
        <f t="shared" si="3799"/>
        <v>0</v>
      </c>
      <c r="AQ328" s="261">
        <f t="shared" si="3800"/>
        <v>0</v>
      </c>
      <c r="AR328" s="261">
        <f t="shared" si="3801"/>
        <v>0</v>
      </c>
      <c r="AS328" s="10"/>
      <c r="AT328" s="25">
        <f t="shared" si="3802"/>
        <v>0</v>
      </c>
      <c r="AU328" s="261">
        <f t="shared" si="3803"/>
        <v>0</v>
      </c>
      <c r="AV328" s="261">
        <f t="shared" si="3804"/>
        <v>0</v>
      </c>
      <c r="AW328" s="363">
        <f t="shared" si="3805"/>
        <v>0</v>
      </c>
      <c r="AX328" s="25">
        <f t="shared" si="3806"/>
        <v>0</v>
      </c>
      <c r="AY328" s="10"/>
      <c r="AZ328" s="25">
        <f t="shared" si="3845"/>
        <v>0</v>
      </c>
      <c r="BA328" s="25">
        <f t="shared" si="3807"/>
        <v>0</v>
      </c>
      <c r="BB328" s="25">
        <f t="shared" si="3808"/>
        <v>0</v>
      </c>
      <c r="BC328" s="25">
        <f t="shared" si="3809"/>
        <v>0</v>
      </c>
      <c r="BD328" s="25">
        <f t="shared" si="3810"/>
        <v>0</v>
      </c>
      <c r="BE328" s="10"/>
      <c r="BF328" s="25">
        <f t="shared" si="3811"/>
        <v>0</v>
      </c>
      <c r="BG328" s="25">
        <f t="shared" si="3812"/>
        <v>0</v>
      </c>
      <c r="BH328" s="25">
        <f t="shared" si="3813"/>
        <v>0</v>
      </c>
      <c r="BI328" s="25">
        <f t="shared" si="3814"/>
        <v>0</v>
      </c>
      <c r="BJ328" s="25">
        <f t="shared" si="3815"/>
        <v>0</v>
      </c>
      <c r="BK328" s="10"/>
      <c r="BL328" s="25">
        <f t="shared" si="3816"/>
        <v>0</v>
      </c>
      <c r="BM328" s="25">
        <f t="shared" si="3817"/>
        <v>0</v>
      </c>
      <c r="BN328" s="25">
        <f t="shared" si="3818"/>
        <v>0</v>
      </c>
      <c r="BO328" s="25">
        <f t="shared" si="3819"/>
        <v>0</v>
      </c>
      <c r="BP328" s="25">
        <f t="shared" si="3820"/>
        <v>0</v>
      </c>
      <c r="BQ328" s="10"/>
      <c r="BR328" s="25">
        <f t="shared" si="3821"/>
        <v>0</v>
      </c>
      <c r="BS328" s="25">
        <f t="shared" si="3822"/>
        <v>0</v>
      </c>
      <c r="BT328" s="25">
        <f t="shared" si="3823"/>
        <v>0</v>
      </c>
      <c r="BU328" s="25">
        <f t="shared" si="3824"/>
        <v>0</v>
      </c>
      <c r="BV328" s="25">
        <f t="shared" si="3825"/>
        <v>0</v>
      </c>
      <c r="BW328" s="10"/>
      <c r="BX328" s="25">
        <f t="shared" si="3826"/>
        <v>0</v>
      </c>
      <c r="BY328" s="25">
        <f t="shared" si="3827"/>
        <v>0</v>
      </c>
      <c r="BZ328" s="25">
        <f t="shared" si="3828"/>
        <v>0</v>
      </c>
      <c r="CA328" s="25">
        <f t="shared" si="3829"/>
        <v>0</v>
      </c>
      <c r="CB328" s="25">
        <f t="shared" si="3830"/>
        <v>0</v>
      </c>
      <c r="CC328" s="10"/>
      <c r="CD328" s="25">
        <f t="shared" si="3831"/>
        <v>0</v>
      </c>
      <c r="CE328" s="25">
        <f t="shared" si="3832"/>
        <v>0</v>
      </c>
      <c r="CF328" s="25">
        <f t="shared" si="3833"/>
        <v>0</v>
      </c>
      <c r="CG328" s="25">
        <f t="shared" si="3834"/>
        <v>0</v>
      </c>
      <c r="CH328" s="25">
        <f t="shared" si="3835"/>
        <v>0</v>
      </c>
      <c r="CI328" s="10"/>
      <c r="CJ328" s="25"/>
      <c r="CK328" s="25"/>
      <c r="CL328" s="25"/>
      <c r="CM328" s="25"/>
      <c r="CN328" s="25"/>
    </row>
    <row r="329" spans="2:92" ht="12.95" hidden="1" customHeight="1" outlineLevel="1" x14ac:dyDescent="0.25">
      <c r="B329" s="2">
        <f>Capitalization!B67</f>
        <v>0</v>
      </c>
      <c r="AB329" s="6">
        <f>Capitalization!E67</f>
        <v>0</v>
      </c>
      <c r="AC329" s="6">
        <f>AB329</f>
        <v>0</v>
      </c>
      <c r="AD329" s="6">
        <f t="shared" si="3789"/>
        <v>0</v>
      </c>
      <c r="AE329" s="6">
        <f t="shared" si="3790"/>
        <v>0</v>
      </c>
      <c r="AF329" s="6">
        <f t="shared" si="3791"/>
        <v>0</v>
      </c>
      <c r="AG329" s="6"/>
      <c r="AH329" s="6">
        <f t="shared" si="3792"/>
        <v>0</v>
      </c>
      <c r="AI329" s="6">
        <f t="shared" si="3793"/>
        <v>0</v>
      </c>
      <c r="AJ329" s="6">
        <f t="shared" si="3794"/>
        <v>0</v>
      </c>
      <c r="AK329" s="6">
        <f t="shared" si="3795"/>
        <v>0</v>
      </c>
      <c r="AL329" s="6">
        <f t="shared" si="3796"/>
        <v>0</v>
      </c>
      <c r="AM329" s="6"/>
      <c r="AN329" s="6">
        <f t="shared" si="3797"/>
        <v>0</v>
      </c>
      <c r="AO329" s="243">
        <f t="shared" si="3798"/>
        <v>0</v>
      </c>
      <c r="AP329" s="6">
        <f t="shared" si="3799"/>
        <v>0</v>
      </c>
      <c r="AQ329" s="243">
        <f t="shared" si="3800"/>
        <v>0</v>
      </c>
      <c r="AR329" s="243">
        <f t="shared" si="3801"/>
        <v>0</v>
      </c>
      <c r="AS329" s="6"/>
      <c r="AT329" s="6">
        <f t="shared" si="3802"/>
        <v>0</v>
      </c>
      <c r="AU329" s="243">
        <f t="shared" si="3803"/>
        <v>0</v>
      </c>
      <c r="AV329" s="243">
        <f t="shared" si="3804"/>
        <v>0</v>
      </c>
      <c r="AW329" s="164">
        <f t="shared" si="3805"/>
        <v>0</v>
      </c>
      <c r="AX329" s="6">
        <f t="shared" si="3806"/>
        <v>0</v>
      </c>
      <c r="AY329" s="6"/>
      <c r="AZ329" s="6">
        <f t="shared" si="3845"/>
        <v>0</v>
      </c>
      <c r="BA329" s="6">
        <f t="shared" si="3807"/>
        <v>0</v>
      </c>
      <c r="BB329" s="6">
        <f t="shared" si="3808"/>
        <v>0</v>
      </c>
      <c r="BC329" s="6">
        <f t="shared" si="3809"/>
        <v>0</v>
      </c>
      <c r="BD329" s="6">
        <f t="shared" si="3810"/>
        <v>0</v>
      </c>
      <c r="BE329" s="6"/>
      <c r="BF329" s="6">
        <f t="shared" si="3811"/>
        <v>0</v>
      </c>
      <c r="BG329" s="6">
        <f t="shared" si="3812"/>
        <v>0</v>
      </c>
      <c r="BH329" s="6">
        <f t="shared" si="3813"/>
        <v>0</v>
      </c>
      <c r="BI329" s="6">
        <f t="shared" si="3814"/>
        <v>0</v>
      </c>
      <c r="BJ329" s="6">
        <f t="shared" si="3815"/>
        <v>0</v>
      </c>
      <c r="BK329" s="6"/>
      <c r="BL329" s="6">
        <f t="shared" si="3816"/>
        <v>0</v>
      </c>
      <c r="BM329" s="6">
        <f t="shared" si="3817"/>
        <v>0</v>
      </c>
      <c r="BN329" s="6">
        <f t="shared" si="3818"/>
        <v>0</v>
      </c>
      <c r="BO329" s="6">
        <f t="shared" si="3819"/>
        <v>0</v>
      </c>
      <c r="BP329" s="6">
        <f t="shared" si="3820"/>
        <v>0</v>
      </c>
      <c r="BQ329" s="6"/>
      <c r="BR329" s="6">
        <f t="shared" si="3821"/>
        <v>0</v>
      </c>
      <c r="BS329" s="6">
        <f t="shared" si="3822"/>
        <v>0</v>
      </c>
      <c r="BT329" s="6">
        <f t="shared" si="3823"/>
        <v>0</v>
      </c>
      <c r="BU329" s="6">
        <f t="shared" si="3824"/>
        <v>0</v>
      </c>
      <c r="BV329" s="6">
        <f t="shared" si="3825"/>
        <v>0</v>
      </c>
      <c r="BW329" s="6"/>
      <c r="BX329" s="6">
        <f t="shared" si="3826"/>
        <v>0</v>
      </c>
      <c r="BY329" s="6">
        <f t="shared" si="3827"/>
        <v>0</v>
      </c>
      <c r="BZ329" s="6">
        <f t="shared" si="3828"/>
        <v>0</v>
      </c>
      <c r="CA329" s="6">
        <f t="shared" si="3829"/>
        <v>0</v>
      </c>
      <c r="CB329" s="6">
        <f t="shared" si="3830"/>
        <v>0</v>
      </c>
      <c r="CC329" s="6"/>
      <c r="CD329" s="6">
        <f t="shared" si="3831"/>
        <v>0</v>
      </c>
      <c r="CE329" s="6">
        <f t="shared" si="3832"/>
        <v>0</v>
      </c>
      <c r="CF329" s="6">
        <f t="shared" si="3833"/>
        <v>0</v>
      </c>
      <c r="CG329" s="6">
        <f t="shared" si="3834"/>
        <v>0</v>
      </c>
      <c r="CH329" s="6">
        <f t="shared" si="3835"/>
        <v>0</v>
      </c>
      <c r="CI329" s="6"/>
      <c r="CJ329" s="6"/>
      <c r="CK329" s="6"/>
      <c r="CL329" s="6"/>
      <c r="CM329" s="6"/>
      <c r="CN329" s="6"/>
    </row>
    <row r="330" spans="2:92" ht="12.95" hidden="1" customHeight="1" outlineLevel="1" x14ac:dyDescent="0.25">
      <c r="B330" s="2" t="s">
        <v>40</v>
      </c>
      <c r="AB330" s="25">
        <f>Capitalization!F67</f>
        <v>0</v>
      </c>
      <c r="AC330" s="25">
        <f t="shared" ref="AC330" si="3858">AB330</f>
        <v>0</v>
      </c>
      <c r="AD330" s="25">
        <f t="shared" si="3789"/>
        <v>0</v>
      </c>
      <c r="AE330" s="25">
        <f t="shared" si="3790"/>
        <v>0</v>
      </c>
      <c r="AF330" s="25">
        <f t="shared" si="3791"/>
        <v>0</v>
      </c>
      <c r="AG330" s="10"/>
      <c r="AH330" s="25">
        <f t="shared" si="3792"/>
        <v>0</v>
      </c>
      <c r="AI330" s="25">
        <f t="shared" si="3793"/>
        <v>0</v>
      </c>
      <c r="AJ330" s="25">
        <f t="shared" si="3794"/>
        <v>0</v>
      </c>
      <c r="AK330" s="25">
        <f t="shared" si="3795"/>
        <v>0</v>
      </c>
      <c r="AL330" s="25">
        <f t="shared" si="3796"/>
        <v>0</v>
      </c>
      <c r="AM330" s="10"/>
      <c r="AN330" s="25">
        <f t="shared" si="3797"/>
        <v>0</v>
      </c>
      <c r="AO330" s="261">
        <f t="shared" si="3798"/>
        <v>0</v>
      </c>
      <c r="AP330" s="25">
        <f t="shared" si="3799"/>
        <v>0</v>
      </c>
      <c r="AQ330" s="261">
        <f t="shared" si="3800"/>
        <v>0</v>
      </c>
      <c r="AR330" s="261">
        <f t="shared" si="3801"/>
        <v>0</v>
      </c>
      <c r="AS330" s="10"/>
      <c r="AT330" s="25">
        <f t="shared" si="3802"/>
        <v>0</v>
      </c>
      <c r="AU330" s="261">
        <f t="shared" si="3803"/>
        <v>0</v>
      </c>
      <c r="AV330" s="261">
        <f t="shared" si="3804"/>
        <v>0</v>
      </c>
      <c r="AW330" s="363">
        <f t="shared" si="3805"/>
        <v>0</v>
      </c>
      <c r="AX330" s="25">
        <f t="shared" si="3806"/>
        <v>0</v>
      </c>
      <c r="AY330" s="10"/>
      <c r="AZ330" s="25">
        <f t="shared" si="3845"/>
        <v>0</v>
      </c>
      <c r="BA330" s="25">
        <f t="shared" si="3807"/>
        <v>0</v>
      </c>
      <c r="BB330" s="25">
        <f t="shared" si="3808"/>
        <v>0</v>
      </c>
      <c r="BC330" s="25">
        <f t="shared" si="3809"/>
        <v>0</v>
      </c>
      <c r="BD330" s="25">
        <f t="shared" si="3810"/>
        <v>0</v>
      </c>
      <c r="BE330" s="10"/>
      <c r="BF330" s="25">
        <f t="shared" si="3811"/>
        <v>0</v>
      </c>
      <c r="BG330" s="25">
        <f t="shared" si="3812"/>
        <v>0</v>
      </c>
      <c r="BH330" s="25">
        <f t="shared" si="3813"/>
        <v>0</v>
      </c>
      <c r="BI330" s="25">
        <f t="shared" si="3814"/>
        <v>0</v>
      </c>
      <c r="BJ330" s="25">
        <f t="shared" si="3815"/>
        <v>0</v>
      </c>
      <c r="BK330" s="10"/>
      <c r="BL330" s="25">
        <f t="shared" si="3816"/>
        <v>0</v>
      </c>
      <c r="BM330" s="25">
        <f t="shared" si="3817"/>
        <v>0</v>
      </c>
      <c r="BN330" s="25">
        <f t="shared" si="3818"/>
        <v>0</v>
      </c>
      <c r="BO330" s="25">
        <f t="shared" si="3819"/>
        <v>0</v>
      </c>
      <c r="BP330" s="25">
        <f t="shared" si="3820"/>
        <v>0</v>
      </c>
      <c r="BQ330" s="10"/>
      <c r="BR330" s="25">
        <f t="shared" si="3821"/>
        <v>0</v>
      </c>
      <c r="BS330" s="25">
        <f t="shared" si="3822"/>
        <v>0</v>
      </c>
      <c r="BT330" s="25">
        <f t="shared" si="3823"/>
        <v>0</v>
      </c>
      <c r="BU330" s="25">
        <f t="shared" si="3824"/>
        <v>0</v>
      </c>
      <c r="BV330" s="25">
        <f t="shared" si="3825"/>
        <v>0</v>
      </c>
      <c r="BW330" s="10"/>
      <c r="BX330" s="25">
        <f t="shared" si="3826"/>
        <v>0</v>
      </c>
      <c r="BY330" s="25">
        <f t="shared" si="3827"/>
        <v>0</v>
      </c>
      <c r="BZ330" s="25">
        <f t="shared" si="3828"/>
        <v>0</v>
      </c>
      <c r="CA330" s="25">
        <f t="shared" si="3829"/>
        <v>0</v>
      </c>
      <c r="CB330" s="25">
        <f t="shared" si="3830"/>
        <v>0</v>
      </c>
      <c r="CC330" s="10"/>
      <c r="CD330" s="25">
        <f t="shared" si="3831"/>
        <v>0</v>
      </c>
      <c r="CE330" s="25">
        <f t="shared" si="3832"/>
        <v>0</v>
      </c>
      <c r="CF330" s="25">
        <f t="shared" si="3833"/>
        <v>0</v>
      </c>
      <c r="CG330" s="25">
        <f t="shared" si="3834"/>
        <v>0</v>
      </c>
      <c r="CH330" s="25">
        <f t="shared" si="3835"/>
        <v>0</v>
      </c>
      <c r="CI330" s="10"/>
      <c r="CJ330" s="25"/>
      <c r="CK330" s="25"/>
      <c r="CL330" s="25"/>
      <c r="CM330" s="25"/>
      <c r="CN330" s="25"/>
    </row>
    <row r="331" spans="2:92" ht="12.95" hidden="1" customHeight="1" outlineLevel="1" x14ac:dyDescent="0.25">
      <c r="B331" s="2">
        <f>Capitalization!B68</f>
        <v>0</v>
      </c>
      <c r="AB331" s="6">
        <f>Capitalization!E68</f>
        <v>0</v>
      </c>
      <c r="AC331" s="6">
        <f>AB331</f>
        <v>0</v>
      </c>
      <c r="AD331" s="6">
        <f t="shared" si="3789"/>
        <v>0</v>
      </c>
      <c r="AE331" s="6">
        <f t="shared" si="3790"/>
        <v>0</v>
      </c>
      <c r="AF331" s="6">
        <f t="shared" si="3791"/>
        <v>0</v>
      </c>
      <c r="AG331" s="6"/>
      <c r="AH331" s="6">
        <f t="shared" si="3792"/>
        <v>0</v>
      </c>
      <c r="AI331" s="6">
        <f t="shared" si="3793"/>
        <v>0</v>
      </c>
      <c r="AJ331" s="6">
        <f t="shared" si="3794"/>
        <v>0</v>
      </c>
      <c r="AK331" s="6">
        <f t="shared" si="3795"/>
        <v>0</v>
      </c>
      <c r="AL331" s="6">
        <f t="shared" si="3796"/>
        <v>0</v>
      </c>
      <c r="AM331" s="6"/>
      <c r="AN331" s="6">
        <f t="shared" si="3797"/>
        <v>0</v>
      </c>
      <c r="AO331" s="243">
        <f t="shared" si="3798"/>
        <v>0</v>
      </c>
      <c r="AP331" s="6">
        <f t="shared" si="3799"/>
        <v>0</v>
      </c>
      <c r="AQ331" s="243">
        <f t="shared" si="3800"/>
        <v>0</v>
      </c>
      <c r="AR331" s="243">
        <f t="shared" si="3801"/>
        <v>0</v>
      </c>
      <c r="AS331" s="6"/>
      <c r="AT331" s="6">
        <f t="shared" si="3802"/>
        <v>0</v>
      </c>
      <c r="AU331" s="243">
        <f t="shared" si="3803"/>
        <v>0</v>
      </c>
      <c r="AV331" s="243">
        <f t="shared" si="3804"/>
        <v>0</v>
      </c>
      <c r="AW331" s="164">
        <f t="shared" si="3805"/>
        <v>0</v>
      </c>
      <c r="AX331" s="6">
        <f t="shared" si="3806"/>
        <v>0</v>
      </c>
      <c r="AY331" s="6"/>
      <c r="AZ331" s="6">
        <f t="shared" si="3845"/>
        <v>0</v>
      </c>
      <c r="BA331" s="6">
        <f t="shared" si="3807"/>
        <v>0</v>
      </c>
      <c r="BB331" s="6">
        <f t="shared" si="3808"/>
        <v>0</v>
      </c>
      <c r="BC331" s="6">
        <f t="shared" si="3809"/>
        <v>0</v>
      </c>
      <c r="BD331" s="6">
        <f t="shared" si="3810"/>
        <v>0</v>
      </c>
      <c r="BE331" s="6"/>
      <c r="BF331" s="6">
        <f t="shared" si="3811"/>
        <v>0</v>
      </c>
      <c r="BG331" s="6">
        <f t="shared" si="3812"/>
        <v>0</v>
      </c>
      <c r="BH331" s="6">
        <f t="shared" si="3813"/>
        <v>0</v>
      </c>
      <c r="BI331" s="6">
        <f t="shared" si="3814"/>
        <v>0</v>
      </c>
      <c r="BJ331" s="6">
        <f t="shared" si="3815"/>
        <v>0</v>
      </c>
      <c r="BK331" s="6"/>
      <c r="BL331" s="6">
        <f t="shared" si="3816"/>
        <v>0</v>
      </c>
      <c r="BM331" s="6">
        <f t="shared" si="3817"/>
        <v>0</v>
      </c>
      <c r="BN331" s="6">
        <f t="shared" si="3818"/>
        <v>0</v>
      </c>
      <c r="BO331" s="6">
        <f t="shared" si="3819"/>
        <v>0</v>
      </c>
      <c r="BP331" s="6">
        <f t="shared" si="3820"/>
        <v>0</v>
      </c>
      <c r="BQ331" s="6"/>
      <c r="BR331" s="6">
        <f t="shared" si="3821"/>
        <v>0</v>
      </c>
      <c r="BS331" s="6">
        <f t="shared" si="3822"/>
        <v>0</v>
      </c>
      <c r="BT331" s="6">
        <f t="shared" si="3823"/>
        <v>0</v>
      </c>
      <c r="BU331" s="6">
        <f t="shared" si="3824"/>
        <v>0</v>
      </c>
      <c r="BV331" s="6">
        <f t="shared" si="3825"/>
        <v>0</v>
      </c>
      <c r="BW331" s="6"/>
      <c r="BX331" s="6">
        <f t="shared" si="3826"/>
        <v>0</v>
      </c>
      <c r="BY331" s="6">
        <f t="shared" si="3827"/>
        <v>0</v>
      </c>
      <c r="BZ331" s="6">
        <f t="shared" si="3828"/>
        <v>0</v>
      </c>
      <c r="CA331" s="6">
        <f t="shared" si="3829"/>
        <v>0</v>
      </c>
      <c r="CB331" s="6">
        <f t="shared" si="3830"/>
        <v>0</v>
      </c>
      <c r="CC331" s="6"/>
      <c r="CD331" s="6">
        <f t="shared" si="3831"/>
        <v>0</v>
      </c>
      <c r="CE331" s="6">
        <f t="shared" si="3832"/>
        <v>0</v>
      </c>
      <c r="CF331" s="6">
        <f t="shared" si="3833"/>
        <v>0</v>
      </c>
      <c r="CG331" s="6">
        <f t="shared" si="3834"/>
        <v>0</v>
      </c>
      <c r="CH331" s="6">
        <f t="shared" si="3835"/>
        <v>0</v>
      </c>
      <c r="CI331" s="6"/>
      <c r="CJ331" s="6"/>
      <c r="CK331" s="6"/>
      <c r="CL331" s="6"/>
      <c r="CM331" s="6"/>
      <c r="CN331" s="6"/>
    </row>
    <row r="332" spans="2:92" ht="12.95" hidden="1" customHeight="1" outlineLevel="1" x14ac:dyDescent="0.25">
      <c r="B332" s="2" t="s">
        <v>40</v>
      </c>
      <c r="AB332" s="25">
        <f>Capitalization!F68</f>
        <v>0</v>
      </c>
      <c r="AC332" s="25">
        <f t="shared" ref="AC332" si="3859">AB332</f>
        <v>0</v>
      </c>
      <c r="AD332" s="25">
        <f t="shared" si="3789"/>
        <v>0</v>
      </c>
      <c r="AE332" s="25">
        <f t="shared" si="3790"/>
        <v>0</v>
      </c>
      <c r="AF332" s="25">
        <f t="shared" si="3791"/>
        <v>0</v>
      </c>
      <c r="AG332" s="10"/>
      <c r="AH332" s="25">
        <f t="shared" si="3792"/>
        <v>0</v>
      </c>
      <c r="AI332" s="25">
        <f t="shared" si="3793"/>
        <v>0</v>
      </c>
      <c r="AJ332" s="25">
        <f t="shared" si="3794"/>
        <v>0</v>
      </c>
      <c r="AK332" s="25">
        <f t="shared" si="3795"/>
        <v>0</v>
      </c>
      <c r="AL332" s="25">
        <f t="shared" si="3796"/>
        <v>0</v>
      </c>
      <c r="AM332" s="10"/>
      <c r="AN332" s="25">
        <f t="shared" si="3797"/>
        <v>0</v>
      </c>
      <c r="AO332" s="261">
        <f t="shared" si="3798"/>
        <v>0</v>
      </c>
      <c r="AP332" s="25">
        <f t="shared" si="3799"/>
        <v>0</v>
      </c>
      <c r="AQ332" s="261">
        <f t="shared" si="3800"/>
        <v>0</v>
      </c>
      <c r="AR332" s="261">
        <f t="shared" si="3801"/>
        <v>0</v>
      </c>
      <c r="AS332" s="10"/>
      <c r="AT332" s="25">
        <f t="shared" si="3802"/>
        <v>0</v>
      </c>
      <c r="AU332" s="261">
        <f t="shared" si="3803"/>
        <v>0</v>
      </c>
      <c r="AV332" s="261">
        <f t="shared" si="3804"/>
        <v>0</v>
      </c>
      <c r="AW332" s="363">
        <f t="shared" si="3805"/>
        <v>0</v>
      </c>
      <c r="AX332" s="25">
        <f t="shared" si="3806"/>
        <v>0</v>
      </c>
      <c r="AY332" s="10"/>
      <c r="AZ332" s="25">
        <f t="shared" si="3845"/>
        <v>0</v>
      </c>
      <c r="BA332" s="25">
        <f t="shared" si="3807"/>
        <v>0</v>
      </c>
      <c r="BB332" s="25">
        <f t="shared" si="3808"/>
        <v>0</v>
      </c>
      <c r="BC332" s="25">
        <f t="shared" si="3809"/>
        <v>0</v>
      </c>
      <c r="BD332" s="25">
        <f t="shared" si="3810"/>
        <v>0</v>
      </c>
      <c r="BE332" s="10"/>
      <c r="BF332" s="25">
        <f t="shared" si="3811"/>
        <v>0</v>
      </c>
      <c r="BG332" s="25">
        <f t="shared" si="3812"/>
        <v>0</v>
      </c>
      <c r="BH332" s="25">
        <f t="shared" si="3813"/>
        <v>0</v>
      </c>
      <c r="BI332" s="25">
        <f t="shared" si="3814"/>
        <v>0</v>
      </c>
      <c r="BJ332" s="25">
        <f t="shared" si="3815"/>
        <v>0</v>
      </c>
      <c r="BK332" s="10"/>
      <c r="BL332" s="25">
        <f t="shared" si="3816"/>
        <v>0</v>
      </c>
      <c r="BM332" s="25">
        <f t="shared" si="3817"/>
        <v>0</v>
      </c>
      <c r="BN332" s="25">
        <f t="shared" si="3818"/>
        <v>0</v>
      </c>
      <c r="BO332" s="25">
        <f t="shared" si="3819"/>
        <v>0</v>
      </c>
      <c r="BP332" s="25">
        <f t="shared" si="3820"/>
        <v>0</v>
      </c>
      <c r="BQ332" s="10"/>
      <c r="BR332" s="25">
        <f t="shared" si="3821"/>
        <v>0</v>
      </c>
      <c r="BS332" s="25">
        <f t="shared" si="3822"/>
        <v>0</v>
      </c>
      <c r="BT332" s="25">
        <f t="shared" si="3823"/>
        <v>0</v>
      </c>
      <c r="BU332" s="25">
        <f t="shared" si="3824"/>
        <v>0</v>
      </c>
      <c r="BV332" s="25">
        <f t="shared" si="3825"/>
        <v>0</v>
      </c>
      <c r="BW332" s="10"/>
      <c r="BX332" s="25">
        <f t="shared" si="3826"/>
        <v>0</v>
      </c>
      <c r="BY332" s="25">
        <f t="shared" si="3827"/>
        <v>0</v>
      </c>
      <c r="BZ332" s="25">
        <f t="shared" si="3828"/>
        <v>0</v>
      </c>
      <c r="CA332" s="25">
        <f t="shared" si="3829"/>
        <v>0</v>
      </c>
      <c r="CB332" s="25">
        <f t="shared" si="3830"/>
        <v>0</v>
      </c>
      <c r="CC332" s="10"/>
      <c r="CD332" s="25">
        <f t="shared" si="3831"/>
        <v>0</v>
      </c>
      <c r="CE332" s="25">
        <f t="shared" si="3832"/>
        <v>0</v>
      </c>
      <c r="CF332" s="25">
        <f t="shared" si="3833"/>
        <v>0</v>
      </c>
      <c r="CG332" s="25">
        <f t="shared" si="3834"/>
        <v>0</v>
      </c>
      <c r="CH332" s="25">
        <f t="shared" si="3835"/>
        <v>0</v>
      </c>
      <c r="CI332" s="10"/>
      <c r="CJ332" s="25"/>
      <c r="CK332" s="25"/>
      <c r="CL332" s="25"/>
      <c r="CM332" s="25"/>
      <c r="CN332" s="25"/>
    </row>
    <row r="333" spans="2:92" ht="12.95" hidden="1" customHeight="1" outlineLevel="1" x14ac:dyDescent="0.25">
      <c r="B333" s="2">
        <f>Capitalization!B69</f>
        <v>0</v>
      </c>
      <c r="AB333" s="6">
        <f>Capitalization!E69</f>
        <v>0</v>
      </c>
      <c r="AC333" s="6">
        <f>AB333</f>
        <v>0</v>
      </c>
      <c r="AD333" s="6">
        <f t="shared" si="3789"/>
        <v>0</v>
      </c>
      <c r="AE333" s="6">
        <f t="shared" si="3790"/>
        <v>0</v>
      </c>
      <c r="AF333" s="6">
        <f t="shared" si="3791"/>
        <v>0</v>
      </c>
      <c r="AG333" s="6"/>
      <c r="AH333" s="6">
        <f t="shared" si="3792"/>
        <v>0</v>
      </c>
      <c r="AI333" s="6">
        <f t="shared" si="3793"/>
        <v>0</v>
      </c>
      <c r="AJ333" s="6">
        <f t="shared" si="3794"/>
        <v>0</v>
      </c>
      <c r="AK333" s="6">
        <f t="shared" si="3795"/>
        <v>0</v>
      </c>
      <c r="AL333" s="6">
        <f t="shared" si="3796"/>
        <v>0</v>
      </c>
      <c r="AM333" s="6"/>
      <c r="AN333" s="6">
        <f t="shared" si="3797"/>
        <v>0</v>
      </c>
      <c r="AO333" s="243">
        <f t="shared" si="3798"/>
        <v>0</v>
      </c>
      <c r="AP333" s="6">
        <f t="shared" si="3799"/>
        <v>0</v>
      </c>
      <c r="AQ333" s="243">
        <f t="shared" si="3800"/>
        <v>0</v>
      </c>
      <c r="AR333" s="243">
        <f t="shared" si="3801"/>
        <v>0</v>
      </c>
      <c r="AS333" s="6"/>
      <c r="AT333" s="6">
        <f t="shared" si="3802"/>
        <v>0</v>
      </c>
      <c r="AU333" s="243">
        <f t="shared" si="3803"/>
        <v>0</v>
      </c>
      <c r="AV333" s="243">
        <f t="shared" si="3804"/>
        <v>0</v>
      </c>
      <c r="AW333" s="164">
        <f t="shared" si="3805"/>
        <v>0</v>
      </c>
      <c r="AX333" s="6">
        <f t="shared" si="3806"/>
        <v>0</v>
      </c>
      <c r="AY333" s="6"/>
      <c r="AZ333" s="6">
        <f t="shared" si="3845"/>
        <v>0</v>
      </c>
      <c r="BA333" s="6">
        <f t="shared" si="3807"/>
        <v>0</v>
      </c>
      <c r="BB333" s="6">
        <f t="shared" si="3808"/>
        <v>0</v>
      </c>
      <c r="BC333" s="6">
        <f t="shared" si="3809"/>
        <v>0</v>
      </c>
      <c r="BD333" s="6">
        <f t="shared" si="3810"/>
        <v>0</v>
      </c>
      <c r="BE333" s="6"/>
      <c r="BF333" s="6">
        <f t="shared" si="3811"/>
        <v>0</v>
      </c>
      <c r="BG333" s="6">
        <f t="shared" si="3812"/>
        <v>0</v>
      </c>
      <c r="BH333" s="6">
        <f t="shared" si="3813"/>
        <v>0</v>
      </c>
      <c r="BI333" s="6">
        <f t="shared" si="3814"/>
        <v>0</v>
      </c>
      <c r="BJ333" s="6">
        <f t="shared" si="3815"/>
        <v>0</v>
      </c>
      <c r="BK333" s="6"/>
      <c r="BL333" s="6">
        <f t="shared" si="3816"/>
        <v>0</v>
      </c>
      <c r="BM333" s="6">
        <f t="shared" si="3817"/>
        <v>0</v>
      </c>
      <c r="BN333" s="6">
        <f t="shared" si="3818"/>
        <v>0</v>
      </c>
      <c r="BO333" s="6">
        <f t="shared" si="3819"/>
        <v>0</v>
      </c>
      <c r="BP333" s="6">
        <f t="shared" si="3820"/>
        <v>0</v>
      </c>
      <c r="BQ333" s="6"/>
      <c r="BR333" s="6">
        <f t="shared" si="3821"/>
        <v>0</v>
      </c>
      <c r="BS333" s="6">
        <f t="shared" si="3822"/>
        <v>0</v>
      </c>
      <c r="BT333" s="6">
        <f t="shared" si="3823"/>
        <v>0</v>
      </c>
      <c r="BU333" s="6">
        <f t="shared" si="3824"/>
        <v>0</v>
      </c>
      <c r="BV333" s="6">
        <f t="shared" si="3825"/>
        <v>0</v>
      </c>
      <c r="BW333" s="6"/>
      <c r="BX333" s="6">
        <f t="shared" si="3826"/>
        <v>0</v>
      </c>
      <c r="BY333" s="6">
        <f t="shared" si="3827"/>
        <v>0</v>
      </c>
      <c r="BZ333" s="6">
        <f t="shared" si="3828"/>
        <v>0</v>
      </c>
      <c r="CA333" s="6">
        <f t="shared" si="3829"/>
        <v>0</v>
      </c>
      <c r="CB333" s="6">
        <f t="shared" si="3830"/>
        <v>0</v>
      </c>
      <c r="CC333" s="6"/>
      <c r="CD333" s="6">
        <f t="shared" si="3831"/>
        <v>0</v>
      </c>
      <c r="CE333" s="6">
        <f t="shared" si="3832"/>
        <v>0</v>
      </c>
      <c r="CF333" s="6">
        <f t="shared" si="3833"/>
        <v>0</v>
      </c>
      <c r="CG333" s="6">
        <f t="shared" si="3834"/>
        <v>0</v>
      </c>
      <c r="CH333" s="6">
        <f t="shared" si="3835"/>
        <v>0</v>
      </c>
      <c r="CI333" s="6"/>
      <c r="CJ333" s="6"/>
      <c r="CK333" s="6"/>
      <c r="CL333" s="6"/>
      <c r="CM333" s="6"/>
      <c r="CN333" s="6"/>
    </row>
    <row r="334" spans="2:92" ht="12.95" hidden="1" customHeight="1" outlineLevel="1" x14ac:dyDescent="0.25">
      <c r="B334" s="2" t="s">
        <v>40</v>
      </c>
      <c r="AB334" s="25">
        <f>Capitalization!F69</f>
        <v>0</v>
      </c>
      <c r="AC334" s="25">
        <f t="shared" ref="AC334" si="3860">AB334</f>
        <v>0</v>
      </c>
      <c r="AD334" s="25">
        <f t="shared" si="3789"/>
        <v>0</v>
      </c>
      <c r="AE334" s="25">
        <f t="shared" si="3790"/>
        <v>0</v>
      </c>
      <c r="AF334" s="25">
        <f t="shared" si="3791"/>
        <v>0</v>
      </c>
      <c r="AG334" s="10"/>
      <c r="AH334" s="25">
        <f t="shared" si="3792"/>
        <v>0</v>
      </c>
      <c r="AI334" s="25">
        <f t="shared" si="3793"/>
        <v>0</v>
      </c>
      <c r="AJ334" s="25">
        <f t="shared" si="3794"/>
        <v>0</v>
      </c>
      <c r="AK334" s="25">
        <f t="shared" si="3795"/>
        <v>0</v>
      </c>
      <c r="AL334" s="25">
        <f t="shared" si="3796"/>
        <v>0</v>
      </c>
      <c r="AM334" s="10"/>
      <c r="AN334" s="25">
        <f t="shared" si="3797"/>
        <v>0</v>
      </c>
      <c r="AO334" s="261">
        <f t="shared" si="3798"/>
        <v>0</v>
      </c>
      <c r="AP334" s="25">
        <f t="shared" si="3799"/>
        <v>0</v>
      </c>
      <c r="AQ334" s="261">
        <f t="shared" si="3800"/>
        <v>0</v>
      </c>
      <c r="AR334" s="261">
        <f t="shared" si="3801"/>
        <v>0</v>
      </c>
      <c r="AS334" s="10"/>
      <c r="AT334" s="25">
        <f t="shared" si="3802"/>
        <v>0</v>
      </c>
      <c r="AU334" s="261">
        <f t="shared" si="3803"/>
        <v>0</v>
      </c>
      <c r="AV334" s="261">
        <f t="shared" si="3804"/>
        <v>0</v>
      </c>
      <c r="AW334" s="363">
        <f t="shared" si="3805"/>
        <v>0</v>
      </c>
      <c r="AX334" s="25">
        <f t="shared" si="3806"/>
        <v>0</v>
      </c>
      <c r="AY334" s="10"/>
      <c r="AZ334" s="25">
        <f t="shared" si="3845"/>
        <v>0</v>
      </c>
      <c r="BA334" s="25">
        <f t="shared" si="3807"/>
        <v>0</v>
      </c>
      <c r="BB334" s="25">
        <f t="shared" si="3808"/>
        <v>0</v>
      </c>
      <c r="BC334" s="25">
        <f t="shared" si="3809"/>
        <v>0</v>
      </c>
      <c r="BD334" s="25">
        <f t="shared" si="3810"/>
        <v>0</v>
      </c>
      <c r="BE334" s="10"/>
      <c r="BF334" s="25">
        <f t="shared" si="3811"/>
        <v>0</v>
      </c>
      <c r="BG334" s="25">
        <f t="shared" si="3812"/>
        <v>0</v>
      </c>
      <c r="BH334" s="25">
        <f t="shared" si="3813"/>
        <v>0</v>
      </c>
      <c r="BI334" s="25">
        <f t="shared" si="3814"/>
        <v>0</v>
      </c>
      <c r="BJ334" s="25">
        <f t="shared" si="3815"/>
        <v>0</v>
      </c>
      <c r="BK334" s="10"/>
      <c r="BL334" s="25">
        <f t="shared" si="3816"/>
        <v>0</v>
      </c>
      <c r="BM334" s="25">
        <f t="shared" si="3817"/>
        <v>0</v>
      </c>
      <c r="BN334" s="25">
        <f t="shared" si="3818"/>
        <v>0</v>
      </c>
      <c r="BO334" s="25">
        <f t="shared" si="3819"/>
        <v>0</v>
      </c>
      <c r="BP334" s="25">
        <f t="shared" si="3820"/>
        <v>0</v>
      </c>
      <c r="BQ334" s="10"/>
      <c r="BR334" s="25">
        <f t="shared" si="3821"/>
        <v>0</v>
      </c>
      <c r="BS334" s="25">
        <f t="shared" si="3822"/>
        <v>0</v>
      </c>
      <c r="BT334" s="25">
        <f t="shared" si="3823"/>
        <v>0</v>
      </c>
      <c r="BU334" s="25">
        <f t="shared" si="3824"/>
        <v>0</v>
      </c>
      <c r="BV334" s="25">
        <f t="shared" si="3825"/>
        <v>0</v>
      </c>
      <c r="BW334" s="10"/>
      <c r="BX334" s="25">
        <f t="shared" si="3826"/>
        <v>0</v>
      </c>
      <c r="BY334" s="25">
        <f t="shared" si="3827"/>
        <v>0</v>
      </c>
      <c r="BZ334" s="25">
        <f t="shared" si="3828"/>
        <v>0</v>
      </c>
      <c r="CA334" s="25">
        <f t="shared" si="3829"/>
        <v>0</v>
      </c>
      <c r="CB334" s="25">
        <f t="shared" si="3830"/>
        <v>0</v>
      </c>
      <c r="CC334" s="10"/>
      <c r="CD334" s="25">
        <f t="shared" si="3831"/>
        <v>0</v>
      </c>
      <c r="CE334" s="25">
        <f t="shared" si="3832"/>
        <v>0</v>
      </c>
      <c r="CF334" s="25">
        <f t="shared" si="3833"/>
        <v>0</v>
      </c>
      <c r="CG334" s="25">
        <f t="shared" si="3834"/>
        <v>0</v>
      </c>
      <c r="CH334" s="25">
        <f t="shared" si="3835"/>
        <v>0</v>
      </c>
      <c r="CI334" s="10"/>
      <c r="CJ334" s="25"/>
      <c r="CK334" s="25"/>
      <c r="CL334" s="25"/>
      <c r="CM334" s="25"/>
      <c r="CN334" s="25"/>
    </row>
    <row r="335" spans="2:92" ht="12.95" hidden="1" customHeight="1" outlineLevel="1" x14ac:dyDescent="0.25">
      <c r="B335" s="2">
        <f>Capitalization!B70</f>
        <v>0</v>
      </c>
      <c r="AB335" s="6">
        <f>Capitalization!E70</f>
        <v>0</v>
      </c>
      <c r="AC335" s="6">
        <f>AB335</f>
        <v>0</v>
      </c>
      <c r="AD335" s="6">
        <f t="shared" si="3789"/>
        <v>0</v>
      </c>
      <c r="AE335" s="6">
        <f t="shared" si="3790"/>
        <v>0</v>
      </c>
      <c r="AF335" s="6">
        <f t="shared" si="3791"/>
        <v>0</v>
      </c>
      <c r="AG335" s="6"/>
      <c r="AH335" s="6">
        <f t="shared" si="3792"/>
        <v>0</v>
      </c>
      <c r="AI335" s="6">
        <f t="shared" si="3793"/>
        <v>0</v>
      </c>
      <c r="AJ335" s="6">
        <f t="shared" si="3794"/>
        <v>0</v>
      </c>
      <c r="AK335" s="6">
        <f t="shared" si="3795"/>
        <v>0</v>
      </c>
      <c r="AL335" s="6">
        <f t="shared" si="3796"/>
        <v>0</v>
      </c>
      <c r="AM335" s="6"/>
      <c r="AN335" s="6">
        <f t="shared" si="3797"/>
        <v>0</v>
      </c>
      <c r="AO335" s="243">
        <f t="shared" si="3798"/>
        <v>0</v>
      </c>
      <c r="AP335" s="6">
        <f t="shared" si="3799"/>
        <v>0</v>
      </c>
      <c r="AQ335" s="243">
        <f t="shared" si="3800"/>
        <v>0</v>
      </c>
      <c r="AR335" s="243">
        <f t="shared" si="3801"/>
        <v>0</v>
      </c>
      <c r="AS335" s="6"/>
      <c r="AT335" s="6">
        <f t="shared" si="3802"/>
        <v>0</v>
      </c>
      <c r="AU335" s="243">
        <f t="shared" si="3803"/>
        <v>0</v>
      </c>
      <c r="AV335" s="243">
        <f t="shared" si="3804"/>
        <v>0</v>
      </c>
      <c r="AW335" s="164">
        <f t="shared" si="3805"/>
        <v>0</v>
      </c>
      <c r="AX335" s="6">
        <f t="shared" si="3806"/>
        <v>0</v>
      </c>
      <c r="AY335" s="6"/>
      <c r="AZ335" s="6">
        <f t="shared" si="3845"/>
        <v>0</v>
      </c>
      <c r="BA335" s="6">
        <f t="shared" si="3807"/>
        <v>0</v>
      </c>
      <c r="BB335" s="6">
        <f t="shared" si="3808"/>
        <v>0</v>
      </c>
      <c r="BC335" s="6">
        <f t="shared" si="3809"/>
        <v>0</v>
      </c>
      <c r="BD335" s="6">
        <f t="shared" si="3810"/>
        <v>0</v>
      </c>
      <c r="BE335" s="6"/>
      <c r="BF335" s="6">
        <f t="shared" si="3811"/>
        <v>0</v>
      </c>
      <c r="BG335" s="6">
        <f t="shared" si="3812"/>
        <v>0</v>
      </c>
      <c r="BH335" s="6">
        <f t="shared" si="3813"/>
        <v>0</v>
      </c>
      <c r="BI335" s="6">
        <f t="shared" si="3814"/>
        <v>0</v>
      </c>
      <c r="BJ335" s="6">
        <f t="shared" si="3815"/>
        <v>0</v>
      </c>
      <c r="BK335" s="6"/>
      <c r="BL335" s="6">
        <f t="shared" si="3816"/>
        <v>0</v>
      </c>
      <c r="BM335" s="6">
        <f t="shared" si="3817"/>
        <v>0</v>
      </c>
      <c r="BN335" s="6">
        <f t="shared" si="3818"/>
        <v>0</v>
      </c>
      <c r="BO335" s="6">
        <f t="shared" si="3819"/>
        <v>0</v>
      </c>
      <c r="BP335" s="6">
        <f t="shared" si="3820"/>
        <v>0</v>
      </c>
      <c r="BQ335" s="6"/>
      <c r="BR335" s="6">
        <f t="shared" si="3821"/>
        <v>0</v>
      </c>
      <c r="BS335" s="6">
        <f t="shared" si="3822"/>
        <v>0</v>
      </c>
      <c r="BT335" s="6">
        <f t="shared" si="3823"/>
        <v>0</v>
      </c>
      <c r="BU335" s="6">
        <f t="shared" si="3824"/>
        <v>0</v>
      </c>
      <c r="BV335" s="6">
        <f t="shared" si="3825"/>
        <v>0</v>
      </c>
      <c r="BW335" s="6"/>
      <c r="BX335" s="6">
        <f t="shared" si="3826"/>
        <v>0</v>
      </c>
      <c r="BY335" s="6">
        <f t="shared" si="3827"/>
        <v>0</v>
      </c>
      <c r="BZ335" s="6">
        <f t="shared" si="3828"/>
        <v>0</v>
      </c>
      <c r="CA335" s="6">
        <f t="shared" si="3829"/>
        <v>0</v>
      </c>
      <c r="CB335" s="6">
        <f t="shared" si="3830"/>
        <v>0</v>
      </c>
      <c r="CC335" s="6"/>
      <c r="CD335" s="6">
        <f t="shared" si="3831"/>
        <v>0</v>
      </c>
      <c r="CE335" s="6">
        <f t="shared" si="3832"/>
        <v>0</v>
      </c>
      <c r="CF335" s="6">
        <f t="shared" si="3833"/>
        <v>0</v>
      </c>
      <c r="CG335" s="6">
        <f t="shared" si="3834"/>
        <v>0</v>
      </c>
      <c r="CH335" s="6">
        <f t="shared" si="3835"/>
        <v>0</v>
      </c>
      <c r="CI335" s="6"/>
      <c r="CJ335" s="6"/>
      <c r="CK335" s="6"/>
      <c r="CL335" s="6"/>
      <c r="CM335" s="6"/>
      <c r="CN335" s="6"/>
    </row>
    <row r="336" spans="2:92" ht="12.95" hidden="1" customHeight="1" outlineLevel="1" x14ac:dyDescent="0.25">
      <c r="B336" s="2" t="s">
        <v>40</v>
      </c>
      <c r="AB336" s="25">
        <f>Capitalization!F70</f>
        <v>0</v>
      </c>
      <c r="AC336" s="25">
        <f t="shared" ref="AC336" si="3861">AB336</f>
        <v>0</v>
      </c>
      <c r="AD336" s="25">
        <f t="shared" si="3789"/>
        <v>0</v>
      </c>
      <c r="AE336" s="25">
        <f t="shared" si="3790"/>
        <v>0</v>
      </c>
      <c r="AF336" s="25">
        <f t="shared" si="3791"/>
        <v>0</v>
      </c>
      <c r="AG336" s="10"/>
      <c r="AH336" s="25">
        <f t="shared" si="3792"/>
        <v>0</v>
      </c>
      <c r="AI336" s="25">
        <f t="shared" si="3793"/>
        <v>0</v>
      </c>
      <c r="AJ336" s="25">
        <f t="shared" si="3794"/>
        <v>0</v>
      </c>
      <c r="AK336" s="25">
        <f t="shared" si="3795"/>
        <v>0</v>
      </c>
      <c r="AL336" s="25">
        <f t="shared" si="3796"/>
        <v>0</v>
      </c>
      <c r="AM336" s="10"/>
      <c r="AN336" s="25">
        <f t="shared" si="3797"/>
        <v>0</v>
      </c>
      <c r="AO336" s="261">
        <f t="shared" si="3798"/>
        <v>0</v>
      </c>
      <c r="AP336" s="25">
        <f t="shared" si="3799"/>
        <v>0</v>
      </c>
      <c r="AQ336" s="261">
        <f t="shared" si="3800"/>
        <v>0</v>
      </c>
      <c r="AR336" s="261">
        <f t="shared" si="3801"/>
        <v>0</v>
      </c>
      <c r="AS336" s="10"/>
      <c r="AT336" s="25">
        <f t="shared" si="3802"/>
        <v>0</v>
      </c>
      <c r="AU336" s="261">
        <f t="shared" si="3803"/>
        <v>0</v>
      </c>
      <c r="AV336" s="261">
        <f t="shared" si="3804"/>
        <v>0</v>
      </c>
      <c r="AW336" s="363">
        <f t="shared" si="3805"/>
        <v>0</v>
      </c>
      <c r="AX336" s="25">
        <f t="shared" si="3806"/>
        <v>0</v>
      </c>
      <c r="AY336" s="10"/>
      <c r="AZ336" s="25">
        <f t="shared" si="3845"/>
        <v>0</v>
      </c>
      <c r="BA336" s="25">
        <f t="shared" si="3807"/>
        <v>0</v>
      </c>
      <c r="BB336" s="25">
        <f t="shared" si="3808"/>
        <v>0</v>
      </c>
      <c r="BC336" s="25">
        <f t="shared" si="3809"/>
        <v>0</v>
      </c>
      <c r="BD336" s="25">
        <f t="shared" si="3810"/>
        <v>0</v>
      </c>
      <c r="BE336" s="10"/>
      <c r="BF336" s="25">
        <f t="shared" si="3811"/>
        <v>0</v>
      </c>
      <c r="BG336" s="25">
        <f t="shared" si="3812"/>
        <v>0</v>
      </c>
      <c r="BH336" s="25">
        <f t="shared" si="3813"/>
        <v>0</v>
      </c>
      <c r="BI336" s="25">
        <f t="shared" si="3814"/>
        <v>0</v>
      </c>
      <c r="BJ336" s="25">
        <f t="shared" si="3815"/>
        <v>0</v>
      </c>
      <c r="BK336" s="10"/>
      <c r="BL336" s="25">
        <f t="shared" si="3816"/>
        <v>0</v>
      </c>
      <c r="BM336" s="25">
        <f t="shared" si="3817"/>
        <v>0</v>
      </c>
      <c r="BN336" s="25">
        <f t="shared" si="3818"/>
        <v>0</v>
      </c>
      <c r="BO336" s="25">
        <f t="shared" si="3819"/>
        <v>0</v>
      </c>
      <c r="BP336" s="25">
        <f t="shared" si="3820"/>
        <v>0</v>
      </c>
      <c r="BQ336" s="10"/>
      <c r="BR336" s="25">
        <f t="shared" si="3821"/>
        <v>0</v>
      </c>
      <c r="BS336" s="25">
        <f t="shared" si="3822"/>
        <v>0</v>
      </c>
      <c r="BT336" s="25">
        <f t="shared" si="3823"/>
        <v>0</v>
      </c>
      <c r="BU336" s="25">
        <f t="shared" si="3824"/>
        <v>0</v>
      </c>
      <c r="BV336" s="25">
        <f t="shared" si="3825"/>
        <v>0</v>
      </c>
      <c r="BW336" s="10"/>
      <c r="BX336" s="25">
        <f t="shared" si="3826"/>
        <v>0</v>
      </c>
      <c r="BY336" s="25">
        <f t="shared" si="3827"/>
        <v>0</v>
      </c>
      <c r="BZ336" s="25">
        <f t="shared" si="3828"/>
        <v>0</v>
      </c>
      <c r="CA336" s="25">
        <f t="shared" si="3829"/>
        <v>0</v>
      </c>
      <c r="CB336" s="25">
        <f t="shared" si="3830"/>
        <v>0</v>
      </c>
      <c r="CC336" s="10"/>
      <c r="CD336" s="25">
        <f t="shared" si="3831"/>
        <v>0</v>
      </c>
      <c r="CE336" s="25">
        <f t="shared" si="3832"/>
        <v>0</v>
      </c>
      <c r="CF336" s="25">
        <f t="shared" si="3833"/>
        <v>0</v>
      </c>
      <c r="CG336" s="25">
        <f t="shared" si="3834"/>
        <v>0</v>
      </c>
      <c r="CH336" s="25">
        <f t="shared" si="3835"/>
        <v>0</v>
      </c>
      <c r="CI336" s="10"/>
      <c r="CJ336" s="25"/>
      <c r="CK336" s="25"/>
      <c r="CL336" s="25"/>
      <c r="CM336" s="25"/>
      <c r="CN336" s="25"/>
    </row>
    <row r="337" spans="2:92" ht="12.95" hidden="1" customHeight="1" outlineLevel="1" x14ac:dyDescent="0.25">
      <c r="B337" s="2">
        <f>Capitalization!B72</f>
        <v>0</v>
      </c>
      <c r="AB337" s="6">
        <f>Capitalization!E71</f>
        <v>0</v>
      </c>
      <c r="AC337" s="6">
        <f>AB337</f>
        <v>0</v>
      </c>
      <c r="AD337" s="6">
        <f t="shared" si="3789"/>
        <v>0</v>
      </c>
      <c r="AE337" s="6">
        <f t="shared" si="3790"/>
        <v>0</v>
      </c>
      <c r="AF337" s="6">
        <f t="shared" si="3791"/>
        <v>0</v>
      </c>
      <c r="AG337" s="6"/>
      <c r="AH337" s="6">
        <f t="shared" si="3792"/>
        <v>0</v>
      </c>
      <c r="AI337" s="6">
        <f t="shared" si="3793"/>
        <v>0</v>
      </c>
      <c r="AJ337" s="6">
        <f t="shared" si="3794"/>
        <v>0</v>
      </c>
      <c r="AK337" s="6">
        <f t="shared" si="3795"/>
        <v>0</v>
      </c>
      <c r="AL337" s="6">
        <f t="shared" si="3796"/>
        <v>0</v>
      </c>
      <c r="AM337" s="6"/>
      <c r="AN337" s="6">
        <f t="shared" si="3797"/>
        <v>0</v>
      </c>
      <c r="AO337" s="243">
        <f t="shared" si="3798"/>
        <v>0</v>
      </c>
      <c r="AP337" s="6">
        <f t="shared" si="3799"/>
        <v>0</v>
      </c>
      <c r="AQ337" s="243">
        <f t="shared" si="3800"/>
        <v>0</v>
      </c>
      <c r="AR337" s="243">
        <f t="shared" si="3801"/>
        <v>0</v>
      </c>
      <c r="AS337" s="6"/>
      <c r="AT337" s="6">
        <f t="shared" si="3802"/>
        <v>0</v>
      </c>
      <c r="AU337" s="243">
        <f t="shared" si="3803"/>
        <v>0</v>
      </c>
      <c r="AV337" s="243">
        <f t="shared" si="3804"/>
        <v>0</v>
      </c>
      <c r="AW337" s="164">
        <f t="shared" si="3805"/>
        <v>0</v>
      </c>
      <c r="AX337" s="6">
        <f t="shared" si="3806"/>
        <v>0</v>
      </c>
      <c r="AY337" s="6"/>
      <c r="AZ337" s="6">
        <f t="shared" ref="AZ337:AZ342" si="3862">DD337</f>
        <v>0</v>
      </c>
      <c r="BA337" s="6">
        <f t="shared" si="3807"/>
        <v>0</v>
      </c>
      <c r="BB337" s="6">
        <f t="shared" si="3808"/>
        <v>0</v>
      </c>
      <c r="BC337" s="6">
        <f t="shared" si="3809"/>
        <v>0</v>
      </c>
      <c r="BD337" s="6">
        <f t="shared" si="3810"/>
        <v>0</v>
      </c>
      <c r="BE337" s="6"/>
      <c r="BF337" s="6">
        <f t="shared" si="3811"/>
        <v>0</v>
      </c>
      <c r="BG337" s="6">
        <f t="shared" si="3812"/>
        <v>0</v>
      </c>
      <c r="BH337" s="6">
        <f t="shared" si="3813"/>
        <v>0</v>
      </c>
      <c r="BI337" s="6">
        <f t="shared" si="3814"/>
        <v>0</v>
      </c>
      <c r="BJ337" s="6">
        <f t="shared" si="3815"/>
        <v>0</v>
      </c>
      <c r="BK337" s="6"/>
      <c r="BL337" s="6">
        <f t="shared" si="3816"/>
        <v>0</v>
      </c>
      <c r="BM337" s="6">
        <f t="shared" si="3817"/>
        <v>0</v>
      </c>
      <c r="BN337" s="6">
        <f t="shared" si="3818"/>
        <v>0</v>
      </c>
      <c r="BO337" s="6">
        <f t="shared" si="3819"/>
        <v>0</v>
      </c>
      <c r="BP337" s="6">
        <f t="shared" si="3820"/>
        <v>0</v>
      </c>
      <c r="BQ337" s="6"/>
      <c r="BR337" s="6">
        <f t="shared" si="3821"/>
        <v>0</v>
      </c>
      <c r="BS337" s="6">
        <f t="shared" si="3822"/>
        <v>0</v>
      </c>
      <c r="BT337" s="6">
        <f t="shared" si="3823"/>
        <v>0</v>
      </c>
      <c r="BU337" s="6">
        <f t="shared" si="3824"/>
        <v>0</v>
      </c>
      <c r="BV337" s="6">
        <f t="shared" si="3825"/>
        <v>0</v>
      </c>
      <c r="BW337" s="6"/>
      <c r="BX337" s="6">
        <f t="shared" si="3826"/>
        <v>0</v>
      </c>
      <c r="BY337" s="6">
        <f t="shared" si="3827"/>
        <v>0</v>
      </c>
      <c r="BZ337" s="6">
        <f t="shared" si="3828"/>
        <v>0</v>
      </c>
      <c r="CA337" s="6">
        <f t="shared" si="3829"/>
        <v>0</v>
      </c>
      <c r="CB337" s="6">
        <f t="shared" si="3830"/>
        <v>0</v>
      </c>
      <c r="CC337" s="6"/>
      <c r="CD337" s="6">
        <f t="shared" si="3831"/>
        <v>0</v>
      </c>
      <c r="CE337" s="6">
        <f t="shared" si="3832"/>
        <v>0</v>
      </c>
      <c r="CF337" s="6">
        <f t="shared" si="3833"/>
        <v>0</v>
      </c>
      <c r="CG337" s="6">
        <f t="shared" si="3834"/>
        <v>0</v>
      </c>
      <c r="CH337" s="6">
        <f t="shared" si="3835"/>
        <v>0</v>
      </c>
      <c r="CI337" s="6"/>
      <c r="CJ337" s="6"/>
      <c r="CK337" s="6"/>
      <c r="CL337" s="6"/>
      <c r="CM337" s="6"/>
      <c r="CN337" s="6"/>
    </row>
    <row r="338" spans="2:92" ht="12.95" hidden="1" customHeight="1" outlineLevel="1" x14ac:dyDescent="0.25">
      <c r="B338" s="2" t="s">
        <v>40</v>
      </c>
      <c r="AB338" s="25">
        <f>Capitalization!F71</f>
        <v>0</v>
      </c>
      <c r="AC338" s="25">
        <f t="shared" ref="AC338" si="3863">AB338</f>
        <v>0</v>
      </c>
      <c r="AD338" s="25">
        <f t="shared" si="3789"/>
        <v>0</v>
      </c>
      <c r="AE338" s="25">
        <f t="shared" si="3790"/>
        <v>0</v>
      </c>
      <c r="AF338" s="25">
        <f t="shared" si="3791"/>
        <v>0</v>
      </c>
      <c r="AG338" s="10"/>
      <c r="AH338" s="25">
        <f t="shared" si="3792"/>
        <v>0</v>
      </c>
      <c r="AI338" s="25">
        <f t="shared" si="3793"/>
        <v>0</v>
      </c>
      <c r="AJ338" s="25">
        <f t="shared" si="3794"/>
        <v>0</v>
      </c>
      <c r="AK338" s="25">
        <f t="shared" si="3795"/>
        <v>0</v>
      </c>
      <c r="AL338" s="25">
        <f t="shared" si="3796"/>
        <v>0</v>
      </c>
      <c r="AM338" s="10"/>
      <c r="AN338" s="25">
        <f t="shared" si="3797"/>
        <v>0</v>
      </c>
      <c r="AO338" s="261">
        <f t="shared" si="3798"/>
        <v>0</v>
      </c>
      <c r="AP338" s="25">
        <f t="shared" si="3799"/>
        <v>0</v>
      </c>
      <c r="AQ338" s="261">
        <f t="shared" si="3800"/>
        <v>0</v>
      </c>
      <c r="AR338" s="261">
        <f t="shared" si="3801"/>
        <v>0</v>
      </c>
      <c r="AS338" s="10"/>
      <c r="AT338" s="25">
        <f t="shared" si="3802"/>
        <v>0</v>
      </c>
      <c r="AU338" s="261">
        <f t="shared" si="3803"/>
        <v>0</v>
      </c>
      <c r="AV338" s="261">
        <f t="shared" si="3804"/>
        <v>0</v>
      </c>
      <c r="AW338" s="363">
        <f t="shared" si="3805"/>
        <v>0</v>
      </c>
      <c r="AX338" s="25">
        <f t="shared" si="3806"/>
        <v>0</v>
      </c>
      <c r="AY338" s="10"/>
      <c r="AZ338" s="25">
        <f t="shared" si="3862"/>
        <v>0</v>
      </c>
      <c r="BA338" s="25">
        <f t="shared" si="3807"/>
        <v>0</v>
      </c>
      <c r="BB338" s="25">
        <f t="shared" si="3808"/>
        <v>0</v>
      </c>
      <c r="BC338" s="25">
        <f t="shared" si="3809"/>
        <v>0</v>
      </c>
      <c r="BD338" s="25">
        <f t="shared" si="3810"/>
        <v>0</v>
      </c>
      <c r="BE338" s="10"/>
      <c r="BF338" s="25">
        <f t="shared" si="3811"/>
        <v>0</v>
      </c>
      <c r="BG338" s="25">
        <f t="shared" si="3812"/>
        <v>0</v>
      </c>
      <c r="BH338" s="25">
        <f t="shared" si="3813"/>
        <v>0</v>
      </c>
      <c r="BI338" s="25">
        <f t="shared" si="3814"/>
        <v>0</v>
      </c>
      <c r="BJ338" s="25">
        <f t="shared" si="3815"/>
        <v>0</v>
      </c>
      <c r="BK338" s="10"/>
      <c r="BL338" s="25">
        <f t="shared" si="3816"/>
        <v>0</v>
      </c>
      <c r="BM338" s="25">
        <f t="shared" si="3817"/>
        <v>0</v>
      </c>
      <c r="BN338" s="25">
        <f t="shared" si="3818"/>
        <v>0</v>
      </c>
      <c r="BO338" s="25">
        <f t="shared" si="3819"/>
        <v>0</v>
      </c>
      <c r="BP338" s="25">
        <f t="shared" si="3820"/>
        <v>0</v>
      </c>
      <c r="BQ338" s="10"/>
      <c r="BR338" s="25">
        <f t="shared" si="3821"/>
        <v>0</v>
      </c>
      <c r="BS338" s="25">
        <f t="shared" si="3822"/>
        <v>0</v>
      </c>
      <c r="BT338" s="25">
        <f t="shared" si="3823"/>
        <v>0</v>
      </c>
      <c r="BU338" s="25">
        <f t="shared" si="3824"/>
        <v>0</v>
      </c>
      <c r="BV338" s="25">
        <f t="shared" si="3825"/>
        <v>0</v>
      </c>
      <c r="BW338" s="10"/>
      <c r="BX338" s="25">
        <f t="shared" si="3826"/>
        <v>0</v>
      </c>
      <c r="BY338" s="25">
        <f t="shared" si="3827"/>
        <v>0</v>
      </c>
      <c r="BZ338" s="25">
        <f t="shared" si="3828"/>
        <v>0</v>
      </c>
      <c r="CA338" s="25">
        <f t="shared" si="3829"/>
        <v>0</v>
      </c>
      <c r="CB338" s="25">
        <f t="shared" si="3830"/>
        <v>0</v>
      </c>
      <c r="CC338" s="10"/>
      <c r="CD338" s="25">
        <f t="shared" si="3831"/>
        <v>0</v>
      </c>
      <c r="CE338" s="25">
        <f t="shared" si="3832"/>
        <v>0</v>
      </c>
      <c r="CF338" s="25">
        <f t="shared" si="3833"/>
        <v>0</v>
      </c>
      <c r="CG338" s="25">
        <f t="shared" si="3834"/>
        <v>0</v>
      </c>
      <c r="CH338" s="25">
        <f t="shared" si="3835"/>
        <v>0</v>
      </c>
      <c r="CI338" s="10"/>
      <c r="CJ338" s="25"/>
      <c r="CK338" s="25"/>
      <c r="CL338" s="25"/>
      <c r="CM338" s="25"/>
      <c r="CN338" s="25"/>
    </row>
    <row r="339" spans="2:92" ht="12.95" hidden="1" customHeight="1" outlineLevel="1" x14ac:dyDescent="0.25">
      <c r="B339" s="2">
        <f>Capitalization!B73</f>
        <v>0</v>
      </c>
      <c r="AB339" s="6">
        <f>Capitalization!E72</f>
        <v>0</v>
      </c>
      <c r="AC339" s="6">
        <f>AB339</f>
        <v>0</v>
      </c>
      <c r="AD339" s="6">
        <f t="shared" si="3789"/>
        <v>0</v>
      </c>
      <c r="AE339" s="6">
        <f t="shared" si="3790"/>
        <v>0</v>
      </c>
      <c r="AF339" s="6">
        <f t="shared" si="3791"/>
        <v>0</v>
      </c>
      <c r="AG339" s="6"/>
      <c r="AH339" s="6">
        <f t="shared" si="3792"/>
        <v>0</v>
      </c>
      <c r="AI339" s="6">
        <f t="shared" si="3793"/>
        <v>0</v>
      </c>
      <c r="AJ339" s="6">
        <f t="shared" si="3794"/>
        <v>0</v>
      </c>
      <c r="AK339" s="6">
        <f t="shared" si="3795"/>
        <v>0</v>
      </c>
      <c r="AL339" s="6">
        <f t="shared" si="3796"/>
        <v>0</v>
      </c>
      <c r="AM339" s="6"/>
      <c r="AN339" s="6">
        <f t="shared" si="3797"/>
        <v>0</v>
      </c>
      <c r="AO339" s="243">
        <f t="shared" si="3798"/>
        <v>0</v>
      </c>
      <c r="AP339" s="6">
        <f t="shared" si="3799"/>
        <v>0</v>
      </c>
      <c r="AQ339" s="243">
        <f t="shared" si="3800"/>
        <v>0</v>
      </c>
      <c r="AR339" s="243">
        <f t="shared" si="3801"/>
        <v>0</v>
      </c>
      <c r="AS339" s="6"/>
      <c r="AT339" s="6">
        <f t="shared" si="3802"/>
        <v>0</v>
      </c>
      <c r="AU339" s="243">
        <f t="shared" si="3803"/>
        <v>0</v>
      </c>
      <c r="AV339" s="243">
        <f t="shared" si="3804"/>
        <v>0</v>
      </c>
      <c r="AW339" s="164">
        <f t="shared" si="3805"/>
        <v>0</v>
      </c>
      <c r="AX339" s="6">
        <f t="shared" si="3806"/>
        <v>0</v>
      </c>
      <c r="AY339" s="6"/>
      <c r="AZ339" s="6">
        <f t="shared" si="3862"/>
        <v>0</v>
      </c>
      <c r="BA339" s="6">
        <f t="shared" si="3807"/>
        <v>0</v>
      </c>
      <c r="BB339" s="6">
        <f t="shared" si="3808"/>
        <v>0</v>
      </c>
      <c r="BC339" s="6">
        <f t="shared" si="3809"/>
        <v>0</v>
      </c>
      <c r="BD339" s="6">
        <f t="shared" si="3810"/>
        <v>0</v>
      </c>
      <c r="BE339" s="6"/>
      <c r="BF339" s="6">
        <f t="shared" si="3811"/>
        <v>0</v>
      </c>
      <c r="BG339" s="6">
        <f t="shared" si="3812"/>
        <v>0</v>
      </c>
      <c r="BH339" s="6">
        <f t="shared" si="3813"/>
        <v>0</v>
      </c>
      <c r="BI339" s="6">
        <f t="shared" si="3814"/>
        <v>0</v>
      </c>
      <c r="BJ339" s="6">
        <f t="shared" si="3815"/>
        <v>0</v>
      </c>
      <c r="BK339" s="6"/>
      <c r="BL339" s="6">
        <f t="shared" si="3816"/>
        <v>0</v>
      </c>
      <c r="BM339" s="6">
        <f t="shared" si="3817"/>
        <v>0</v>
      </c>
      <c r="BN339" s="6">
        <f t="shared" si="3818"/>
        <v>0</v>
      </c>
      <c r="BO339" s="6">
        <f t="shared" si="3819"/>
        <v>0</v>
      </c>
      <c r="BP339" s="6">
        <f t="shared" si="3820"/>
        <v>0</v>
      </c>
      <c r="BQ339" s="6"/>
      <c r="BR339" s="6">
        <f t="shared" si="3821"/>
        <v>0</v>
      </c>
      <c r="BS339" s="6">
        <f t="shared" si="3822"/>
        <v>0</v>
      </c>
      <c r="BT339" s="6">
        <f t="shared" si="3823"/>
        <v>0</v>
      </c>
      <c r="BU339" s="6">
        <f t="shared" si="3824"/>
        <v>0</v>
      </c>
      <c r="BV339" s="6">
        <f t="shared" si="3825"/>
        <v>0</v>
      </c>
      <c r="BW339" s="6"/>
      <c r="BX339" s="6">
        <f t="shared" si="3826"/>
        <v>0</v>
      </c>
      <c r="BY339" s="6">
        <f t="shared" si="3827"/>
        <v>0</v>
      </c>
      <c r="BZ339" s="6">
        <f t="shared" si="3828"/>
        <v>0</v>
      </c>
      <c r="CA339" s="6">
        <f t="shared" si="3829"/>
        <v>0</v>
      </c>
      <c r="CB339" s="6">
        <f t="shared" si="3830"/>
        <v>0</v>
      </c>
      <c r="CC339" s="6"/>
      <c r="CD339" s="6">
        <f t="shared" si="3831"/>
        <v>0</v>
      </c>
      <c r="CE339" s="6">
        <f t="shared" si="3832"/>
        <v>0</v>
      </c>
      <c r="CF339" s="6">
        <f t="shared" si="3833"/>
        <v>0</v>
      </c>
      <c r="CG339" s="6">
        <f t="shared" si="3834"/>
        <v>0</v>
      </c>
      <c r="CH339" s="6">
        <f t="shared" si="3835"/>
        <v>0</v>
      </c>
      <c r="CI339" s="6"/>
      <c r="CJ339" s="6"/>
      <c r="CK339" s="6"/>
      <c r="CL339" s="6"/>
      <c r="CM339" s="6"/>
      <c r="CN339" s="6"/>
    </row>
    <row r="340" spans="2:92" ht="12.95" hidden="1" customHeight="1" outlineLevel="1" x14ac:dyDescent="0.25">
      <c r="B340" s="2" t="s">
        <v>40</v>
      </c>
      <c r="AB340" s="25">
        <f>Capitalization!F72</f>
        <v>0</v>
      </c>
      <c r="AC340" s="25">
        <f t="shared" ref="AC340" si="3864">AB340</f>
        <v>0</v>
      </c>
      <c r="AD340" s="25">
        <f t="shared" si="3789"/>
        <v>0</v>
      </c>
      <c r="AE340" s="25">
        <f t="shared" si="3790"/>
        <v>0</v>
      </c>
      <c r="AF340" s="25">
        <f t="shared" si="3791"/>
        <v>0</v>
      </c>
      <c r="AG340" s="10"/>
      <c r="AH340" s="25">
        <f t="shared" si="3792"/>
        <v>0</v>
      </c>
      <c r="AI340" s="25">
        <f t="shared" si="3793"/>
        <v>0</v>
      </c>
      <c r="AJ340" s="25">
        <f t="shared" si="3794"/>
        <v>0</v>
      </c>
      <c r="AK340" s="25">
        <f t="shared" si="3795"/>
        <v>0</v>
      </c>
      <c r="AL340" s="25">
        <f t="shared" si="3796"/>
        <v>0</v>
      </c>
      <c r="AM340" s="10"/>
      <c r="AN340" s="25">
        <f t="shared" si="3797"/>
        <v>0</v>
      </c>
      <c r="AO340" s="261">
        <f t="shared" si="3798"/>
        <v>0</v>
      </c>
      <c r="AP340" s="25">
        <f t="shared" si="3799"/>
        <v>0</v>
      </c>
      <c r="AQ340" s="261">
        <f t="shared" si="3800"/>
        <v>0</v>
      </c>
      <c r="AR340" s="261">
        <f t="shared" si="3801"/>
        <v>0</v>
      </c>
      <c r="AS340" s="10"/>
      <c r="AT340" s="25">
        <f t="shared" si="3802"/>
        <v>0</v>
      </c>
      <c r="AU340" s="261">
        <f t="shared" si="3803"/>
        <v>0</v>
      </c>
      <c r="AV340" s="261">
        <f t="shared" si="3804"/>
        <v>0</v>
      </c>
      <c r="AW340" s="363">
        <f t="shared" si="3805"/>
        <v>0</v>
      </c>
      <c r="AX340" s="25">
        <f t="shared" si="3806"/>
        <v>0</v>
      </c>
      <c r="AY340" s="10"/>
      <c r="AZ340" s="25">
        <f t="shared" si="3862"/>
        <v>0</v>
      </c>
      <c r="BA340" s="25">
        <f t="shared" si="3807"/>
        <v>0</v>
      </c>
      <c r="BB340" s="25">
        <f t="shared" si="3808"/>
        <v>0</v>
      </c>
      <c r="BC340" s="25">
        <f t="shared" si="3809"/>
        <v>0</v>
      </c>
      <c r="BD340" s="25">
        <f t="shared" si="3810"/>
        <v>0</v>
      </c>
      <c r="BE340" s="10"/>
      <c r="BF340" s="25">
        <f t="shared" si="3811"/>
        <v>0</v>
      </c>
      <c r="BG340" s="25">
        <f t="shared" si="3812"/>
        <v>0</v>
      </c>
      <c r="BH340" s="25">
        <f t="shared" si="3813"/>
        <v>0</v>
      </c>
      <c r="BI340" s="25">
        <f t="shared" si="3814"/>
        <v>0</v>
      </c>
      <c r="BJ340" s="25">
        <f t="shared" si="3815"/>
        <v>0</v>
      </c>
      <c r="BK340" s="10"/>
      <c r="BL340" s="25">
        <f t="shared" si="3816"/>
        <v>0</v>
      </c>
      <c r="BM340" s="25">
        <f t="shared" si="3817"/>
        <v>0</v>
      </c>
      <c r="BN340" s="25">
        <f t="shared" si="3818"/>
        <v>0</v>
      </c>
      <c r="BO340" s="25">
        <f t="shared" si="3819"/>
        <v>0</v>
      </c>
      <c r="BP340" s="25">
        <f t="shared" si="3820"/>
        <v>0</v>
      </c>
      <c r="BQ340" s="10"/>
      <c r="BR340" s="25">
        <f t="shared" si="3821"/>
        <v>0</v>
      </c>
      <c r="BS340" s="25">
        <f t="shared" si="3822"/>
        <v>0</v>
      </c>
      <c r="BT340" s="25">
        <f t="shared" si="3823"/>
        <v>0</v>
      </c>
      <c r="BU340" s="25">
        <f t="shared" si="3824"/>
        <v>0</v>
      </c>
      <c r="BV340" s="25">
        <f t="shared" si="3825"/>
        <v>0</v>
      </c>
      <c r="BW340" s="10"/>
      <c r="BX340" s="25">
        <f t="shared" si="3826"/>
        <v>0</v>
      </c>
      <c r="BY340" s="25">
        <f t="shared" si="3827"/>
        <v>0</v>
      </c>
      <c r="BZ340" s="25">
        <f t="shared" si="3828"/>
        <v>0</v>
      </c>
      <c r="CA340" s="25">
        <f t="shared" si="3829"/>
        <v>0</v>
      </c>
      <c r="CB340" s="25">
        <f t="shared" si="3830"/>
        <v>0</v>
      </c>
      <c r="CC340" s="10"/>
      <c r="CD340" s="25">
        <f t="shared" si="3831"/>
        <v>0</v>
      </c>
      <c r="CE340" s="25">
        <f t="shared" si="3832"/>
        <v>0</v>
      </c>
      <c r="CF340" s="25">
        <f t="shared" si="3833"/>
        <v>0</v>
      </c>
      <c r="CG340" s="25">
        <f t="shared" si="3834"/>
        <v>0</v>
      </c>
      <c r="CH340" s="25">
        <f t="shared" si="3835"/>
        <v>0</v>
      </c>
      <c r="CI340" s="10"/>
      <c r="CJ340" s="25"/>
      <c r="CK340" s="25"/>
      <c r="CL340" s="25"/>
      <c r="CM340" s="25"/>
      <c r="CN340" s="25"/>
    </row>
    <row r="341" spans="2:92" ht="12.95" hidden="1" customHeight="1" outlineLevel="1" x14ac:dyDescent="0.25">
      <c r="B341" s="2" t="s">
        <v>128</v>
      </c>
      <c r="AB341" s="6">
        <v>0</v>
      </c>
      <c r="AC341" s="6">
        <v>0</v>
      </c>
      <c r="AD341" s="6">
        <f t="shared" ref="AD341" si="3865">AC341</f>
        <v>0</v>
      </c>
      <c r="AE341" s="6">
        <f t="shared" ref="AE341" si="3866">AD341</f>
        <v>0</v>
      </c>
      <c r="AF341" s="6">
        <f t="shared" ref="AF341" si="3867">AE341</f>
        <v>0</v>
      </c>
      <c r="AG341" s="6"/>
      <c r="AH341" s="6">
        <f t="shared" ref="AH341" si="3868">AF341</f>
        <v>0</v>
      </c>
      <c r="AI341" s="6">
        <f t="shared" ref="AI341:AI345" si="3869">AH341</f>
        <v>0</v>
      </c>
      <c r="AJ341" s="6">
        <f t="shared" ref="AJ341" si="3870">AI341</f>
        <v>0</v>
      </c>
      <c r="AK341" s="6">
        <f t="shared" ref="AK341" si="3871">AJ341</f>
        <v>0</v>
      </c>
      <c r="AL341" s="6">
        <f t="shared" ref="AL341" si="3872">AK341</f>
        <v>0</v>
      </c>
      <c r="AM341" s="6"/>
      <c r="AN341" s="6">
        <f t="shared" ref="AN341" si="3873">AL341</f>
        <v>0</v>
      </c>
      <c r="AO341" s="243">
        <f t="shared" ref="AO341:AO345" si="3874">AN341</f>
        <v>0</v>
      </c>
      <c r="AP341" s="6">
        <f t="shared" ref="AP341" si="3875">AO341</f>
        <v>0</v>
      </c>
      <c r="AQ341" s="243">
        <f t="shared" ref="AQ341" si="3876">AP341</f>
        <v>0</v>
      </c>
      <c r="AR341" s="243">
        <f t="shared" ref="AR341" si="3877">AQ341</f>
        <v>0</v>
      </c>
      <c r="AS341" s="6"/>
      <c r="AT341" s="6">
        <f t="shared" ref="AT341" si="3878">AR341</f>
        <v>0</v>
      </c>
      <c r="AU341" s="243">
        <f t="shared" ref="AU341:AU345" si="3879">AT341</f>
        <v>0</v>
      </c>
      <c r="AV341" s="243">
        <f t="shared" ref="AV341" si="3880">AU341</f>
        <v>0</v>
      </c>
      <c r="AW341" s="164">
        <f t="shared" ref="AW341" si="3881">AV341</f>
        <v>0</v>
      </c>
      <c r="AX341" s="6">
        <f t="shared" ref="AX341" si="3882">AW341</f>
        <v>0</v>
      </c>
      <c r="AY341" s="6"/>
      <c r="AZ341" s="6">
        <f t="shared" si="3862"/>
        <v>0</v>
      </c>
      <c r="BA341" s="6">
        <f t="shared" ref="BA341:BA342" si="3883">AZ341</f>
        <v>0</v>
      </c>
      <c r="BB341" s="6">
        <f t="shared" ref="BB341:BB342" si="3884">BA341</f>
        <v>0</v>
      </c>
      <c r="BC341" s="6">
        <f t="shared" ref="BC341:BC342" si="3885">BB341</f>
        <v>0</v>
      </c>
      <c r="BD341" s="6">
        <f t="shared" ref="BD341:BD342" si="3886">BC341</f>
        <v>0</v>
      </c>
      <c r="BE341" s="6"/>
      <c r="BF341" s="6">
        <f t="shared" si="3750"/>
        <v>0</v>
      </c>
      <c r="BG341" s="6">
        <f t="shared" si="3751"/>
        <v>0</v>
      </c>
      <c r="BH341" s="6">
        <f t="shared" si="3752"/>
        <v>0</v>
      </c>
      <c r="BI341" s="6">
        <f t="shared" si="3753"/>
        <v>0</v>
      </c>
      <c r="BJ341" s="6">
        <f t="shared" si="3754"/>
        <v>0</v>
      </c>
      <c r="BK341" s="6"/>
      <c r="BL341" s="6">
        <f t="shared" si="3755"/>
        <v>0</v>
      </c>
      <c r="BM341" s="6">
        <f t="shared" si="3756"/>
        <v>0</v>
      </c>
      <c r="BN341" s="6">
        <f t="shared" si="3757"/>
        <v>0</v>
      </c>
      <c r="BO341" s="6">
        <f t="shared" si="3758"/>
        <v>0</v>
      </c>
      <c r="BP341" s="6">
        <f t="shared" si="3759"/>
        <v>0</v>
      </c>
      <c r="BQ341" s="6"/>
      <c r="BR341" s="6">
        <f t="shared" si="3760"/>
        <v>0</v>
      </c>
      <c r="BS341" s="6">
        <f t="shared" si="3761"/>
        <v>0</v>
      </c>
      <c r="BT341" s="6">
        <f t="shared" si="3762"/>
        <v>0</v>
      </c>
      <c r="BU341" s="6">
        <f t="shared" si="3763"/>
        <v>0</v>
      </c>
      <c r="BV341" s="6">
        <f t="shared" si="3764"/>
        <v>0</v>
      </c>
      <c r="BW341" s="6"/>
      <c r="BX341" s="6">
        <f t="shared" si="3765"/>
        <v>0</v>
      </c>
      <c r="BY341" s="6">
        <f t="shared" si="3775"/>
        <v>0</v>
      </c>
      <c r="BZ341" s="6">
        <f t="shared" si="3766"/>
        <v>0</v>
      </c>
      <c r="CA341" s="6">
        <f t="shared" si="3767"/>
        <v>0</v>
      </c>
      <c r="CB341" s="6">
        <f t="shared" si="3768"/>
        <v>0</v>
      </c>
      <c r="CC341" s="6"/>
      <c r="CD341" s="6">
        <f t="shared" si="3769"/>
        <v>0</v>
      </c>
      <c r="CE341" s="6">
        <f t="shared" si="3770"/>
        <v>0</v>
      </c>
      <c r="CF341" s="6">
        <f t="shared" si="3771"/>
        <v>0</v>
      </c>
      <c r="CG341" s="6">
        <f t="shared" si="3772"/>
        <v>0</v>
      </c>
      <c r="CH341" s="6">
        <f t="shared" si="3773"/>
        <v>0</v>
      </c>
      <c r="CI341" s="6"/>
      <c r="CJ341" s="6"/>
      <c r="CK341" s="6"/>
      <c r="CL341" s="6"/>
      <c r="CM341" s="6"/>
      <c r="CN341" s="6"/>
    </row>
    <row r="342" spans="2:92" ht="12.95" hidden="1" customHeight="1" outlineLevel="1" x14ac:dyDescent="0.25">
      <c r="B342" s="2" t="s">
        <v>40</v>
      </c>
      <c r="AB342" s="25">
        <v>2E-3</v>
      </c>
      <c r="AC342" s="25">
        <f t="shared" ref="AC342" si="3887">AB342</f>
        <v>2E-3</v>
      </c>
      <c r="AD342" s="25">
        <f t="shared" ref="AD342" si="3888">AC342</f>
        <v>2E-3</v>
      </c>
      <c r="AE342" s="25">
        <f t="shared" ref="AE342" si="3889">AD342</f>
        <v>2E-3</v>
      </c>
      <c r="AF342" s="25">
        <f t="shared" ref="AF342" si="3890">AE342</f>
        <v>2E-3</v>
      </c>
      <c r="AG342" s="10"/>
      <c r="AH342" s="25">
        <f t="shared" ref="AH342" si="3891">AF342</f>
        <v>2E-3</v>
      </c>
      <c r="AI342" s="25">
        <f t="shared" si="3869"/>
        <v>2E-3</v>
      </c>
      <c r="AJ342" s="25">
        <f t="shared" ref="AJ342" si="3892">AI342</f>
        <v>2E-3</v>
      </c>
      <c r="AK342" s="25">
        <f t="shared" ref="AK342" si="3893">AJ342</f>
        <v>2E-3</v>
      </c>
      <c r="AL342" s="25">
        <f t="shared" ref="AL342" si="3894">AK342</f>
        <v>2E-3</v>
      </c>
      <c r="AM342" s="10"/>
      <c r="AN342" s="25">
        <f t="shared" ref="AN342" si="3895">AL342</f>
        <v>2E-3</v>
      </c>
      <c r="AO342" s="261">
        <f t="shared" si="3874"/>
        <v>2E-3</v>
      </c>
      <c r="AP342" s="25">
        <f t="shared" ref="AP342" si="3896">AO342</f>
        <v>2E-3</v>
      </c>
      <c r="AQ342" s="261">
        <f t="shared" ref="AQ342" si="3897">AP342</f>
        <v>2E-3</v>
      </c>
      <c r="AR342" s="261">
        <f t="shared" ref="AR342" si="3898">AQ342</f>
        <v>2E-3</v>
      </c>
      <c r="AS342" s="10"/>
      <c r="AT342" s="25">
        <f t="shared" ref="AT342" si="3899">AR342</f>
        <v>2E-3</v>
      </c>
      <c r="AU342" s="261">
        <f t="shared" si="3879"/>
        <v>2E-3</v>
      </c>
      <c r="AV342" s="261">
        <f t="shared" ref="AV342" si="3900">AU342</f>
        <v>2E-3</v>
      </c>
      <c r="AW342" s="363">
        <f t="shared" ref="AW342" si="3901">AV342</f>
        <v>2E-3</v>
      </c>
      <c r="AX342" s="25">
        <f t="shared" ref="AX342" si="3902">AW342</f>
        <v>2E-3</v>
      </c>
      <c r="AY342" s="10"/>
      <c r="AZ342" s="25">
        <f t="shared" si="3862"/>
        <v>0</v>
      </c>
      <c r="BA342" s="25">
        <f t="shared" si="3883"/>
        <v>0</v>
      </c>
      <c r="BB342" s="25">
        <f t="shared" si="3884"/>
        <v>0</v>
      </c>
      <c r="BC342" s="25">
        <f t="shared" si="3885"/>
        <v>0</v>
      </c>
      <c r="BD342" s="25">
        <f t="shared" si="3886"/>
        <v>0</v>
      </c>
      <c r="BE342" s="10"/>
      <c r="BF342" s="25">
        <f t="shared" si="3750"/>
        <v>0</v>
      </c>
      <c r="BG342" s="25">
        <f t="shared" si="3751"/>
        <v>0</v>
      </c>
      <c r="BH342" s="25">
        <f t="shared" si="3752"/>
        <v>0</v>
      </c>
      <c r="BI342" s="25">
        <f t="shared" si="3753"/>
        <v>0</v>
      </c>
      <c r="BJ342" s="25">
        <f t="shared" si="3754"/>
        <v>0</v>
      </c>
      <c r="BK342" s="10"/>
      <c r="BL342" s="25">
        <f t="shared" si="3755"/>
        <v>0</v>
      </c>
      <c r="BM342" s="25">
        <f t="shared" si="3756"/>
        <v>0</v>
      </c>
      <c r="BN342" s="25">
        <f t="shared" si="3757"/>
        <v>0</v>
      </c>
      <c r="BO342" s="25">
        <f t="shared" si="3758"/>
        <v>0</v>
      </c>
      <c r="BP342" s="25">
        <f t="shared" si="3759"/>
        <v>0</v>
      </c>
      <c r="BQ342" s="10"/>
      <c r="BR342" s="25">
        <f t="shared" si="3760"/>
        <v>0</v>
      </c>
      <c r="BS342" s="25">
        <f t="shared" si="3761"/>
        <v>0</v>
      </c>
      <c r="BT342" s="25">
        <f t="shared" si="3762"/>
        <v>0</v>
      </c>
      <c r="BU342" s="25">
        <f t="shared" si="3763"/>
        <v>0</v>
      </c>
      <c r="BV342" s="25">
        <f t="shared" si="3764"/>
        <v>0</v>
      </c>
      <c r="BW342" s="10"/>
      <c r="BX342" s="25">
        <f t="shared" si="3765"/>
        <v>0</v>
      </c>
      <c r="BY342" s="25">
        <f t="shared" si="3775"/>
        <v>0</v>
      </c>
      <c r="BZ342" s="25">
        <f t="shared" si="3766"/>
        <v>0</v>
      </c>
      <c r="CA342" s="25">
        <f t="shared" si="3767"/>
        <v>0</v>
      </c>
      <c r="CB342" s="25">
        <f t="shared" si="3768"/>
        <v>0</v>
      </c>
      <c r="CC342" s="10"/>
      <c r="CD342" s="25">
        <f t="shared" si="3769"/>
        <v>0</v>
      </c>
      <c r="CE342" s="25">
        <f t="shared" si="3770"/>
        <v>0</v>
      </c>
      <c r="CF342" s="25">
        <f t="shared" si="3771"/>
        <v>0</v>
      </c>
      <c r="CG342" s="25">
        <f t="shared" si="3772"/>
        <v>0</v>
      </c>
      <c r="CH342" s="25">
        <f t="shared" si="3773"/>
        <v>0</v>
      </c>
      <c r="CI342" s="10"/>
      <c r="CJ342" s="25"/>
      <c r="CK342" s="25"/>
      <c r="CL342" s="25"/>
      <c r="CM342" s="25"/>
      <c r="CN342" s="25"/>
    </row>
    <row r="343" spans="2:92" ht="12.95" hidden="1" customHeight="1" outlineLevel="1" x14ac:dyDescent="0.25">
      <c r="AB343" s="25"/>
      <c r="AC343" s="25"/>
      <c r="AD343" s="25"/>
      <c r="AE343" s="25"/>
      <c r="AF343" s="25"/>
      <c r="AG343" s="10"/>
      <c r="AH343" s="25"/>
      <c r="AI343" s="25"/>
      <c r="AJ343" s="25"/>
      <c r="AK343" s="25"/>
      <c r="AL343" s="25"/>
      <c r="AM343" s="10"/>
      <c r="AN343" s="25"/>
      <c r="AO343" s="261"/>
      <c r="AP343" s="25"/>
      <c r="AQ343" s="261"/>
      <c r="AR343" s="261"/>
      <c r="AS343" s="10"/>
      <c r="AT343" s="25"/>
      <c r="AU343" s="261"/>
      <c r="AV343" s="261"/>
      <c r="AW343" s="363"/>
      <c r="AX343" s="25"/>
      <c r="AY343" s="10"/>
      <c r="AZ343" s="25"/>
      <c r="BA343" s="25"/>
      <c r="BB343" s="25"/>
      <c r="BC343" s="25"/>
      <c r="BD343" s="25"/>
      <c r="BE343" s="10"/>
      <c r="BF343" s="25"/>
      <c r="BG343" s="25"/>
      <c r="BH343" s="25"/>
      <c r="BI343" s="25"/>
      <c r="BJ343" s="25"/>
      <c r="BK343" s="10"/>
      <c r="BL343" s="25"/>
      <c r="BM343" s="25"/>
      <c r="BN343" s="25"/>
      <c r="BO343" s="25"/>
      <c r="BP343" s="25"/>
      <c r="BQ343" s="10"/>
      <c r="BR343" s="25"/>
      <c r="BS343" s="25"/>
      <c r="BT343" s="25"/>
      <c r="BU343" s="25"/>
      <c r="BV343" s="25"/>
      <c r="BW343" s="10"/>
      <c r="BX343" s="25"/>
      <c r="BY343" s="25"/>
      <c r="BZ343" s="25"/>
      <c r="CA343" s="25"/>
      <c r="CB343" s="25"/>
      <c r="CC343" s="10"/>
      <c r="CD343" s="25"/>
      <c r="CE343" s="25"/>
      <c r="CF343" s="25"/>
      <c r="CG343" s="25"/>
      <c r="CH343" s="25"/>
      <c r="CI343" s="10"/>
      <c r="CJ343" s="25"/>
      <c r="CK343" s="25"/>
      <c r="CL343" s="25"/>
      <c r="CM343" s="25"/>
      <c r="CN343" s="25"/>
    </row>
    <row r="344" spans="2:92" ht="12.95" hidden="1" customHeight="1" outlineLevel="1" x14ac:dyDescent="0.25">
      <c r="B344" s="2" t="s">
        <v>13</v>
      </c>
      <c r="AB344" s="27"/>
      <c r="AC344" s="27"/>
      <c r="AD344" s="6"/>
      <c r="AE344" s="6"/>
      <c r="AF344" s="6"/>
      <c r="AG344" s="6"/>
      <c r="AH344" s="27"/>
      <c r="AI344" s="6"/>
      <c r="AJ344" s="6"/>
      <c r="AK344" s="27"/>
      <c r="AL344" s="6"/>
      <c r="AM344" s="6"/>
      <c r="AN344" s="27"/>
      <c r="AO344" s="27"/>
      <c r="AP344" s="27"/>
      <c r="AQ344" s="235"/>
      <c r="AR344" s="243"/>
      <c r="AS344" s="6"/>
      <c r="AT344" s="27"/>
      <c r="AU344" s="27"/>
      <c r="AV344" s="235"/>
      <c r="AW344" s="164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</row>
    <row r="345" spans="2:92" ht="12.95" hidden="1" customHeight="1" outlineLevel="1" x14ac:dyDescent="0.25">
      <c r="B345" s="2" t="s">
        <v>40</v>
      </c>
      <c r="AB345" s="25">
        <v>0</v>
      </c>
      <c r="AC345" s="25">
        <f>AB345</f>
        <v>0</v>
      </c>
      <c r="AD345" s="25">
        <f t="shared" ref="AD345" si="3903">AC345</f>
        <v>0</v>
      </c>
      <c r="AE345" s="25">
        <f t="shared" ref="AE345" si="3904">AD345</f>
        <v>0</v>
      </c>
      <c r="AF345" s="25">
        <f t="shared" ref="AF345" si="3905">AE345</f>
        <v>0</v>
      </c>
      <c r="AG345" s="10"/>
      <c r="AH345" s="25">
        <f t="shared" ref="AH345" si="3906">AF345</f>
        <v>0</v>
      </c>
      <c r="AI345" s="25">
        <f t="shared" si="3869"/>
        <v>0</v>
      </c>
      <c r="AJ345" s="25">
        <f t="shared" ref="AJ345" si="3907">AI345</f>
        <v>0</v>
      </c>
      <c r="AK345" s="25">
        <v>0.05</v>
      </c>
      <c r="AL345" s="25">
        <f t="shared" ref="AL345" si="3908">AK345</f>
        <v>0.05</v>
      </c>
      <c r="AM345" s="10"/>
      <c r="AN345" s="25">
        <f t="shared" ref="AN345" si="3909">AL345</f>
        <v>0.05</v>
      </c>
      <c r="AO345" s="261">
        <f t="shared" si="3874"/>
        <v>0.05</v>
      </c>
      <c r="AP345" s="25">
        <f t="shared" ref="AP345" si="3910">AO345</f>
        <v>0.05</v>
      </c>
      <c r="AQ345" s="261">
        <f t="shared" ref="AQ345" si="3911">AP345</f>
        <v>0.05</v>
      </c>
      <c r="AR345" s="261">
        <f t="shared" ref="AR345" si="3912">AQ345</f>
        <v>0.05</v>
      </c>
      <c r="AS345" s="10"/>
      <c r="AT345" s="25">
        <f t="shared" ref="AT345" si="3913">AR345</f>
        <v>0.05</v>
      </c>
      <c r="AU345" s="261">
        <f t="shared" si="3879"/>
        <v>0.05</v>
      </c>
      <c r="AV345" s="261">
        <f t="shared" ref="AV345" si="3914">AU345</f>
        <v>0.05</v>
      </c>
      <c r="AW345" s="363">
        <f t="shared" ref="AW345" si="3915">AV345</f>
        <v>0.05</v>
      </c>
      <c r="AX345" s="25">
        <f t="shared" ref="AX345" si="3916">AW345</f>
        <v>0.05</v>
      </c>
      <c r="AY345" s="10"/>
      <c r="AZ345" s="25">
        <f>DD345</f>
        <v>0</v>
      </c>
      <c r="BA345" s="25">
        <f t="shared" ref="BA345" si="3917">AZ345</f>
        <v>0</v>
      </c>
      <c r="BB345" s="25">
        <f t="shared" ref="BB345" si="3918">BA345</f>
        <v>0</v>
      </c>
      <c r="BC345" s="25">
        <f t="shared" ref="BC345" si="3919">BB345</f>
        <v>0</v>
      </c>
      <c r="BD345" s="25">
        <f t="shared" ref="BD345" si="3920">BC345</f>
        <v>0</v>
      </c>
      <c r="BE345" s="10"/>
      <c r="BF345" s="25">
        <f t="shared" ref="BF345" si="3921">BD345</f>
        <v>0</v>
      </c>
      <c r="BG345" s="25">
        <f t="shared" ref="BG345" si="3922">BF345</f>
        <v>0</v>
      </c>
      <c r="BH345" s="25">
        <f t="shared" ref="BH345" si="3923">BG345</f>
        <v>0</v>
      </c>
      <c r="BI345" s="25">
        <f t="shared" ref="BI345" si="3924">BH345</f>
        <v>0</v>
      </c>
      <c r="BJ345" s="25">
        <f t="shared" ref="BJ345" si="3925">BI345</f>
        <v>0</v>
      </c>
      <c r="BK345" s="10"/>
      <c r="BL345" s="25">
        <f t="shared" ref="BL345" si="3926">BJ345</f>
        <v>0</v>
      </c>
      <c r="BM345" s="25">
        <f t="shared" ref="BM345" si="3927">BL345</f>
        <v>0</v>
      </c>
      <c r="BN345" s="25">
        <f t="shared" ref="BN345" si="3928">BM345</f>
        <v>0</v>
      </c>
      <c r="BO345" s="25">
        <f t="shared" ref="BO345" si="3929">BN345</f>
        <v>0</v>
      </c>
      <c r="BP345" s="25">
        <f t="shared" ref="BP345" si="3930">BO345</f>
        <v>0</v>
      </c>
      <c r="BQ345" s="10"/>
      <c r="BR345" s="25">
        <f t="shared" ref="BR345" si="3931">BP345</f>
        <v>0</v>
      </c>
      <c r="BS345" s="25">
        <f t="shared" ref="BS345" si="3932">BR345</f>
        <v>0</v>
      </c>
      <c r="BT345" s="25">
        <f t="shared" ref="BT345" si="3933">BS345</f>
        <v>0</v>
      </c>
      <c r="BU345" s="25">
        <f t="shared" ref="BU345" si="3934">BT345</f>
        <v>0</v>
      </c>
      <c r="BV345" s="25">
        <f t="shared" ref="BV345" si="3935">BU345</f>
        <v>0</v>
      </c>
      <c r="BW345" s="10"/>
      <c r="BX345" s="25">
        <f t="shared" ref="BX345" si="3936">BV345</f>
        <v>0</v>
      </c>
      <c r="BY345" s="25">
        <f t="shared" ref="BY345" si="3937">BX345</f>
        <v>0</v>
      </c>
      <c r="BZ345" s="25">
        <f t="shared" ref="BZ345" si="3938">BY345</f>
        <v>0</v>
      </c>
      <c r="CA345" s="25">
        <f t="shared" ref="CA345" si="3939">BZ345</f>
        <v>0</v>
      </c>
      <c r="CB345" s="25">
        <f t="shared" ref="CB345" si="3940">CA345</f>
        <v>0</v>
      </c>
      <c r="CC345" s="10"/>
      <c r="CD345" s="25">
        <f t="shared" ref="CD345" si="3941">CB345</f>
        <v>0</v>
      </c>
      <c r="CE345" s="25">
        <f t="shared" ref="CE345" si="3942">CD345</f>
        <v>0</v>
      </c>
      <c r="CF345" s="25">
        <f t="shared" ref="CF345" si="3943">CE345</f>
        <v>0</v>
      </c>
      <c r="CG345" s="25">
        <f t="shared" ref="CG345" si="3944">CF345</f>
        <v>0</v>
      </c>
      <c r="CH345" s="25">
        <f t="shared" ref="CH345" si="3945">CG345</f>
        <v>0</v>
      </c>
      <c r="CI345" s="10"/>
      <c r="CJ345" s="25">
        <f t="shared" ref="CJ345" si="3946">CH345</f>
        <v>0</v>
      </c>
      <c r="CK345" s="25">
        <f t="shared" ref="CK345" si="3947">CJ345</f>
        <v>0</v>
      </c>
      <c r="CL345" s="25">
        <f t="shared" ref="CL345" si="3948">CK345</f>
        <v>0</v>
      </c>
      <c r="CM345" s="25">
        <f t="shared" ref="CM345" si="3949">CL345</f>
        <v>0</v>
      </c>
      <c r="CN345" s="25">
        <f t="shared" ref="CN345" si="3950">CM345</f>
        <v>0</v>
      </c>
    </row>
    <row r="346" spans="2:92" ht="12.95" hidden="1" customHeight="1" outlineLevel="1" x14ac:dyDescent="0.25">
      <c r="AO346" s="251"/>
      <c r="AQ346" s="251"/>
      <c r="AR346" s="251"/>
      <c r="AU346" s="251"/>
      <c r="AV346" s="251"/>
      <c r="AW346" s="220"/>
    </row>
    <row r="347" spans="2:92" ht="12.95" hidden="1" customHeight="1" outlineLevel="1" x14ac:dyDescent="0.25">
      <c r="B347" s="2" t="s">
        <v>86</v>
      </c>
      <c r="AB347" s="23">
        <v>200</v>
      </c>
      <c r="AC347" s="23">
        <f>AB347</f>
        <v>200</v>
      </c>
      <c r="AD347" s="23">
        <f t="shared" ref="AD347:AE347" si="3951">AC347</f>
        <v>200</v>
      </c>
      <c r="AE347" s="23">
        <f t="shared" si="3951"/>
        <v>200</v>
      </c>
      <c r="AF347" s="23">
        <f>AE347</f>
        <v>200</v>
      </c>
      <c r="AG347" s="23"/>
      <c r="AH347" s="23">
        <f>AE347</f>
        <v>200</v>
      </c>
      <c r="AI347" s="23">
        <f>AH347</f>
        <v>200</v>
      </c>
      <c r="AJ347" s="23">
        <f t="shared" ref="AJ347:AK347" si="3952">AI347</f>
        <v>200</v>
      </c>
      <c r="AK347" s="23">
        <f t="shared" si="3952"/>
        <v>200</v>
      </c>
      <c r="AL347" s="23">
        <f>AK347</f>
        <v>200</v>
      </c>
      <c r="AM347" s="23"/>
      <c r="AN347" s="23">
        <f>AK347</f>
        <v>200</v>
      </c>
      <c r="AO347" s="259">
        <f>AN347</f>
        <v>200</v>
      </c>
      <c r="AP347" s="23">
        <f t="shared" ref="AP347:AQ347" si="3953">AO347</f>
        <v>200</v>
      </c>
      <c r="AQ347" s="259">
        <f t="shared" si="3953"/>
        <v>200</v>
      </c>
      <c r="AR347" s="259">
        <f>AQ347</f>
        <v>200</v>
      </c>
      <c r="AS347" s="23"/>
      <c r="AT347" s="23">
        <f>AQ347</f>
        <v>200</v>
      </c>
      <c r="AU347" s="259">
        <f>AT347</f>
        <v>200</v>
      </c>
      <c r="AV347" s="259">
        <f t="shared" ref="AV347:AW347" si="3954">AU347</f>
        <v>200</v>
      </c>
      <c r="AW347" s="359">
        <f t="shared" si="3954"/>
        <v>200</v>
      </c>
      <c r="AX347" s="23">
        <f>AW347</f>
        <v>200</v>
      </c>
      <c r="AY347" s="23"/>
      <c r="AZ347" s="23">
        <f>AW347</f>
        <v>200</v>
      </c>
      <c r="BA347" s="23">
        <f>AZ347</f>
        <v>200</v>
      </c>
      <c r="BB347" s="23">
        <f t="shared" ref="BB347" si="3955">BA347</f>
        <v>200</v>
      </c>
      <c r="BC347" s="23">
        <f t="shared" ref="BC347" si="3956">BB347</f>
        <v>200</v>
      </c>
      <c r="BD347" s="23">
        <f>BC347</f>
        <v>200</v>
      </c>
      <c r="BE347" s="23"/>
      <c r="BF347" s="23">
        <f>BC347</f>
        <v>200</v>
      </c>
      <c r="BG347" s="23">
        <f>BF347</f>
        <v>200</v>
      </c>
      <c r="BH347" s="23">
        <f t="shared" ref="BH347" si="3957">BG347</f>
        <v>200</v>
      </c>
      <c r="BI347" s="23">
        <f t="shared" ref="BI347" si="3958">BH347</f>
        <v>200</v>
      </c>
      <c r="BJ347" s="23">
        <f>BI347</f>
        <v>200</v>
      </c>
      <c r="BK347" s="23"/>
      <c r="BL347" s="23">
        <f>BI347</f>
        <v>200</v>
      </c>
      <c r="BM347" s="23">
        <f>BL347</f>
        <v>200</v>
      </c>
      <c r="BN347" s="23">
        <f t="shared" ref="BN347" si="3959">BM347</f>
        <v>200</v>
      </c>
      <c r="BO347" s="23">
        <f t="shared" ref="BO347" si="3960">BN347</f>
        <v>200</v>
      </c>
      <c r="BP347" s="23">
        <f>BO347</f>
        <v>200</v>
      </c>
      <c r="BQ347" s="23"/>
      <c r="BR347" s="23">
        <f>BO347</f>
        <v>200</v>
      </c>
      <c r="BS347" s="23">
        <f>BR347</f>
        <v>200</v>
      </c>
      <c r="BT347" s="23">
        <f t="shared" ref="BT347" si="3961">BS347</f>
        <v>200</v>
      </c>
      <c r="BU347" s="23">
        <f t="shared" ref="BU347" si="3962">BT347</f>
        <v>200</v>
      </c>
      <c r="BV347" s="23">
        <f>BU347</f>
        <v>200</v>
      </c>
      <c r="BW347" s="23"/>
      <c r="BX347" s="23">
        <f>BU347</f>
        <v>200</v>
      </c>
      <c r="BY347" s="23">
        <f>BX347</f>
        <v>200</v>
      </c>
      <c r="BZ347" s="23">
        <f t="shared" ref="BZ347" si="3963">BY347</f>
        <v>200</v>
      </c>
      <c r="CA347" s="23">
        <f t="shared" ref="CA347" si="3964">BZ347</f>
        <v>200</v>
      </c>
      <c r="CB347" s="23">
        <f>CA347</f>
        <v>200</v>
      </c>
      <c r="CC347" s="23"/>
      <c r="CD347" s="23">
        <f>CA347</f>
        <v>200</v>
      </c>
      <c r="CE347" s="23">
        <f>CD347</f>
        <v>200</v>
      </c>
      <c r="CF347" s="23">
        <f t="shared" ref="CF347" si="3965">CE347</f>
        <v>200</v>
      </c>
      <c r="CG347" s="23">
        <f t="shared" ref="CG347" si="3966">CF347</f>
        <v>200</v>
      </c>
      <c r="CH347" s="23">
        <f>CG347</f>
        <v>200</v>
      </c>
      <c r="CI347" s="23"/>
      <c r="CJ347" s="23">
        <f>CG347</f>
        <v>200</v>
      </c>
      <c r="CK347" s="23">
        <f>CJ347</f>
        <v>200</v>
      </c>
      <c r="CL347" s="23">
        <f t="shared" ref="CL347" si="3967">CK347</f>
        <v>200</v>
      </c>
      <c r="CM347" s="23">
        <f t="shared" ref="CM347" si="3968">CL347</f>
        <v>200</v>
      </c>
      <c r="CN347" s="23">
        <f>CM347</f>
        <v>200</v>
      </c>
    </row>
    <row r="348" spans="2:92" ht="12.95" hidden="1" customHeight="1" outlineLevel="1" x14ac:dyDescent="0.25">
      <c r="B348" s="24" t="s">
        <v>41</v>
      </c>
      <c r="AO348" s="251"/>
      <c r="AQ348" s="251"/>
      <c r="AR348" s="251"/>
      <c r="AU348" s="251"/>
      <c r="AV348" s="251"/>
      <c r="AW348" s="220"/>
    </row>
    <row r="349" spans="2:92" ht="12.95" hidden="1" customHeight="1" outlineLevel="1" x14ac:dyDescent="0.25">
      <c r="B349" s="2" t="s">
        <v>47</v>
      </c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35"/>
      <c r="AP349" s="27"/>
      <c r="AQ349" s="235"/>
      <c r="AR349" s="235"/>
      <c r="AS349" s="27"/>
      <c r="AT349" s="27"/>
      <c r="AU349" s="235"/>
      <c r="AV349" s="235"/>
      <c r="AW349" s="158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</row>
    <row r="350" spans="2:92" ht="12.95" hidden="1" customHeight="1" outlineLevel="1" x14ac:dyDescent="0.25">
      <c r="B350" s="2" t="s">
        <v>42</v>
      </c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35"/>
      <c r="AP350" s="27"/>
      <c r="AQ350" s="235"/>
      <c r="AR350" s="235"/>
      <c r="AS350" s="27"/>
      <c r="AT350" s="27"/>
      <c r="AU350" s="235"/>
      <c r="AV350" s="235"/>
      <c r="AW350" s="158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</row>
    <row r="351" spans="2:92" ht="12.95" hidden="1" customHeight="1" outlineLevel="1" x14ac:dyDescent="0.25">
      <c r="B351" s="2" t="s">
        <v>43</v>
      </c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35"/>
      <c r="AP351" s="27"/>
      <c r="AQ351" s="235"/>
      <c r="AR351" s="235"/>
      <c r="AS351" s="27"/>
      <c r="AT351" s="27"/>
      <c r="AU351" s="235"/>
      <c r="AV351" s="235"/>
      <c r="AW351" s="158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</row>
    <row r="352" spans="2:92" ht="12.95" hidden="1" customHeight="1" outlineLevel="1" x14ac:dyDescent="0.25">
      <c r="B352" s="26" t="s">
        <v>44</v>
      </c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364"/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  <c r="BH352" s="28"/>
      <c r="BI352" s="28"/>
      <c r="BJ352" s="28"/>
      <c r="BK352" s="28"/>
      <c r="BL352" s="28"/>
      <c r="BM352" s="28"/>
      <c r="BN352" s="28"/>
      <c r="BO352" s="28"/>
      <c r="BP352" s="28"/>
      <c r="BQ352" s="28"/>
      <c r="BR352" s="28"/>
      <c r="BS352" s="28"/>
      <c r="BT352" s="28"/>
      <c r="BU352" s="28"/>
      <c r="BV352" s="28"/>
      <c r="BW352" s="28"/>
      <c r="BX352" s="28"/>
      <c r="BY352" s="28"/>
      <c r="BZ352" s="28"/>
      <c r="CA352" s="28"/>
      <c r="CB352" s="28"/>
      <c r="CC352" s="28"/>
      <c r="CD352" s="28"/>
      <c r="CE352" s="28"/>
      <c r="CF352" s="28"/>
      <c r="CG352" s="28"/>
      <c r="CH352" s="28"/>
      <c r="CI352" s="28"/>
      <c r="CJ352" s="28"/>
      <c r="CK352" s="28"/>
      <c r="CL352" s="28"/>
      <c r="CM352" s="28"/>
      <c r="CN352" s="28"/>
    </row>
    <row r="353" spans="2:92" ht="12.95" hidden="1" customHeight="1" outlineLevel="1" x14ac:dyDescent="0.25">
      <c r="B353" s="2" t="s">
        <v>45</v>
      </c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35"/>
      <c r="AP353" s="27"/>
      <c r="AQ353" s="235"/>
      <c r="AR353" s="235"/>
      <c r="AS353" s="27"/>
      <c r="AT353" s="27"/>
      <c r="AU353" s="235"/>
      <c r="AV353" s="235"/>
      <c r="AW353" s="158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7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</row>
    <row r="354" spans="2:92" ht="12.95" hidden="1" customHeight="1" outlineLevel="1" x14ac:dyDescent="0.25">
      <c r="B354" s="2" t="s">
        <v>40</v>
      </c>
      <c r="AB354" s="25"/>
      <c r="AC354" s="25"/>
      <c r="AD354" s="25"/>
      <c r="AE354" s="25"/>
      <c r="AF354" s="25"/>
      <c r="AG354" s="10"/>
      <c r="AH354" s="25"/>
      <c r="AI354" s="25"/>
      <c r="AJ354" s="25"/>
      <c r="AK354" s="25"/>
      <c r="AL354" s="25"/>
      <c r="AM354" s="10"/>
      <c r="AN354" s="25"/>
      <c r="AO354" s="261"/>
      <c r="AP354" s="25"/>
      <c r="AQ354" s="261"/>
      <c r="AR354" s="261"/>
      <c r="AS354" s="10"/>
      <c r="AT354" s="25"/>
      <c r="AU354" s="261"/>
      <c r="AV354" s="261"/>
      <c r="AW354" s="363"/>
      <c r="AX354" s="25"/>
      <c r="AY354" s="10"/>
      <c r="AZ354" s="25"/>
      <c r="BA354" s="25"/>
      <c r="BB354" s="25"/>
      <c r="BC354" s="25"/>
      <c r="BD354" s="25"/>
      <c r="BE354" s="10"/>
      <c r="BF354" s="25"/>
      <c r="BG354" s="25"/>
      <c r="BH354" s="25"/>
      <c r="BI354" s="25"/>
      <c r="BJ354" s="25"/>
      <c r="BK354" s="10"/>
      <c r="BL354" s="25"/>
      <c r="BM354" s="25"/>
      <c r="BN354" s="25"/>
      <c r="BO354" s="25"/>
      <c r="BP354" s="25"/>
      <c r="BQ354" s="10"/>
      <c r="BR354" s="25"/>
      <c r="BS354" s="25"/>
      <c r="BT354" s="25"/>
      <c r="BU354" s="25"/>
      <c r="BV354" s="25"/>
      <c r="BW354" s="10"/>
      <c r="BX354" s="25"/>
      <c r="BY354" s="25"/>
      <c r="BZ354" s="25"/>
      <c r="CA354" s="25"/>
      <c r="CB354" s="25"/>
      <c r="CC354" s="10"/>
      <c r="CD354" s="25"/>
      <c r="CE354" s="25"/>
      <c r="CF354" s="25"/>
      <c r="CG354" s="25"/>
      <c r="CH354" s="25"/>
      <c r="CI354" s="10"/>
      <c r="CJ354" s="25"/>
      <c r="CK354" s="25"/>
      <c r="CL354" s="25"/>
      <c r="CM354" s="25"/>
      <c r="CN354" s="25"/>
    </row>
    <row r="355" spans="2:92" ht="12.95" hidden="1" customHeight="1" outlineLevel="1" x14ac:dyDescent="0.25">
      <c r="AO355" s="251"/>
      <c r="AQ355" s="251"/>
      <c r="AR355" s="251"/>
      <c r="AU355" s="251"/>
      <c r="AV355" s="251"/>
      <c r="AW355" s="220"/>
    </row>
    <row r="356" spans="2:92" ht="12.95" hidden="1" customHeight="1" outlineLevel="1" x14ac:dyDescent="0.25">
      <c r="B356" s="2" t="s">
        <v>595</v>
      </c>
      <c r="D356" s="27"/>
      <c r="E356" s="27"/>
      <c r="F356" s="27"/>
      <c r="G356" s="27"/>
      <c r="H356" s="27"/>
      <c r="J356" s="27">
        <f>SUM(J209,J211,J213,J215,J217,J219,J221,J223,J225,,J227,J229,J231,J233,J235,J237,J239,J241,J243,J245,J247,J249,J251,J253,J255,J257,J259)</f>
        <v>7925</v>
      </c>
      <c r="K356" s="27">
        <f t="shared" ref="K356:M356" si="3969">SUM(K209,K211,K213,K215,K217,K219,K221,K223,K225,,K227,K229,K231,K233,K235,K237,K239,K241,K243,K245,K247,K249,K251,K253,K255,K257,K259)</f>
        <v>7925</v>
      </c>
      <c r="L356" s="27">
        <f t="shared" si="3969"/>
        <v>7925</v>
      </c>
      <c r="M356" s="27">
        <f t="shared" si="3969"/>
        <v>7925</v>
      </c>
      <c r="N356" s="27">
        <f>M356</f>
        <v>7925</v>
      </c>
      <c r="P356" s="27">
        <f>SUM(P209,P211,P213,P215,P217,P219,P221,P223,P225,,P227,P229,P231,P233,P235,P237,P239,P241,P243,P245,P247,P249,P251,P253,P255,P257,P259)</f>
        <v>7925</v>
      </c>
      <c r="Q356" s="27">
        <f t="shared" ref="Q356:S356" si="3970">SUM(Q209,Q211,Q213,Q215,Q217,Q219,Q221,Q223,Q225,,Q227,Q229,Q231,Q233,Q235,Q237,Q239,Q241,Q243,Q245,Q247,Q249,Q251,Q253,Q255,Q257,Q259)</f>
        <v>7925</v>
      </c>
      <c r="R356" s="27">
        <f t="shared" si="3970"/>
        <v>7925</v>
      </c>
      <c r="S356" s="27">
        <f t="shared" si="3970"/>
        <v>9141</v>
      </c>
      <c r="T356" s="27">
        <f>S356</f>
        <v>9141</v>
      </c>
      <c r="V356" s="27">
        <f>SUM(V209,V211,V213,V215,V217,V219,V221,V223,V225,,V227,V229,V231,V233,V235,V237,V239,V241,V243,V245,V247,V249,V251,V253,V255,V257,V259)</f>
        <v>9141</v>
      </c>
      <c r="W356" s="27">
        <f t="shared" ref="W356:Y356" si="3971">SUM(W209,W211,W213,W215,W217,W219,W221,W223,W225,,W227,W229,W231,W233,W235,W237,W239,W241,W243,W245,W247,W249,W251,W253,W255,W257,W259)</f>
        <v>11141</v>
      </c>
      <c r="X356" s="27">
        <f t="shared" si="3971"/>
        <v>11141</v>
      </c>
      <c r="Y356" s="27">
        <f t="shared" si="3971"/>
        <v>11141</v>
      </c>
      <c r="Z356" s="27">
        <f>Y356</f>
        <v>11141</v>
      </c>
      <c r="AB356" s="27">
        <f>SUM(AB209,AB211,AB213,AB215,AB217,AB219,AB221,AB223,AB225,,AB227,AB229,AB231,AB233,AB235,AB237,AB239,AB241,AB243,AB245,AB247,AB249,AB251,AB253,AB255,AB257,AB259)</f>
        <v>11141</v>
      </c>
      <c r="AC356" s="27">
        <f t="shared" ref="AC356:AE356" si="3972">SUM(AC209,AC211,AC213,AC215,AC217,AC219,AC221,AC223,AC225,,AC227,AC229,AC231,AC233,AC235,AC237,AC239,AC241,AC243,AC245,AC247,AC249,AC251,AC253,AC255,AC257,AC259)</f>
        <v>11021</v>
      </c>
      <c r="AD356" s="27">
        <f t="shared" si="3972"/>
        <v>11021</v>
      </c>
      <c r="AE356" s="27">
        <f t="shared" si="3972"/>
        <v>9667</v>
      </c>
      <c r="AF356" s="27">
        <f>AE356</f>
        <v>9667</v>
      </c>
      <c r="AH356" s="27">
        <f>SUM(AH209,AH211,AH213,AH215,AH217,AH219,AH221,AH223,AH225,,AH227,AH229,AH231,AH233,AH235,AH237,AH239,AH241,AH243,AH245,AH247,AH249,AH251,AH253,AH255,AH257,AH259)</f>
        <v>9667</v>
      </c>
      <c r="AI356" s="27">
        <f t="shared" ref="AI356:AK356" si="3973">SUM(AI209,AI211,AI213,AI215,AI217,AI219,AI221,AI223,AI225,,AI227,AI229,AI231,AI233,AI235,AI237,AI239,AI241,AI243,AI245,AI247,AI249,AI251,AI253,AI255,AI257,AI259)</f>
        <v>9667</v>
      </c>
      <c r="AJ356" s="27">
        <f t="shared" si="3973"/>
        <v>9667</v>
      </c>
      <c r="AK356" s="27">
        <f t="shared" si="3973"/>
        <v>9610</v>
      </c>
      <c r="AL356" s="27">
        <f>AK356</f>
        <v>9610</v>
      </c>
      <c r="AN356" s="27">
        <f>SUM(AN209,AN211,AN213,AN215,AN217,AN219,AN221,AN223,AN225,,AN227,AN229,AN231,AN233,AN235,AN237,AN239,AN241,AN243,AN245,AN247,AN249,AN251,AN253,AN255,AN257,AN259)</f>
        <v>9610</v>
      </c>
      <c r="AO356" s="27">
        <f t="shared" ref="AO356:AQ356" si="3974">SUM(AO209,AO211,AO213,AO215,AO217,AO219,AO221,AO223,AO225,,AO227,AO229,AO231,AO233,AO235,AO237,AO239,AO241,AO243,AO245,AO247,AO249,AO251,AO253,AO255,AO257,AO259)</f>
        <v>9610</v>
      </c>
      <c r="AP356" s="27">
        <f t="shared" si="3974"/>
        <v>9610</v>
      </c>
      <c r="AQ356" s="27">
        <f t="shared" si="3974"/>
        <v>8640</v>
      </c>
      <c r="AR356" s="27">
        <f>AQ356</f>
        <v>8640</v>
      </c>
      <c r="AT356" s="27">
        <f>SUM(AT209,AT211,AT213,AT215,AT217,AT219,AT221,AT223,AT225,,AT227,AT229,AT231,AT233,AT235,AT237,AT239,AT241,AT243,AT245,AT247,AT249,AT251,AT253,AT255,AT257,AT259)</f>
        <v>8639</v>
      </c>
      <c r="AU356" s="27">
        <f t="shared" ref="AU356:AW356" si="3975">SUM(AU209,AU211,AU213,AU215,AU217,AU219,AU221,AU223,AU225,,AU227,AU229,AU231,AU233,AU235,AU237,AU239,AU241,AU243,AU245,AU247,AU249,AU251,AU253,AU255,AU257,AU259)</f>
        <v>8639</v>
      </c>
      <c r="AV356" s="27">
        <f t="shared" si="3975"/>
        <v>8639</v>
      </c>
      <c r="AW356" s="158">
        <f t="shared" si="3975"/>
        <v>8639</v>
      </c>
      <c r="AX356" s="27">
        <f>AW356</f>
        <v>8639</v>
      </c>
      <c r="AZ356" s="27"/>
      <c r="BA356" s="27"/>
      <c r="BB356" s="27"/>
      <c r="BC356" s="27"/>
      <c r="BD356" s="27"/>
      <c r="BF356" s="27"/>
      <c r="BG356" s="27"/>
      <c r="BH356" s="27"/>
      <c r="BI356" s="27"/>
      <c r="BJ356" s="27"/>
      <c r="BL356" s="27"/>
      <c r="BM356" s="27"/>
      <c r="BN356" s="27"/>
      <c r="BO356" s="27"/>
      <c r="BP356" s="27"/>
      <c r="BR356" s="27"/>
      <c r="BS356" s="27"/>
      <c r="BT356" s="27"/>
      <c r="BU356" s="27"/>
      <c r="BV356" s="27"/>
      <c r="BX356" s="27"/>
      <c r="BY356" s="27"/>
      <c r="BZ356" s="27"/>
      <c r="CA356" s="27"/>
      <c r="CB356" s="27"/>
      <c r="CD356" s="27"/>
      <c r="CE356" s="27"/>
      <c r="CF356" s="27"/>
      <c r="CG356" s="27"/>
      <c r="CH356" s="27"/>
      <c r="CJ356" s="27"/>
      <c r="CK356" s="27"/>
      <c r="CL356" s="27"/>
      <c r="CM356" s="27"/>
      <c r="CN356" s="27"/>
    </row>
    <row r="357" spans="2:92" ht="12.95" hidden="1" customHeight="1" outlineLevel="1" x14ac:dyDescent="0.25">
      <c r="B357" s="2" t="s">
        <v>13</v>
      </c>
      <c r="D357" s="27"/>
      <c r="E357" s="27"/>
      <c r="F357" s="27"/>
      <c r="G357" s="27"/>
      <c r="H357" s="27"/>
      <c r="J357" s="27">
        <f>J359-J356</f>
        <v>99</v>
      </c>
      <c r="K357" s="27">
        <f t="shared" ref="K357" si="3976">K359-K356</f>
        <v>140</v>
      </c>
      <c r="L357" s="27">
        <f t="shared" ref="L357" si="3977">L359-L356</f>
        <v>174</v>
      </c>
      <c r="M357" s="27">
        <f t="shared" ref="M357" si="3978">M359-M356</f>
        <v>100</v>
      </c>
      <c r="N357" s="27">
        <f>M357</f>
        <v>100</v>
      </c>
      <c r="P357" s="27">
        <f>P359-P356</f>
        <v>-249</v>
      </c>
      <c r="Q357" s="27">
        <f t="shared" ref="Q357" si="3979">Q359-Q356</f>
        <v>-247</v>
      </c>
      <c r="R357" s="27">
        <f t="shared" ref="R357" si="3980">R359-R356</f>
        <v>1245</v>
      </c>
      <c r="S357" s="27">
        <f t="shared" ref="S357" si="3981">S359-S356</f>
        <v>26</v>
      </c>
      <c r="T357" s="27">
        <f>S357</f>
        <v>26</v>
      </c>
      <c r="V357" s="27">
        <f>V359-V356</f>
        <v>11</v>
      </c>
      <c r="W357" s="27">
        <f t="shared" ref="W357" si="3982">W359-W356</f>
        <v>-3</v>
      </c>
      <c r="X357" s="27">
        <f t="shared" ref="X357" si="3983">X359-X356</f>
        <v>13</v>
      </c>
      <c r="Y357" s="27">
        <f t="shared" ref="Y357" si="3984">Y359-Y356</f>
        <v>53</v>
      </c>
      <c r="Z357" s="27">
        <f>Y357</f>
        <v>53</v>
      </c>
      <c r="AB357" s="27">
        <f>AB359-AB356</f>
        <v>-64</v>
      </c>
      <c r="AC357" s="27">
        <f t="shared" ref="AC357" si="3985">AC359-AC356</f>
        <v>-1187</v>
      </c>
      <c r="AD357" s="27">
        <f t="shared" ref="AD357" si="3986">AD359-AD356</f>
        <v>-1187</v>
      </c>
      <c r="AE357" s="27">
        <f t="shared" ref="AE357" si="3987">AE359-AE356</f>
        <v>159</v>
      </c>
      <c r="AF357" s="27">
        <f>AE357</f>
        <v>159</v>
      </c>
      <c r="AG357" s="6"/>
      <c r="AH357" s="27">
        <f>AH359-AH356</f>
        <v>124</v>
      </c>
      <c r="AI357" s="27">
        <f t="shared" ref="AI357" si="3988">AI359-AI356</f>
        <v>76</v>
      </c>
      <c r="AJ357" s="27">
        <f t="shared" ref="AJ357" si="3989">AJ359-AJ356</f>
        <v>-33</v>
      </c>
      <c r="AK357" s="27">
        <f t="shared" ref="AK357" si="3990">AK359-AK356</f>
        <v>42</v>
      </c>
      <c r="AL357" s="27">
        <f>AK357</f>
        <v>42</v>
      </c>
      <c r="AM357" s="6"/>
      <c r="AN357" s="27">
        <f>AN359-AN356</f>
        <v>16</v>
      </c>
      <c r="AO357" s="27">
        <f t="shared" ref="AO357" si="3991">AO359-AO356</f>
        <v>7</v>
      </c>
      <c r="AP357" s="27">
        <f t="shared" ref="AP357" si="3992">AP359-AP356</f>
        <v>-57</v>
      </c>
      <c r="AQ357" s="27">
        <f t="shared" ref="AQ357" si="3993">AQ359-AQ356</f>
        <v>1030</v>
      </c>
      <c r="AR357" s="27">
        <f>AQ357</f>
        <v>1030</v>
      </c>
      <c r="AS357" s="6"/>
      <c r="AT357" s="27">
        <f>AT359-AT356</f>
        <v>1000</v>
      </c>
      <c r="AU357" s="27">
        <f t="shared" ref="AU357" si="3994">AU359-AU356</f>
        <v>11</v>
      </c>
      <c r="AV357" s="27">
        <f t="shared" ref="AV357" si="3995">AV359-AV356</f>
        <v>145</v>
      </c>
      <c r="AW357" s="158">
        <f t="shared" ref="AW357" si="3996">AW359-AW356</f>
        <v>145</v>
      </c>
      <c r="AX357" s="27">
        <f>AW357</f>
        <v>145</v>
      </c>
      <c r="AY357" s="6"/>
      <c r="AZ357" s="27"/>
      <c r="BA357" s="27"/>
      <c r="BB357" s="27"/>
      <c r="BC357" s="27"/>
      <c r="BD357" s="27"/>
      <c r="BE357" s="6"/>
      <c r="BF357" s="27"/>
      <c r="BG357" s="27"/>
      <c r="BH357" s="27"/>
      <c r="BI357" s="27"/>
      <c r="BJ357" s="27"/>
      <c r="BK357" s="6"/>
      <c r="BL357" s="27"/>
      <c r="BM357" s="27"/>
      <c r="BN357" s="27"/>
      <c r="BO357" s="27"/>
      <c r="BP357" s="27"/>
      <c r="BQ357" s="6"/>
      <c r="BR357" s="27"/>
      <c r="BS357" s="27"/>
      <c r="BT357" s="27"/>
      <c r="BU357" s="27"/>
      <c r="BV357" s="27"/>
      <c r="BW357" s="6"/>
      <c r="BX357" s="27"/>
      <c r="BY357" s="27"/>
      <c r="BZ357" s="27"/>
      <c r="CA357" s="27"/>
      <c r="CB357" s="27"/>
      <c r="CC357" s="6"/>
      <c r="CD357" s="27"/>
      <c r="CE357" s="27"/>
      <c r="CF357" s="27"/>
      <c r="CG357" s="27"/>
      <c r="CH357" s="27"/>
      <c r="CI357" s="6"/>
      <c r="CJ357" s="27"/>
      <c r="CK357" s="27"/>
      <c r="CL357" s="27"/>
      <c r="CM357" s="27"/>
      <c r="CN357" s="27"/>
    </row>
    <row r="358" spans="2:92" ht="12.95" hidden="1" customHeight="1" outlineLevel="1" x14ac:dyDescent="0.25">
      <c r="B358" s="2" t="s">
        <v>46</v>
      </c>
      <c r="D358" s="56"/>
      <c r="E358" s="56"/>
      <c r="F358" s="56"/>
      <c r="G358" s="56"/>
      <c r="J358" s="56">
        <f>J366</f>
        <v>1.2587238285144567E-2</v>
      </c>
      <c r="K358" s="56">
        <f t="shared" ref="K358:M358" si="3997">K366</f>
        <v>1.2647241165530069E-2</v>
      </c>
      <c r="L358" s="56">
        <f t="shared" si="3997"/>
        <v>1.2594147425608099E-2</v>
      </c>
      <c r="M358" s="56">
        <f t="shared" si="3997"/>
        <v>1.2336448598130842E-2</v>
      </c>
      <c r="P358" s="56">
        <f>P366</f>
        <v>1.3418447107868681E-2</v>
      </c>
      <c r="Q358" s="56">
        <f t="shared" ref="Q358:S358" si="3998">Q366</f>
        <v>1.3414951810367283E-2</v>
      </c>
      <c r="R358" s="56">
        <f t="shared" si="3998"/>
        <v>1.1232279171210469E-2</v>
      </c>
      <c r="S358" s="56">
        <f t="shared" si="3998"/>
        <v>1.2217737536816844E-2</v>
      </c>
      <c r="V358" s="56">
        <f>V366</f>
        <v>1.2347027972027972E-2</v>
      </c>
      <c r="W358" s="56">
        <f t="shared" ref="W358:Y358" si="3999">W366</f>
        <v>1.2120667983479978E-2</v>
      </c>
      <c r="X358" s="56">
        <f t="shared" si="3999"/>
        <v>1.2192935269858346E-2</v>
      </c>
      <c r="Y358" s="56">
        <f t="shared" si="3999"/>
        <v>1.1613364302304805E-2</v>
      </c>
      <c r="AB358" s="56">
        <f>AB366</f>
        <v>1.2819355421142908E-2</v>
      </c>
      <c r="AC358" s="56">
        <f t="shared" ref="AC358:AE358" si="4000">AC366</f>
        <v>1.2202562538133009E-2</v>
      </c>
      <c r="AD358" s="56">
        <f t="shared" si="4000"/>
        <v>1.1592434411226357E-2</v>
      </c>
      <c r="AE358" s="56">
        <f t="shared" si="4000"/>
        <v>1.1398330958681051E-2</v>
      </c>
      <c r="AH358" s="56">
        <f>AH366</f>
        <v>1.1132672862833214E-2</v>
      </c>
      <c r="AI358" s="56">
        <f t="shared" ref="AI358:AK358" si="4001">AI366</f>
        <v>1.1084881453351124E-2</v>
      </c>
      <c r="AJ358" s="56">
        <f t="shared" si="4001"/>
        <v>1.1314095910317625E-2</v>
      </c>
      <c r="AK358" s="56">
        <f t="shared" si="4001"/>
        <v>1.2121840033153751E-2</v>
      </c>
      <c r="AM358" s="10"/>
      <c r="AN358" s="56">
        <f>AN366</f>
        <v>1.3401205069603158E-2</v>
      </c>
      <c r="AO358" s="56">
        <f t="shared" ref="AO358:AQ358" si="4002">AO366</f>
        <v>1.3205781428719974E-2</v>
      </c>
      <c r="AP358" s="56">
        <f t="shared" si="4002"/>
        <v>1.3503611430964095E-2</v>
      </c>
      <c r="AQ358" s="56">
        <f t="shared" si="4002"/>
        <v>1.3029989658738366E-2</v>
      </c>
      <c r="AS358" s="10"/>
      <c r="AT358" s="56">
        <f>AT366</f>
        <v>1.4835563855171699E-2</v>
      </c>
      <c r="AU358" s="56">
        <f t="shared" ref="AU358:AV358" si="4003">AU366</f>
        <v>1.583815028901734E-2</v>
      </c>
      <c r="AV358" s="56">
        <f t="shared" si="4003"/>
        <v>1.4230418943533697E-2</v>
      </c>
      <c r="AW358" s="582">
        <f>AV358</f>
        <v>1.4230418943533697E-2</v>
      </c>
      <c r="AY358" s="10"/>
      <c r="AZ358" s="56"/>
      <c r="BA358" s="56"/>
      <c r="BB358" s="56"/>
      <c r="BC358" s="56"/>
      <c r="BE358" s="10"/>
      <c r="BF358" s="56"/>
      <c r="BG358" s="56"/>
      <c r="BH358" s="56"/>
      <c r="BI358" s="56"/>
      <c r="BK358" s="10"/>
      <c r="BL358" s="56"/>
      <c r="BM358" s="56"/>
      <c r="BN358" s="56"/>
      <c r="BO358" s="56"/>
      <c r="BQ358" s="10"/>
      <c r="BR358" s="56"/>
      <c r="BS358" s="56"/>
      <c r="BT358" s="56"/>
      <c r="BU358" s="56"/>
      <c r="BW358" s="10"/>
      <c r="BX358" s="56"/>
      <c r="BY358" s="56"/>
      <c r="BZ358" s="56"/>
      <c r="CA358" s="56"/>
      <c r="CC358" s="10"/>
      <c r="CD358" s="56"/>
      <c r="CE358" s="56"/>
      <c r="CF358" s="56"/>
      <c r="CG358" s="56"/>
      <c r="CI358" s="10"/>
      <c r="CJ358" s="56"/>
      <c r="CK358" s="56"/>
      <c r="CL358" s="56"/>
      <c r="CM358" s="56"/>
    </row>
    <row r="359" spans="2:92" ht="12.95" hidden="1" customHeight="1" outlineLevel="1" x14ac:dyDescent="0.25">
      <c r="B359" s="2" t="s">
        <v>596</v>
      </c>
      <c r="D359" s="27"/>
      <c r="E359" s="27"/>
      <c r="F359" s="27"/>
      <c r="G359" s="27"/>
      <c r="H359" s="27"/>
      <c r="J359" s="27">
        <f>J203</f>
        <v>8024</v>
      </c>
      <c r="K359" s="27">
        <f t="shared" ref="K359:M359" si="4004">K203</f>
        <v>8065</v>
      </c>
      <c r="L359" s="27">
        <f t="shared" si="4004"/>
        <v>8099</v>
      </c>
      <c r="M359" s="27">
        <f t="shared" si="4004"/>
        <v>8025</v>
      </c>
      <c r="N359" s="27">
        <f>M359</f>
        <v>8025</v>
      </c>
      <c r="P359" s="27">
        <f>P203</f>
        <v>7676</v>
      </c>
      <c r="Q359" s="27">
        <f t="shared" ref="Q359:S359" si="4005">Q203</f>
        <v>7678</v>
      </c>
      <c r="R359" s="27">
        <f t="shared" si="4005"/>
        <v>9170</v>
      </c>
      <c r="S359" s="27">
        <f t="shared" si="4005"/>
        <v>9167</v>
      </c>
      <c r="T359" s="27">
        <f>S359</f>
        <v>9167</v>
      </c>
      <c r="V359" s="27">
        <f>V203</f>
        <v>9152</v>
      </c>
      <c r="W359" s="27">
        <f t="shared" ref="W359:Y359" si="4006">W203</f>
        <v>11138</v>
      </c>
      <c r="X359" s="27">
        <f t="shared" si="4006"/>
        <v>11154</v>
      </c>
      <c r="Y359" s="27">
        <f t="shared" si="4006"/>
        <v>11194</v>
      </c>
      <c r="Z359" s="27">
        <f>Y359</f>
        <v>11194</v>
      </c>
      <c r="AB359" s="27">
        <f>AB203</f>
        <v>11077</v>
      </c>
      <c r="AC359" s="27">
        <f t="shared" ref="AC359:AE359" si="4007">AC203</f>
        <v>9834</v>
      </c>
      <c r="AD359" s="27">
        <f t="shared" si="4007"/>
        <v>9834</v>
      </c>
      <c r="AE359" s="27">
        <f t="shared" si="4007"/>
        <v>9826</v>
      </c>
      <c r="AF359" s="27">
        <f>AE359</f>
        <v>9826</v>
      </c>
      <c r="AH359" s="27">
        <f>AH203</f>
        <v>9791</v>
      </c>
      <c r="AI359" s="27">
        <f t="shared" ref="AI359:AK359" si="4008">AI203</f>
        <v>9743</v>
      </c>
      <c r="AJ359" s="27">
        <f t="shared" si="4008"/>
        <v>9634</v>
      </c>
      <c r="AK359" s="27">
        <f t="shared" si="4008"/>
        <v>9652</v>
      </c>
      <c r="AL359" s="27">
        <f>AK359</f>
        <v>9652</v>
      </c>
      <c r="AM359" s="10"/>
      <c r="AN359" s="27">
        <f>AN203</f>
        <v>9626</v>
      </c>
      <c r="AO359" s="27">
        <f t="shared" ref="AO359:AQ359" si="4009">AO203</f>
        <v>9617</v>
      </c>
      <c r="AP359" s="27">
        <f t="shared" si="4009"/>
        <v>9553</v>
      </c>
      <c r="AQ359" s="27">
        <f t="shared" si="4009"/>
        <v>9670</v>
      </c>
      <c r="AR359" s="27">
        <f>AQ359</f>
        <v>9670</v>
      </c>
      <c r="AS359" s="10"/>
      <c r="AT359" s="27">
        <f>AT203</f>
        <v>9639</v>
      </c>
      <c r="AU359" s="27">
        <f t="shared" ref="AU359:AW359" si="4010">AU203</f>
        <v>8650</v>
      </c>
      <c r="AV359" s="27">
        <f t="shared" si="4010"/>
        <v>8784</v>
      </c>
      <c r="AW359" s="158">
        <f t="shared" si="4010"/>
        <v>8784</v>
      </c>
      <c r="AX359" s="27">
        <f>AW359</f>
        <v>8784</v>
      </c>
      <c r="AY359" s="10"/>
      <c r="AZ359" s="27"/>
      <c r="BA359" s="27"/>
      <c r="BB359" s="27"/>
      <c r="BC359" s="27"/>
      <c r="BD359" s="27"/>
      <c r="BE359" s="10"/>
      <c r="BF359" s="27"/>
      <c r="BG359" s="27"/>
      <c r="BH359" s="27"/>
      <c r="BI359" s="27"/>
      <c r="BJ359" s="27"/>
      <c r="BK359" s="10"/>
      <c r="BL359" s="27"/>
      <c r="BM359" s="27"/>
      <c r="BN359" s="27"/>
      <c r="BO359" s="27"/>
      <c r="BP359" s="27"/>
      <c r="BQ359" s="10"/>
      <c r="BR359" s="27"/>
      <c r="BS359" s="27"/>
      <c r="BT359" s="27"/>
      <c r="BU359" s="27"/>
      <c r="BV359" s="27"/>
      <c r="BW359" s="10"/>
      <c r="BX359" s="27"/>
      <c r="BY359" s="27"/>
      <c r="BZ359" s="27"/>
      <c r="CA359" s="27"/>
      <c r="CB359" s="27"/>
      <c r="CC359" s="10"/>
      <c r="CD359" s="27"/>
      <c r="CE359" s="27"/>
      <c r="CF359" s="27"/>
      <c r="CG359" s="27"/>
      <c r="CH359" s="27"/>
      <c r="CI359" s="10"/>
      <c r="CJ359" s="27"/>
      <c r="CK359" s="27"/>
      <c r="CL359" s="27"/>
      <c r="CM359" s="27"/>
      <c r="CN359" s="27"/>
    </row>
    <row r="360" spans="2:92" ht="12.95" hidden="1" customHeight="1" outlineLevel="1" x14ac:dyDescent="0.25">
      <c r="AO360" s="251"/>
      <c r="AQ360" s="251"/>
      <c r="AR360" s="251"/>
      <c r="AU360" s="251"/>
      <c r="AV360" s="251"/>
      <c r="AW360" s="220"/>
    </row>
    <row r="361" spans="2:92" ht="12.95" customHeight="1" collapsed="1" x14ac:dyDescent="0.25">
      <c r="B361" s="2" t="s">
        <v>48</v>
      </c>
      <c r="D361" s="6"/>
      <c r="E361" s="6"/>
      <c r="F361" s="6"/>
      <c r="G361" s="6"/>
      <c r="H361" s="6"/>
      <c r="J361" s="6">
        <f>(J341*J342+J206*J207+J209*J210+J353*J354+J357*J358+J211*J212+J213*J214+J215*J216+J217*J218+J219*J220+J221*J222+J223*J224+J225*J226+J344*J345+J227*J228+J229*J230+J231*J232+J233*J234+J235*J236+J237*J238+J239*J240+J241*J242+J243*J244+J245*J246+J247*J248+J249*J250+J251*J252+J253*J254+J255*J256+J257*J258+J259*J260+J261*J262+J263*J264+J265*J266+J267*J268+J269*J270+J271*J272+J273*J274+J275*J276+J277*J278+J279*J280+J281*J282+J283*J284+J285*J286+J287*J288+J289*J290+J291*J292+J293*J294+J295*J296+J297*J298+J299*J300+J301*J302+J303*J304+J305*J306+J307*J308+J309*J310+J311*J312+J313*J314+J315*J316+J317*J318+J319*J320+J321*J322+J323*J324+J325*J326+J327*J328+J329*J330+J331*J332+J333*J334+J335*J336+J337*J338+J339*J340)/4</f>
        <v>94.846554147557327</v>
      </c>
      <c r="K361" s="6">
        <f t="shared" ref="K361:M361" si="4011">(K341*K342+K206*K207+K209*K210+K353*K354+K357*K358+K211*K212+K213*K214+K215*K216+K217*K218+K219*K220+K221*K222+K223*K224+K225*K226+K344*K345+K227*K228+K229*K230+K231*K232+K233*K234+K235*K236+K237*K238+K239*K240+K241*K242+K243*K244+K245*K246+K247*K248+K249*K250+K251*K252+K253*K254+K255*K256+K257*K258+K259*K260+K261*K262+K263*K264+K265*K266+K267*K268+K269*K270+K271*K272+K273*K274+K275*K276+K277*K278+K279*K280+K281*K282+K283*K284+K285*K286+K287*K288+K289*K290+K291*K292+K293*K294+K295*K296+K297*K298+K299*K300+K301*K302+K303*K304+K305*K306+K307*K308+K309*K310+K311*K312+K313*K314+K315*K316+K317*K318+K319*K320+K321*K322+K323*K324+K325*K326+K327*K328+K329*K330+K331*K332+K333*K334+K335*K336+K337*K338+K339*K340)/4</f>
        <v>94.977673440793552</v>
      </c>
      <c r="L361" s="6">
        <f t="shared" si="4011"/>
        <v>95.082865413013963</v>
      </c>
      <c r="M361" s="6">
        <f t="shared" si="4011"/>
        <v>94.843431214953256</v>
      </c>
      <c r="N361" s="6">
        <f>SUM(J361:M361)</f>
        <v>379.75052421631813</v>
      </c>
      <c r="P361" s="6">
        <f>(P341*P342+P206*P207+P209*P210+P353*P354+P357*P358+P211*P212+P213*P214+P215*P216+P217*P218+P219*P220+P221*P222+P223*P224+P225*P226+P344*P345+P227*P228+P229*P230+P231*P232+P233*P234+P235*P236+P237*P238+P239*P240+P241*P242+P243*P244+P245*P246+P247*P248+P249*P250+P251*P252+P253*P254+P255*P256+P257*P258+P259*P260+P261*P262+P263*P264+P265*P266+P267*P268+P269*P270+P271*P272+P273*P274+P275*P276+P277*P278+P279*P280+P281*P282+P283*P284+P285*P286+P287*P288+P289*P290+P291*P292+P293*P294+P295*P296+P297*P298+P299*P300+P301*P302+P303*P304+P305*P306+P307*P308+P309*P310+P311*P312+P313*P314+P315*P316+P317*P318+P319*P320+P321*P322+P323*P324+P325*P326+P327*P328+P329*P330+P331*P332+P333*P334+P335*P336+P337*P338+P339*P340)/4</f>
        <v>93.699721667535186</v>
      </c>
      <c r="Q361" s="6">
        <f t="shared" ref="Q361:S361" si="4012">(Q341*Q342+Q206*Q207+Q209*Q210+Q353*Q354+Q357*Q358+Q211*Q212+Q213*Q214+Q215*Q216+Q217*Q218+Q219*Q220+Q221*Q222+Q223*Q224+Q225*Q226+Q344*Q345+Q227*Q228+Q229*Q230+Q231*Q232+Q233*Q234+Q235*Q236+Q237*Q238+Q239*Q240+Q241*Q242+Q243*Q244+Q245*Q246+Q247*Q248+Q249*Q250+Q251*Q252+Q253*Q254+Q255*Q256+Q257*Q258+Q259*Q260+Q261*Q262+Q263*Q264+Q265*Q266+Q267*Q268+Q269*Q270+Q271*Q272+Q273*Q274+Q275*Q276+Q277*Q278+Q279*Q280+Q281*Q282+Q283*Q284+Q285*Q286+Q287*Q288+Q289*Q290+Q291*Q292+Q293*Q294+Q295*Q296+Q297*Q298+Q299*Q300+Q301*Q302+Q303*Q304+Q305*Q306+Q307*Q308+Q309*Q310+Q311*Q312+Q313*Q314+Q315*Q316+Q317*Q318+Q319*Q320+Q321*Q322+Q323*Q324+Q325*Q326+Q327*Q328+Q329*Q330+Q331*Q332+Q333*Q334+Q335*Q336+Q337*Q338+Q339*Q340)/4</f>
        <v>93.706646725709817</v>
      </c>
      <c r="R361" s="6">
        <f t="shared" si="4012"/>
        <v>98.031066892039263</v>
      </c>
      <c r="S361" s="6">
        <f t="shared" si="4012"/>
        <v>100.83943029398932</v>
      </c>
      <c r="T361" s="6">
        <f>SUM(P361:S361)</f>
        <v>386.27686557927359</v>
      </c>
      <c r="V361" s="6">
        <f>(V341*V342+V206*V207+V209*V210+V353*V354+V357*V358+V211*V212+V213*V214+V215*V216+V217*V218+V219*V220+V221*V222+V223*V224+V225*V226+V344*V345+V227*V228+V229*V230+V231*V232+V233*V234+V235*V236+V237*V238+V239*V240+V241*V242+V243*V244+V245*V246+V247*V248+V249*V250+V251*V252+V253*V254+V255*V256+V257*V258+V259*V260+V261*V262+V263*V264+V265*V266+V267*V268+V269*V270+V271*V272+V273*V274+V275*V276+V277*V278+V279*V280+V281*V282+V283*V284+V285*V286+V287*V288+V289*V290+V291*V292+V293*V294+V295*V296+V297*V298+V299*V300+V301*V302+V303*V304+V305*V306+V307*V308+V309*V310+V311*V312+V313*V314+V315*V316+V317*V318+V319*V320+V321*V322+V323*V324+V325*V326+V327*V328+V329*V330+V331*V332+V333*V334+V335*V336+V337*V338+V339*V340)/4</f>
        <v>100.79396932692309</v>
      </c>
      <c r="W361" s="6">
        <f t="shared" ref="W361:Y361" si="4013">(W341*W342+W206*W207+W209*W210+W353*W354+W357*W358+W211*W212+W213*W214+W215*W216+W217*W218+W219*W220+W221*W222+W223*W224+W225*W226+W344*W345+W227*W228+W229*W230+W231*W232+W233*W234+W235*W236+W237*W238+W239*W240+W241*W242+W243*W244+W245*W246+W247*W248+W249*W250+W251*W252+W253*W254+W255*W256+W257*W258+W259*W260+W261*W262+W263*W264+W265*W266+W267*W268+W269*W270+W271*W272+W273*W274+W275*W276+W277*W278+W279*W280+W281*W282+W283*W284+W285*W286+W287*W288+W289*W290+W291*W292+W293*W294+W295*W296+W297*W298+W299*W300+W301*W302+W303*W304+W305*W306+W307*W308+W309*W310+W311*W312+W313*W314+W315*W316+W317*W318+W319*W320+W321*W322+W323*W324+W325*W326+W327*W328+W329*W330+W331*W332+W333*W334+W335*W336+W337*W338+W339*W340)/4</f>
        <v>115.7009244990124</v>
      </c>
      <c r="X361" s="6">
        <f t="shared" si="4013"/>
        <v>115.74964203962705</v>
      </c>
      <c r="Y361" s="6">
        <f t="shared" si="4013"/>
        <v>115.86389207700554</v>
      </c>
      <c r="Z361" s="6">
        <f>SUM(V361:Y361)</f>
        <v>448.10842794256803</v>
      </c>
      <c r="AB361" s="6">
        <f>(AB341*AB342+AB206*AB207+AB209*AB210+AB353*AB354+AB357*AB358+AB211*AB212+AB213*AB214+AB215*AB216+AB217*AB218+AB219*AB220+AB221*AB222+AB223*AB224+AB225*AB226+AB344*AB345+AB227*AB228+AB229*AB230+AB231*AB232+AB233*AB234+AB235*AB236+AB237*AB238+AB239*AB240+AB241*AB242+AB243*AB244+AB245*AB246+AB247*AB248+AB249*AB250+AB251*AB252+AB253*AB254+AB255*AB256+AB257*AB258+AB259*AB260+AB261*AB262+AB263*AB264+AB265*AB266+AB267*AB268+AB269*AB270+AB271*AB272+AB273*AB274+AB275*AB276+AB277*AB278+AB279*AB280+AB281*AB282+AB283*AB284+AB285*AB286+AB287*AB288+AB289*AB290+AB291*AB292+AB293*AB294+AB295*AB296+AB297*AB298+AB299*AB300+AB301*AB302+AB303*AB304+AB305*AB306+AB307*AB308+AB309*AB310+AB311*AB312+AB313*AB314+AB315*AB316+AB317*AB318+AB319*AB320+AB321*AB322+AB323*AB324+AB325*AB326+AB327*AB328+AB329*AB330+AB331*AB332+AB333*AB334+AB335*AB336+AB337*AB338+AB339*AB340)/4</f>
        <v>115.50490531326173</v>
      </c>
      <c r="AC361" s="6">
        <f t="shared" ref="AC361:AE361" si="4014">(AC341*AC342+AC206*AC207+AC209*AC210+AC353*AC354+AC357*AC358+AC211*AC212+AC213*AC214+AC215*AC216+AC217*AC218+AC219*AC220+AC221*AC222+AC223*AC224+AC225*AC226+AC344*AC345+AC227*AC228+AC229*AC230+AC231*AC232+AC233*AC234+AC235*AC236+AC237*AC238+AC239*AC240+AC241*AC242+AC243*AC244+AC245*AC246+AC247*AC248+AC249*AC250+AC251*AC252+AC253*AC254+AC255*AC256+AC257*AC258+AC259*AC260+AC261*AC262+AC263*AC264+AC265*AC266+AC267*AC268+AC269*AC270+AC271*AC272+AC273*AC274+AC275*AC276+AC277*AC278+AC279*AC280+AC281*AC282+AC283*AC284+AC285*AC286+AC287*AC288+AC289*AC290+AC291*AC292+AC293*AC294+AC295*AC296+AC297*AC298+AC299*AC300+AC301*AC302+AC303*AC304+AC305*AC306+AC307*AC308+AC309*AC310+AC311*AC312+AC313*AC314+AC315*AC316+AC317*AC318+AC319*AC320+AC321*AC322+AC323*AC324+AC325*AC326+AC327*AC328+AC329*AC330+AC331*AC332+AC333*AC334+AC335*AC336+AC337*AC338+AC339*AC340)/4</f>
        <v>109.27640456680905</v>
      </c>
      <c r="AD361" s="6">
        <f t="shared" si="4014"/>
        <v>109.45746008846859</v>
      </c>
      <c r="AE361" s="6">
        <f t="shared" si="4014"/>
        <v>98.356391155607554</v>
      </c>
      <c r="AF361" s="6">
        <f>SUM(AB361:AE361)</f>
        <v>432.5951611241469</v>
      </c>
      <c r="AH361" s="6">
        <f>(AH341*AH342+AH206*AH207+AH209*AH210+AH353*AH354+AH357*AH358+AH211*AH212+AH213*AH214+AH215*AH216+AH217*AH218+AH219*AH220+AH221*AH222+AH223*AH224+AH225*AH226+AH344*AH345+AH227*AH228+AH229*AH230+AH231*AH232+AH233*AH234+AH235*AH236+AH237*AH238+AH239*AH240+AH241*AH242+AH243*AH244+AH245*AH246+AH247*AH248+AH249*AH250+AH251*AH252+AH253*AH254+AH255*AH256+AH257*AH258+AH259*AH260+AH261*AH262+AH263*AH264+AH265*AH266+AH267*AH268+AH269*AH270+AH271*AH272+AH273*AH274+AH275*AH276+AH277*AH278+AH279*AH280+AH281*AH282+AH283*AH284+AH285*AH286+AH287*AH288+AH289*AH290+AH291*AH292+AH293*AH294+AH295*AH296+AH297*AH298+AH299*AH300+AH301*AH302+AH303*AH304+AH305*AH306+AH307*AH308+AH309*AH310+AH311*AH312+AH313*AH314+AH315*AH316+AH317*AH318+AH319*AH320+AH321*AH322+AH323*AH324+AH325*AH326+AH327*AH328+AH329*AH330+AH331*AH332+AH333*AH334+AH335*AH336+AH337*AH338+AH339*AH340)/4</f>
        <v>98.248420358747808</v>
      </c>
      <c r="AI361" s="6">
        <f t="shared" ref="AI361:AK361" si="4015">(AI341*AI342+AI206*AI207+AI209*AI210+AI353*AI354+AI357*AI358+AI211*AI212+AI213*AI214+AI215*AI216+AI217*AI218+AI219*AI220+AI221*AI222+AI223*AI224+AI225*AI226+AI344*AI345+AI227*AI228+AI229*AI230+AI231*AI232+AI233*AI234+AI235*AI236+AI237*AI238+AI239*AI240+AI241*AI242+AI243*AI244+AI245*AI246+AI247*AI248+AI249*AI250+AI251*AI252+AI253*AI254+AI255*AI256+AI257*AI258+AI259*AI260+AI261*AI262+AI263*AI264+AI265*AI266+AI267*AI268+AI269*AI270+AI271*AI272+AI273*AI274+AI275*AI276+AI277*AI278+AI279*AI280+AI281*AI282+AI283*AI284+AI285*AI286+AI287*AI288+AI289*AI290+AI291*AI292+AI293*AI294+AI295*AI296+AI297*AI298+AI299*AI300+AI301*AI302+AI303*AI304+AI305*AI306+AI307*AI308+AI309*AI310+AI311*AI312+AI313*AI314+AI315*AI316+AI317*AI318+AI319*AI320+AI321*AI322+AI323*AI324+AI325*AI326+AI327*AI328+AI329*AI330+AI331*AI332+AI333*AI334+AI335*AI336+AI337*AI338+AI339*AI340)/4</f>
        <v>98.113920247613663</v>
      </c>
      <c r="AJ361" s="6">
        <f t="shared" si="4015"/>
        <v>97.809966208739866</v>
      </c>
      <c r="AK361" s="6">
        <f t="shared" si="4015"/>
        <v>96.635111820348101</v>
      </c>
      <c r="AL361" s="6">
        <f>SUM(AH361:AK361)</f>
        <v>390.80741863544949</v>
      </c>
      <c r="AN361" s="6">
        <f>(AN341*AN342+AN206*AN207+AN209*AN210+AN353*AN354+AN357*AN358+AN211*AN212+AN213*AN214+AN215*AN216+AN217*AN218+AN219*AN220+AN221*AN222+AN223*AN224+AN225*AN226+AN344*AN345+AN227*AN228+AN229*AN230+AN231*AN232+AN233*AN234+AN235*AN236+AN237*AN238+AN239*AN240+AN241*AN242+AN243*AN244+AN245*AN246+AN247*AN248+AN249*AN250+AN251*AN252+AN253*AN254+AN255*AN256+AN257*AN258+AN259*AN260+AN261*AN262+AN263*AN264+AN265*AN266+AN267*AN268+AN269*AN270+AN271*AN272+AN273*AN274+AN275*AN276+AN277*AN278+AN279*AN280+AN281*AN282+AN283*AN284+AN285*AN286+AN287*AN288+AN289*AN290+AN291*AN292+AN293*AN294+AN295*AN296+AN297*AN298+AN299*AN300+AN301*AN302+AN303*AN304+AN305*AN306+AN307*AN308+AN309*AN310+AN311*AN312+AN313*AN314+AN315*AN316+AN317*AN318+AN319*AN320+AN321*AN322+AN323*AN324+AN325*AN326+AN327*AN328+AN329*AN330+AN331*AN332+AN333*AN334+AN335*AN336+AN337*AN338+AN339*AN340)/4</f>
        <v>96.561437320278401</v>
      </c>
      <c r="AO361" s="243">
        <f t="shared" ref="AO361:AQ361" si="4016">(AO341*AO342+AO206*AO207+AO209*AO210+AO353*AO354+AO357*AO358+AO211*AO212+AO213*AO214+AO215*AO216+AO217*AO218+AO219*AO220+AO221*AO222+AO223*AO224+AO225*AO226+AO344*AO345+AO227*AO228+AO229*AO230+AO231*AO232+AO233*AO234+AO235*AO236+AO237*AO238+AO239*AO240+AO241*AO242+AO243*AO244+AO245*AO246+AO247*AO248+AO249*AO250+AO251*AO252+AO253*AO254+AO255*AO256+AO257*AO258+AO259*AO260+AO261*AO262+AO263*AO264+AO265*AO266+AO267*AO268+AO269*AO270+AO271*AO272+AO273*AO274+AO275*AO276+AO277*AO278+AO279*AO280+AO281*AO282+AO283*AO284+AO285*AO286+AO287*AO288+AO289*AO290+AO291*AO292+AO293*AO294+AO295*AO296+AO297*AO298+AO299*AO300+AO301*AO302+AO303*AO304+AO305*AO306+AO307*AO308+AO309*AO310+AO311*AO312+AO313*AO314+AO315*AO316+AO317*AO318+AO319*AO320+AO321*AO322+AO323*AO324+AO325*AO326+AO327*AO328+AO329*AO330+AO331*AO332+AO333*AO334+AO335*AO336+AO337*AO338+AO339*AO340)/4</f>
        <v>96.530942617500244</v>
      </c>
      <c r="AP361" s="6">
        <f t="shared" si="4016"/>
        <v>96.315406037108744</v>
      </c>
      <c r="AQ361" s="243">
        <f t="shared" si="4016"/>
        <v>91.670134837125147</v>
      </c>
      <c r="AR361" s="243">
        <f>SUM(AN361:AQ361)</f>
        <v>381.07792081201251</v>
      </c>
      <c r="AT361" s="6">
        <f>(AT341*AT342+AT206*AT207+AT209*AT210+AT353*AT354+AT357*AT358+AT211*AT212+AT213*AT214+AT215*AT216+AT217*AT218+AT219*AT220+AT221*AT222+AT223*AT224+AT225*AT226+AT344*AT345+AT227*AT228+AT229*AT230+AT231*AT232+AT233*AT234+AT235*AT236+AT237*AT238+AT239*AT240+AT241*AT242+AT243*AT244+AT245*AT246+AT247*AT248+AT249*AT250+AT251*AT252+AT253*AT254+AT255*AT256+AT257*AT258+AT259*AT260+AT261*AT262+AT263*AT264+AT265*AT266+AT267*AT268+AT269*AT270+AT271*AT272+AT273*AT274+AT275*AT276+AT277*AT278+AT279*AT280+AT281*AT282+AT283*AT284+AT285*AT286+AT287*AT288+AT289*AT290+AT291*AT292+AT293*AT294+AT295*AT296+AT297*AT298+AT299*AT300+AT301*AT302+AT303*AT304+AT305*AT306+AT307*AT308+AT309*AT310+AT311*AT312+AT313*AT314+AT315*AT316+AT317*AT318+AT319*AT320+AT321*AT322+AT323*AT324+AT325*AT326+AT327*AT328+AT329*AT330+AT331*AT332+AT333*AT334+AT335*AT336+AT337*AT338+AT339*AT340)/4</f>
        <v>92.019053463792929</v>
      </c>
      <c r="AU361" s="243">
        <f t="shared" ref="AU361:AW361" si="4017">(AU341*AU342+AU206*AU207+AU209*AU210+AU353*AU354+AU357*AU358+AU211*AU212+AU213*AU214+AU215*AU216+AU217*AU218+AU219*AU220+AU221*AU222+AU223*AU224+AU225*AU226+AU344*AU345+AU227*AU228+AU229*AU230+AU231*AU232+AU233*AU234+AU235*AU236+AU237*AU238+AU239*AU240+AU241*AU242+AU243*AU244+AU245*AU246+AU247*AU248+AU249*AU250+AU251*AU252+AU253*AU254+AU255*AU256+AU257*AU258+AU259*AU260+AU261*AU262+AU263*AU264+AU265*AU266+AU267*AU268+AU269*AU270+AU271*AU272+AU273*AU274+AU275*AU276+AU277*AU278+AU279*AU280+AU281*AU282+AU283*AU284+AU285*AU286+AU287*AU288+AU289*AU290+AU291*AU292+AU293*AU294+AU295*AU296+AU297*AU298+AU299*AU300+AU301*AU302+AU303*AU304+AU305*AU306+AU307*AU308+AU309*AU310+AU311*AU312+AU313*AU314+AU315*AU316+AU317*AU318+AU319*AU320+AU321*AU322+AU323*AU324+AU325*AU326+AU327*AU328+AU329*AU330+AU331*AU332+AU333*AU334+AU335*AU336+AU337*AU338+AU339*AU340)/4</f>
        <v>88.353717413294802</v>
      </c>
      <c r="AV361" s="243">
        <f t="shared" si="4017"/>
        <v>88.826015186703103</v>
      </c>
      <c r="AW361" s="164">
        <f t="shared" si="4017"/>
        <v>88.826015186703103</v>
      </c>
      <c r="AX361" s="6">
        <f>SUM(AT361:AW361)</f>
        <v>358.02480125049397</v>
      </c>
      <c r="AZ361" s="6">
        <f>(AZ341*AZ342+AZ206*AZ207+AZ209*AZ210+AZ353*AZ354+AZ357*AZ358+AZ211*AZ212+AZ213*AZ214+AZ215*AZ216+AZ217*AZ218+AZ219*AZ220+AZ221*AZ222+AZ223*AZ224+AZ225*AZ226+AZ344*AZ345+AZ227*AZ228+AZ229*AZ230+AZ231*AZ232+AZ233*AZ234+AZ235*AZ236+AZ237*AZ238+AZ239*AZ240+AZ241*AZ242+AZ243*AZ244+AZ245*AZ246+AZ247*AZ248+AZ249*AZ250+AZ251*AZ252+AZ253*AZ254+AZ255*AZ256+AZ257*AZ258+AZ259*AZ260+AZ261*AZ262+AZ263*AZ264+AZ265*AZ266+AZ267*AZ268+AZ269*AZ270+AZ271*AZ272+AZ273*AZ274+AZ275*AZ276+AZ277*AZ278+AZ279*AZ280+AZ281*AZ282+AZ283*AZ284+AZ285*AZ286+AZ287*AZ288+AZ289*AZ290+AZ291*AZ292+AZ293*AZ294+AZ295*AZ296+AZ297*AZ298+AZ299*AZ300+AZ301*AZ302+AZ303*AZ304+AZ305*AZ306+AZ307*AZ308+AZ309*AZ310+AZ311*AZ312+AZ313*AZ314+AZ315*AZ316+AZ317*AZ318+AZ319*AZ320+AZ321*AZ322+AZ323*AZ324+AZ325*AZ326+AZ327*AZ328+AZ329*AZ330+AZ331*AZ332+AZ333*AZ334+AZ335*AZ336+AZ337*AZ338+AZ339*AZ340)/4</f>
        <v>88.310162500000004</v>
      </c>
      <c r="BA361" s="6">
        <f t="shared" ref="BA361:BC361" si="4018">(BA341*BA342+BA206*BA207+BA209*BA210+BA353*BA354+BA357*BA358+BA211*BA212+BA213*BA214+BA215*BA216+BA217*BA218+BA219*BA220+BA221*BA222+BA223*BA224+BA225*BA226+BA344*BA345+BA227*BA228+BA229*BA230+BA231*BA232+BA233*BA234+BA235*BA236+BA237*BA238+BA239*BA240+BA241*BA242+BA243*BA244+BA245*BA246+BA247*BA248+BA249*BA250+BA251*BA252+BA253*BA254+BA255*BA256+BA257*BA258+BA259*BA260+BA261*BA262+BA263*BA264+BA265*BA266+BA267*BA268+BA269*BA270+BA271*BA272+BA273*BA274+BA275*BA276+BA277*BA278+BA279*BA280+BA281*BA282+BA283*BA284+BA285*BA286+BA287*BA288+BA289*BA290+BA291*BA292+BA293*BA294+BA295*BA296+BA297*BA298+BA299*BA300+BA301*BA302+BA303*BA304+BA305*BA306+BA307*BA308+BA309*BA310+BA311*BA312+BA313*BA314+BA315*BA316+BA317*BA318+BA319*BA320+BA321*BA322+BA323*BA324+BA325*BA326+BA327*BA328+BA329*BA330+BA331*BA332+BA333*BA334+BA335*BA336+BA337*BA338+BA339*BA340)/4</f>
        <v>88.310162500000004</v>
      </c>
      <c r="BB361" s="6">
        <f t="shared" si="4018"/>
        <v>88.310162500000004</v>
      </c>
      <c r="BC361" s="6">
        <f t="shared" si="4018"/>
        <v>88.310162500000004</v>
      </c>
      <c r="BD361" s="6">
        <f>SUM(AZ361:BC361)</f>
        <v>353.24065000000002</v>
      </c>
      <c r="BF361" s="6">
        <f>(BF341*BF342+BF206*BF207+BF209*BF210+BF353*BF354+BF357*BF358+BF211*BF212+BF213*BF214+BF215*BF216+BF217*BF218+BF219*BF220+BF221*BF222+BF223*BF224+BF225*BF226+BF344*BF345+BF227*BF228+BF229*BF230+BF231*BF232+BF233*BF234+BF235*BF236+BF237*BF238+BF239*BF240+BF241*BF242+BF243*BF244+BF245*BF246+BF247*BF248+BF249*BF250+BF251*BF252+BF253*BF254+BF255*BF256+BF257*BF258+BF259*BF260+BF261*BF262+BF263*BF264+BF265*BF266+BF267*BF268+BF269*BF270+BF271*BF272+BF273*BF274+BF275*BF276+BF277*BF278+BF279*BF280+BF281*BF282+BF283*BF284+BF285*BF286+BF287*BF288+BF289*BF290+BF291*BF292+BF293*BF294+BF295*BF296+BF297*BF298+BF299*BF300+BF301*BF302+BF303*BF304+BF305*BF306+BF307*BF308+BF309*BF310+BF311*BF312+BF313*BF314+BF315*BF316+BF317*BF318+BF319*BF320+BF321*BF322+BF323*BF324+BF325*BF326+BF327*BF328+BF329*BF330+BF331*BF332+BF333*BF334+BF335*BF336+BF337*BF338+BF339*BF340)/4</f>
        <v>88.310162500000004</v>
      </c>
      <c r="BG361" s="6">
        <f t="shared" ref="BG361:BI361" si="4019">(BG341*BG342+BG206*BG207+BG209*BG210+BG353*BG354+BG357*BG358+BG211*BG212+BG213*BG214+BG215*BG216+BG217*BG218+BG219*BG220+BG221*BG222+BG223*BG224+BG225*BG226+BG344*BG345+BG227*BG228+BG229*BG230+BG231*BG232+BG233*BG234+BG235*BG236+BG237*BG238+BG239*BG240+BG241*BG242+BG243*BG244+BG245*BG246+BG247*BG248+BG249*BG250+BG251*BG252+BG253*BG254+BG255*BG256+BG257*BG258+BG259*BG260+BG261*BG262+BG263*BG264+BG265*BG266+BG267*BG268+BG269*BG270+BG271*BG272+BG273*BG274+BG275*BG276+BG277*BG278+BG279*BG280+BG281*BG282+BG283*BG284+BG285*BG286+BG287*BG288+BG289*BG290+BG291*BG292+BG293*BG294+BG295*BG296+BG297*BG298+BG299*BG300+BG301*BG302+BG303*BG304+BG305*BG306+BG307*BG308+BG309*BG310+BG311*BG312+BG313*BG314+BG315*BG316+BG317*BG318+BG319*BG320+BG321*BG322+BG323*BG324+BG325*BG326+BG327*BG328+BG329*BG330+BG331*BG332+BG333*BG334+BG335*BG336+BG337*BG338+BG339*BG340)/4</f>
        <v>88.310162500000004</v>
      </c>
      <c r="BH361" s="6">
        <f t="shared" si="4019"/>
        <v>88.310162500000004</v>
      </c>
      <c r="BI361" s="6">
        <f t="shared" si="4019"/>
        <v>88.310162500000004</v>
      </c>
      <c r="BJ361" s="6">
        <f>SUM(BF361:BI361)</f>
        <v>353.24065000000002</v>
      </c>
      <c r="BL361" s="6">
        <f>(BL341*BL342+BL206*BL207+BL209*BL210+BL353*BL354+BL357*BL358+BL211*BL212+BL213*BL214+BL215*BL216+BL217*BL218+BL219*BL220+BL221*BL222+BL223*BL224+BL225*BL226+BL344*BL345+BL227*BL228+BL229*BL230+BL231*BL232+BL233*BL234+BL235*BL236+BL237*BL238+BL239*BL240+BL241*BL242+BL243*BL244+BL245*BL246+BL247*BL248+BL249*BL250+BL251*BL252+BL253*BL254+BL255*BL256+BL257*BL258+BL259*BL260+BL261*BL262+BL263*BL264+BL265*BL266+BL267*BL268+BL269*BL270+BL271*BL272+BL273*BL274+BL275*BL276+BL277*BL278+BL279*BL280+BL281*BL282+BL283*BL284+BL285*BL286+BL287*BL288+BL289*BL290+BL291*BL292+BL293*BL294+BL295*BL296+BL297*BL298+BL299*BL300+BL301*BL302+BL303*BL304+BL305*BL306+BL307*BL308+BL309*BL310+BL311*BL312+BL313*BL314+BL315*BL316+BL317*BL318+BL319*BL320+BL321*BL322+BL323*BL324+BL325*BL326+BL327*BL328+BL329*BL330+BL331*BL332+BL333*BL334+BL335*BL336+BL337*BL338+BL339*BL340)/4</f>
        <v>88.310162500000004</v>
      </c>
      <c r="BM361" s="6">
        <f t="shared" ref="BM361:BO361" si="4020">(BM341*BM342+BM206*BM207+BM209*BM210+BM353*BM354+BM357*BM358+BM211*BM212+BM213*BM214+BM215*BM216+BM217*BM218+BM219*BM220+BM221*BM222+BM223*BM224+BM225*BM226+BM344*BM345+BM227*BM228+BM229*BM230+BM231*BM232+BM233*BM234+BM235*BM236+BM237*BM238+BM239*BM240+BM241*BM242+BM243*BM244+BM245*BM246+BM247*BM248+BM249*BM250+BM251*BM252+BM253*BM254+BM255*BM256+BM257*BM258+BM259*BM260+BM261*BM262+BM263*BM264+BM265*BM266+BM267*BM268+BM269*BM270+BM271*BM272+BM273*BM274+BM275*BM276+BM277*BM278+BM279*BM280+BM281*BM282+BM283*BM284+BM285*BM286+BM287*BM288+BM289*BM290+BM291*BM292+BM293*BM294+BM295*BM296+BM297*BM298+BM299*BM300+BM301*BM302+BM303*BM304+BM305*BM306+BM307*BM308+BM309*BM310+BM311*BM312+BM313*BM314+BM315*BM316+BM317*BM318+BM319*BM320+BM321*BM322+BM323*BM324+BM325*BM326+BM327*BM328+BM329*BM330+BM331*BM332+BM333*BM334+BM335*BM336+BM337*BM338+BM339*BM340)/4</f>
        <v>88.310162500000004</v>
      </c>
      <c r="BN361" s="6">
        <f t="shared" si="4020"/>
        <v>88.310162500000004</v>
      </c>
      <c r="BO361" s="6">
        <f t="shared" si="4020"/>
        <v>88.310162500000004</v>
      </c>
      <c r="BP361" s="6">
        <f>SUM(BL361:BO361)</f>
        <v>353.24065000000002</v>
      </c>
      <c r="BR361" s="6">
        <f>(BR341*BR342+BR206*BR207+BR209*BR210+BR353*BR354+BR357*BR358+BR211*BR212+BR213*BR214+BR215*BR216+BR217*BR218+BR219*BR220+BR221*BR222+BR223*BR224+BR225*BR226+BR344*BR345+BR227*BR228+BR229*BR230+BR231*BR232+BR233*BR234+BR235*BR236+BR237*BR238+BR239*BR240+BR241*BR242+BR243*BR244+BR245*BR246+BR247*BR248+BR249*BR250+BR251*BR252+BR253*BR254+BR255*BR256+BR257*BR258+BR259*BR260+BR261*BR262+BR263*BR264+BR265*BR266+BR267*BR268+BR269*BR270+BR271*BR272+BR273*BR274+BR275*BR276+BR277*BR278+BR279*BR280+BR281*BR282+BR283*BR284+BR285*BR286+BR287*BR288+BR289*BR290+BR291*BR292+BR293*BR294+BR295*BR296+BR297*BR298+BR299*BR300+BR301*BR302+BR303*BR304+BR305*BR306+BR307*BR308+BR309*BR310+BR311*BR312+BR313*BR314+BR315*BR316+BR317*BR318+BR319*BR320+BR321*BR322+BR323*BR324+BR325*BR326+BR327*BR328+BR329*BR330+BR331*BR332+BR333*BR334+BR335*BR336+BR337*BR338+BR339*BR340)/4</f>
        <v>88.310162500000004</v>
      </c>
      <c r="BS361" s="6">
        <f t="shared" ref="BS361:BU361" si="4021">(BS341*BS342+BS206*BS207+BS209*BS210+BS353*BS354+BS357*BS358+BS211*BS212+BS213*BS214+BS215*BS216+BS217*BS218+BS219*BS220+BS221*BS222+BS223*BS224+BS225*BS226+BS344*BS345+BS227*BS228+BS229*BS230+BS231*BS232+BS233*BS234+BS235*BS236+BS237*BS238+BS239*BS240+BS241*BS242+BS243*BS244+BS245*BS246+BS247*BS248+BS249*BS250+BS251*BS252+BS253*BS254+BS255*BS256+BS257*BS258+BS259*BS260+BS261*BS262+BS263*BS264+BS265*BS266+BS267*BS268+BS269*BS270+BS271*BS272+BS273*BS274+BS275*BS276+BS277*BS278+BS279*BS280+BS281*BS282+BS283*BS284+BS285*BS286+BS287*BS288+BS289*BS290+BS291*BS292+BS293*BS294+BS295*BS296+BS297*BS298+BS299*BS300+BS301*BS302+BS303*BS304+BS305*BS306+BS307*BS308+BS309*BS310+BS311*BS312+BS313*BS314+BS315*BS316+BS317*BS318+BS319*BS320+BS321*BS322+BS323*BS324+BS325*BS326+BS327*BS328+BS329*BS330+BS331*BS332+BS333*BS334+BS335*BS336+BS337*BS338+BS339*BS340)/4</f>
        <v>88.310162500000004</v>
      </c>
      <c r="BT361" s="6">
        <f t="shared" si="4021"/>
        <v>88.310162500000004</v>
      </c>
      <c r="BU361" s="6">
        <f t="shared" si="4021"/>
        <v>88.310162500000004</v>
      </c>
      <c r="BV361" s="6">
        <f>SUM(BR361:BU361)</f>
        <v>353.24065000000002</v>
      </c>
      <c r="BX361" s="6">
        <f>(BX341*BX342+BX206*BX207+BX209*BX210+BX353*BX354+BX357*BX358+BX211*BX212+BX213*BX214+BX215*BX216+BX217*BX218+BX219*BX220+BX221*BX222+BX223*BX224+BX225*BX226+BX344*BX345+BX227*BX228+BX229*BX230+BX231*BX232+BX233*BX234+BX235*BX236+BX237*BX238+BX239*BX240+BX241*BX242+BX243*BX244+BX245*BX246+BX247*BX248+BX249*BX250+BX251*BX252+BX253*BX254+BX255*BX256+BX257*BX258+BX259*BX260+BX261*BX262+BX263*BX264+BX265*BX266+BX267*BX268+BX269*BX270+BX271*BX272+BX273*BX274+BX275*BX276+BX277*BX278+BX279*BX280+BX281*BX282+BX283*BX284+BX285*BX286+BX287*BX288+BX289*BX290+BX291*BX292+BX293*BX294+BX295*BX296+BX297*BX298+BX299*BX300+BX301*BX302+BX303*BX304+BX305*BX306+BX307*BX308+BX309*BX310+BX311*BX312+BX313*BX314+BX315*BX316+BX317*BX318+BX319*BX320+BX321*BX322+BX323*BX324+BX325*BX326+BX327*BX328+BX329*BX330+BX331*BX332+BX333*BX334+BX335*BX336+BX337*BX338+BX339*BX340)/4</f>
        <v>88.310162500000004</v>
      </c>
      <c r="BY361" s="6">
        <f t="shared" ref="BY361:CA361" si="4022">(BY341*BY342+BY206*BY207+BY209*BY210+BY353*BY354+BY357*BY358+BY211*BY212+BY213*BY214+BY215*BY216+BY217*BY218+BY219*BY220+BY221*BY222+BY223*BY224+BY225*BY226+BY344*BY345+BY227*BY228+BY229*BY230+BY231*BY232+BY233*BY234+BY235*BY236+BY237*BY238+BY239*BY240+BY241*BY242+BY243*BY244+BY245*BY246+BY247*BY248+BY249*BY250+BY251*BY252+BY253*BY254+BY255*BY256+BY257*BY258+BY259*BY260+BY261*BY262+BY263*BY264+BY265*BY266+BY267*BY268+BY269*BY270+BY271*BY272+BY273*BY274+BY275*BY276+BY277*BY278+BY279*BY280+BY281*BY282+BY283*BY284+BY285*BY286+BY287*BY288+BY289*BY290+BY291*BY292+BY293*BY294+BY295*BY296+BY297*BY298+BY299*BY300+BY301*BY302+BY303*BY304+BY305*BY306+BY307*BY308+BY309*BY310+BY311*BY312+BY313*BY314+BY315*BY316+BY317*BY318+BY319*BY320+BY321*BY322+BY323*BY324+BY325*BY326+BY327*BY328+BY329*BY330+BY331*BY332+BY333*BY334+BY335*BY336+BY337*BY338+BY339*BY340)/4</f>
        <v>85.113600000000005</v>
      </c>
      <c r="BZ361" s="6">
        <f t="shared" si="4022"/>
        <v>85.113600000000005</v>
      </c>
      <c r="CA361" s="6">
        <f t="shared" si="4022"/>
        <v>85.113600000000005</v>
      </c>
      <c r="CB361" s="6">
        <f>SUM(BX361:CA361)</f>
        <v>343.65096250000005</v>
      </c>
      <c r="CD361" s="6">
        <f>(CD341*CD342+CD206*CD207+CD209*CD210+CD353*CD354+CD357*CD358+CD211*CD212+CD213*CD214+CD215*CD216+CD217*CD218+CD219*CD220+CD221*CD222+CD223*CD224+CD225*CD226+CD344*CD345+CD227*CD228+CD229*CD230+CD231*CD232+CD233*CD234+CD235*CD236+CD237*CD238+CD239*CD240+CD241*CD242+CD243*CD244+CD245*CD246+CD247*CD248+CD249*CD250+CD251*CD252+CD253*CD254+CD255*CD256+CD257*CD258+CD259*CD260+CD261*CD262+CD263*CD264+CD265*CD266+CD267*CD268+CD269*CD270+CD271*CD272+CD273*CD274+CD275*CD276+CD277*CD278+CD279*CD280+CD281*CD282+CD283*CD284+CD285*CD286+CD287*CD288+CD289*CD290+CD291*CD292+CD293*CD294+CD295*CD296+CD297*CD298+CD299*CD300+CD301*CD302+CD303*CD304+CD305*CD306+CD307*CD308+CD309*CD310+CD311*CD312+CD313*CD314+CD315*CD316+CD317*CD318+CD319*CD320+CD321*CD322+CD323*CD324+CD325*CD326+CD327*CD328+CD329*CD330+CD331*CD332+CD333*CD334+CD335*CD336+CD337*CD338+CD339*CD340)/4</f>
        <v>85.113600000000005</v>
      </c>
      <c r="CE361" s="6">
        <f t="shared" ref="CE361:CG361" si="4023">(CE341*CE342+CE206*CE207+CE209*CE210+CE353*CE354+CE357*CE358+CE211*CE212+CE213*CE214+CE215*CE216+CE217*CE218+CE219*CE220+CE221*CE222+CE223*CE224+CE225*CE226+CE344*CE345+CE227*CE228+CE229*CE230+CE231*CE232+CE233*CE234+CE235*CE236+CE237*CE238+CE239*CE240+CE241*CE242+CE243*CE244+CE245*CE246+CE247*CE248+CE249*CE250+CE251*CE252+CE253*CE254+CE255*CE256+CE257*CE258+CE259*CE260+CE261*CE262+CE263*CE264+CE265*CE266+CE267*CE268+CE269*CE270+CE271*CE272+CE273*CE274+CE275*CE276+CE277*CE278+CE279*CE280+CE281*CE282+CE283*CE284+CE285*CE286+CE287*CE288+CE289*CE290+CE291*CE292+CE293*CE294+CE295*CE296+CE297*CE298+CE299*CE300+CE301*CE302+CE303*CE304+CE305*CE306+CE307*CE308+CE309*CE310+CE311*CE312+CE313*CE314+CE315*CE316+CE317*CE318+CE319*CE320+CE321*CE322+CE323*CE324+CE325*CE326+CE327*CE328+CE329*CE330+CE331*CE332+CE333*CE334+CE335*CE336+CE337*CE338+CE339*CE340)/4</f>
        <v>85.113600000000005</v>
      </c>
      <c r="CF361" s="6">
        <f t="shared" si="4023"/>
        <v>85.113600000000005</v>
      </c>
      <c r="CG361" s="6">
        <f t="shared" si="4023"/>
        <v>85.113600000000005</v>
      </c>
      <c r="CH361" s="6">
        <f>SUM(CD361:CG361)</f>
        <v>340.45440000000002</v>
      </c>
      <c r="CJ361" s="6">
        <f>(CJ341*CJ342+CJ206*CJ207+CJ209*CJ210+CJ353*CJ354+CJ357*CJ358+CJ211*CJ212+CJ213*CJ214+CJ215*CJ216+CJ217*CJ218+CJ219*CJ220+CJ221*CJ222+CJ223*CJ224+CJ225*CJ226+CJ344*CJ345+CJ227*CJ228+CJ229*CJ230+CJ231*CJ232+CJ233*CJ234+CJ235*CJ236+CJ237*CJ238+CJ239*CJ240+CJ241*CJ242+CJ243*CJ244+CJ245*CJ246+CJ247*CJ248+CJ249*CJ250+CJ251*CJ252+CJ253*CJ254+CJ255*CJ256+CJ257*CJ258+CJ259*CJ260+CJ261*CJ262+CJ263*CJ264+CJ265*CJ266+CJ267*CJ268+CJ269*CJ270+CJ271*CJ272+CJ273*CJ274+CJ275*CJ276+CJ277*CJ278+CJ279*CJ280+CJ281*CJ282+CJ283*CJ284+CJ285*CJ286+CJ287*CJ288+CJ289*CJ290+CJ291*CJ292+CJ293*CJ294+CJ295*CJ296+CJ297*CJ298+CJ299*CJ300+CJ301*CJ302+CJ303*CJ304+CJ305*CJ306+CJ307*CJ308+CJ309*CJ310+CJ311*CJ312+CJ313*CJ314+CJ315*CJ316+CJ317*CJ318+CJ319*CJ320+CJ321*CJ322+CJ323*CJ324+CJ325*CJ326+CJ327*CJ328+CJ329*CJ330+CJ331*CJ332+CJ333*CJ334+CJ335*CJ336+CJ337*CJ338+CJ339*CJ340)/4</f>
        <v>82.762350000000012</v>
      </c>
      <c r="CK361" s="6">
        <f t="shared" ref="CK361:CM361" si="4024">(CK341*CK342+CK206*CK207+CK209*CK210+CK353*CK354+CK357*CK358+CK211*CK212+CK213*CK214+CK215*CK216+CK217*CK218+CK219*CK220+CK221*CK222+CK223*CK224+CK225*CK226+CK344*CK345+CK227*CK228+CK229*CK230+CK231*CK232+CK233*CK234+CK235*CK236+CK237*CK238+CK239*CK240+CK241*CK242+CK243*CK244+CK245*CK246+CK247*CK248+CK249*CK250+CK251*CK252+CK253*CK254+CK255*CK256+CK257*CK258+CK259*CK260+CK261*CK262+CK263*CK264+CK265*CK266+CK267*CK268+CK269*CK270+CK271*CK272+CK273*CK274+CK275*CK276+CK277*CK278+CK279*CK280+CK281*CK282+CK283*CK284+CK285*CK286+CK287*CK288+CK289*CK290+CK291*CK292+CK293*CK294+CK295*CK296+CK297*CK298+CK299*CK300+CK301*CK302+CK303*CK304+CK305*CK306+CK307*CK308+CK309*CK310+CK311*CK312+CK313*CK314+CK315*CK316+CK317*CK318+CK319*CK320+CK321*CK322+CK323*CK324+CK325*CK326+CK327*CK328+CK329*CK330+CK331*CK332+CK333*CK334+CK335*CK336+CK337*CK338+CK339*CK340)/4</f>
        <v>78.364100000000008</v>
      </c>
      <c r="CL361" s="6">
        <f t="shared" si="4024"/>
        <v>78.364100000000008</v>
      </c>
      <c r="CM361" s="6">
        <f t="shared" si="4024"/>
        <v>78.364100000000008</v>
      </c>
      <c r="CN361" s="6">
        <f>SUM(CJ361:CM361)</f>
        <v>317.85465000000005</v>
      </c>
    </row>
    <row r="362" spans="2:92" ht="12.95" customHeight="1" x14ac:dyDescent="0.25">
      <c r="B362" s="2" t="s">
        <v>49</v>
      </c>
      <c r="D362" s="6"/>
      <c r="E362" s="6"/>
      <c r="F362" s="6"/>
      <c r="G362" s="6"/>
      <c r="H362" s="6"/>
      <c r="J362" s="6">
        <f>-J53</f>
        <v>101</v>
      </c>
      <c r="K362" s="6">
        <f>-K53</f>
        <v>102</v>
      </c>
      <c r="L362" s="6">
        <f>-L53</f>
        <v>102</v>
      </c>
      <c r="M362" s="6">
        <f>-M53</f>
        <v>99</v>
      </c>
      <c r="N362" s="6">
        <f>SUM(J362:M362)</f>
        <v>404</v>
      </c>
      <c r="P362" s="6">
        <f>-P53</f>
        <v>103</v>
      </c>
      <c r="Q362" s="6">
        <f>-Q53</f>
        <v>103</v>
      </c>
      <c r="R362" s="6">
        <f>-R53</f>
        <v>103</v>
      </c>
      <c r="S362" s="6">
        <f>-S53</f>
        <v>112</v>
      </c>
      <c r="T362" s="6">
        <f>SUM(P362:S362)</f>
        <v>421</v>
      </c>
      <c r="V362" s="6">
        <f>-V53</f>
        <v>113</v>
      </c>
      <c r="W362" s="6">
        <f>-W53</f>
        <v>135</v>
      </c>
      <c r="X362" s="6">
        <f>-X53</f>
        <v>136</v>
      </c>
      <c r="Y362" s="6">
        <f>-Y53</f>
        <v>130</v>
      </c>
      <c r="Z362" s="6">
        <f>SUM(V362:Y362)</f>
        <v>514</v>
      </c>
      <c r="AB362" s="6">
        <f>-AB53</f>
        <v>142</v>
      </c>
      <c r="AC362" s="6">
        <f>-AC53</f>
        <v>120</v>
      </c>
      <c r="AD362" s="6">
        <f>-AD53</f>
        <v>114</v>
      </c>
      <c r="AE362" s="6">
        <f>-AE53</f>
        <v>112</v>
      </c>
      <c r="AF362" s="6">
        <f>SUM(AB362:AE362)</f>
        <v>488</v>
      </c>
      <c r="AH362" s="6">
        <f>-AH53</f>
        <v>109</v>
      </c>
      <c r="AI362" s="6">
        <f>-AI53</f>
        <v>108</v>
      </c>
      <c r="AJ362" s="6">
        <f>-AJ53</f>
        <v>109</v>
      </c>
      <c r="AK362" s="6">
        <f>-AK53</f>
        <v>117</v>
      </c>
      <c r="AL362" s="6">
        <f>SUM(AH362:AK362)</f>
        <v>443</v>
      </c>
      <c r="AN362" s="6">
        <f>-AN53</f>
        <v>129</v>
      </c>
      <c r="AO362" s="6">
        <f>-AO53</f>
        <v>127</v>
      </c>
      <c r="AP362" s="6">
        <f>-AP53</f>
        <v>129</v>
      </c>
      <c r="AQ362" s="243">
        <f>-AQ53</f>
        <v>126</v>
      </c>
      <c r="AR362" s="243">
        <f>SUM(AN362:AQ362)</f>
        <v>511</v>
      </c>
      <c r="AT362" s="6">
        <f>-AT53</f>
        <v>143</v>
      </c>
      <c r="AU362" s="6">
        <f>-AU53</f>
        <v>137</v>
      </c>
      <c r="AV362" s="243">
        <f>-AV53</f>
        <v>125</v>
      </c>
      <c r="AW362" s="164">
        <f>AW361+AW363</f>
        <v>125</v>
      </c>
      <c r="AX362" s="6">
        <f>SUM(AT362:AW362)</f>
        <v>530</v>
      </c>
      <c r="AZ362" s="6">
        <f>AZ361+AZ363</f>
        <v>124.4841473132969</v>
      </c>
      <c r="BA362" s="6">
        <f t="shared" ref="BA362:BC362" si="4025">BA361+BA363</f>
        <v>124.4841473132969</v>
      </c>
      <c r="BB362" s="6">
        <f t="shared" si="4025"/>
        <v>124.4841473132969</v>
      </c>
      <c r="BC362" s="6">
        <f t="shared" si="4025"/>
        <v>124.4841473132969</v>
      </c>
      <c r="BD362" s="6">
        <f>SUM(AZ362:BC362)</f>
        <v>497.93658925318761</v>
      </c>
      <c r="BF362" s="6">
        <f>BF361+BF363</f>
        <v>124.4841473132969</v>
      </c>
      <c r="BG362" s="6">
        <f t="shared" ref="BG362:BI362" si="4026">BG361+BG363</f>
        <v>124.4841473132969</v>
      </c>
      <c r="BH362" s="6">
        <f t="shared" si="4026"/>
        <v>124.4841473132969</v>
      </c>
      <c r="BI362" s="6">
        <f t="shared" si="4026"/>
        <v>124.4841473132969</v>
      </c>
      <c r="BJ362" s="6">
        <f>SUM(BF362:BI362)</f>
        <v>497.93658925318761</v>
      </c>
      <c r="BL362" s="6">
        <f>BL361+BL363</f>
        <v>124.4841473132969</v>
      </c>
      <c r="BM362" s="6">
        <f t="shared" ref="BM362:BO362" si="4027">BM361+BM363</f>
        <v>124.4841473132969</v>
      </c>
      <c r="BN362" s="6">
        <f t="shared" si="4027"/>
        <v>124.4841473132969</v>
      </c>
      <c r="BO362" s="6">
        <f t="shared" si="4027"/>
        <v>124.4841473132969</v>
      </c>
      <c r="BP362" s="6">
        <f>SUM(BL362:BO362)</f>
        <v>497.93658925318761</v>
      </c>
      <c r="BR362" s="6">
        <f>BR361+BR363</f>
        <v>124.4841473132969</v>
      </c>
      <c r="BS362" s="6">
        <f t="shared" ref="BS362:BU362" si="4028">BS361+BS363</f>
        <v>124.4841473132969</v>
      </c>
      <c r="BT362" s="6">
        <f t="shared" si="4028"/>
        <v>124.4841473132969</v>
      </c>
      <c r="BU362" s="6">
        <f t="shared" si="4028"/>
        <v>124.4841473132969</v>
      </c>
      <c r="BV362" s="6">
        <f>SUM(BR362:BU362)</f>
        <v>497.93658925318761</v>
      </c>
      <c r="BX362" s="6">
        <f>BX361+BX363</f>
        <v>124.4841473132969</v>
      </c>
      <c r="BY362" s="6">
        <f t="shared" ref="BY362:CA362" si="4029">BY361+BY363</f>
        <v>121.2875848132969</v>
      </c>
      <c r="BZ362" s="6">
        <f t="shared" si="4029"/>
        <v>121.2875848132969</v>
      </c>
      <c r="CA362" s="6">
        <f t="shared" si="4029"/>
        <v>121.2875848132969</v>
      </c>
      <c r="CB362" s="6">
        <f>SUM(BX362:CA362)</f>
        <v>488.34690175318764</v>
      </c>
      <c r="CD362" s="6">
        <f>CD361+CD363</f>
        <v>121.2875848132969</v>
      </c>
      <c r="CE362" s="6">
        <f t="shared" ref="CE362:CG362" si="4030">CE361+CE363</f>
        <v>121.2875848132969</v>
      </c>
      <c r="CF362" s="6">
        <f t="shared" si="4030"/>
        <v>121.2875848132969</v>
      </c>
      <c r="CG362" s="6">
        <f t="shared" si="4030"/>
        <v>121.2875848132969</v>
      </c>
      <c r="CH362" s="6">
        <f>SUM(CD362:CG362)</f>
        <v>485.15033925318761</v>
      </c>
      <c r="CJ362" s="6">
        <f>CJ361+CJ363</f>
        <v>118.93633481329691</v>
      </c>
      <c r="CK362" s="6">
        <f t="shared" ref="CK362:CM362" si="4031">CK361+CK363</f>
        <v>114.5380848132969</v>
      </c>
      <c r="CL362" s="6">
        <f t="shared" si="4031"/>
        <v>114.5380848132969</v>
      </c>
      <c r="CM362" s="6">
        <f t="shared" si="4031"/>
        <v>114.5380848132969</v>
      </c>
      <c r="CN362" s="6">
        <f>SUM(CJ362:CM362)</f>
        <v>462.55058925318764</v>
      </c>
    </row>
    <row r="363" spans="2:92" ht="12.95" customHeight="1" x14ac:dyDescent="0.25">
      <c r="B363" s="16" t="s">
        <v>50</v>
      </c>
      <c r="C363" s="16"/>
      <c r="D363" s="39"/>
      <c r="E363" s="39"/>
      <c r="F363" s="39"/>
      <c r="G363" s="39"/>
      <c r="H363" s="39"/>
      <c r="I363" s="16"/>
      <c r="J363" s="39">
        <f>J362-J361</f>
        <v>6.1534458524426725</v>
      </c>
      <c r="K363" s="39">
        <f>K362-K361</f>
        <v>7.0223265592064479</v>
      </c>
      <c r="L363" s="39">
        <f>L362-L361</f>
        <v>6.9171345869860374</v>
      </c>
      <c r="M363" s="39">
        <f>M362-M361</f>
        <v>4.1565687850467441</v>
      </c>
      <c r="N363" s="39">
        <f>N362-N361</f>
        <v>24.249475783681874</v>
      </c>
      <c r="O363" s="16"/>
      <c r="P363" s="39">
        <f>P362-P361</f>
        <v>9.3002783324648135</v>
      </c>
      <c r="Q363" s="39">
        <f>Q362-Q361</f>
        <v>9.2933532742901832</v>
      </c>
      <c r="R363" s="39">
        <f>R362-R361</f>
        <v>4.9689331079607371</v>
      </c>
      <c r="S363" s="39">
        <f>S362-S361</f>
        <v>11.160569706010676</v>
      </c>
      <c r="T363" s="39">
        <f>T362-T361</f>
        <v>34.72313442072641</v>
      </c>
      <c r="U363" s="16"/>
      <c r="V363" s="39">
        <f>V362-V361</f>
        <v>12.20603067307691</v>
      </c>
      <c r="W363" s="39">
        <f>W362-W361</f>
        <v>19.299075500987598</v>
      </c>
      <c r="X363" s="39">
        <f>X362-X361</f>
        <v>20.250357960372952</v>
      </c>
      <c r="Y363" s="39">
        <f>Y362-Y361</f>
        <v>14.136107922994455</v>
      </c>
      <c r="Z363" s="39">
        <f>Z362-Z361</f>
        <v>65.891572057431972</v>
      </c>
      <c r="AA363" s="16"/>
      <c r="AB363" s="39">
        <f>AB362-AB361</f>
        <v>26.49509468673827</v>
      </c>
      <c r="AC363" s="39">
        <f>AC362-AC361</f>
        <v>10.723595433190951</v>
      </c>
      <c r="AD363" s="39">
        <f>AD362-AD361</f>
        <v>4.5425399115314065</v>
      </c>
      <c r="AE363" s="39">
        <f>AE362-AE361</f>
        <v>13.643608844392446</v>
      </c>
      <c r="AF363" s="39">
        <f>AF362-AF361</f>
        <v>55.404838875853102</v>
      </c>
      <c r="AG363" s="38"/>
      <c r="AH363" s="39">
        <f>AH362-AH361</f>
        <v>10.751579641252192</v>
      </c>
      <c r="AI363" s="39">
        <f>AI362-AI361</f>
        <v>9.8860797523863368</v>
      </c>
      <c r="AJ363" s="39">
        <f>AJ362-AJ361</f>
        <v>11.190033791260134</v>
      </c>
      <c r="AK363" s="39">
        <f>AK362-AK361</f>
        <v>20.364888179651899</v>
      </c>
      <c r="AL363" s="39">
        <f>AL362-AL361</f>
        <v>52.192581364550506</v>
      </c>
      <c r="AM363" s="38"/>
      <c r="AN363" s="39">
        <f>AN362-AN361</f>
        <v>32.438562679721599</v>
      </c>
      <c r="AO363" s="39">
        <f>AO362-AO361</f>
        <v>30.469057382499756</v>
      </c>
      <c r="AP363" s="39">
        <f>AP362-AP361</f>
        <v>32.684593962891256</v>
      </c>
      <c r="AQ363" s="39">
        <f>AQ362-AQ361</f>
        <v>34.329865162874853</v>
      </c>
      <c r="AR363" s="39">
        <f>AR362-AR361</f>
        <v>129.92207918798749</v>
      </c>
      <c r="AS363" s="38"/>
      <c r="AT363" s="39">
        <f>AT362-AT361</f>
        <v>50.980946536207071</v>
      </c>
      <c r="AU363" s="39">
        <f>AU362-AU361</f>
        <v>48.646282586705198</v>
      </c>
      <c r="AV363" s="39">
        <f>AV362-AV361</f>
        <v>36.173984813296897</v>
      </c>
      <c r="AW363" s="365">
        <f t="shared" ref="AW363" si="4032">AV363</f>
        <v>36.173984813296897</v>
      </c>
      <c r="AX363" s="39">
        <f>AX362-AX361</f>
        <v>171.97519874950603</v>
      </c>
      <c r="AY363" s="38"/>
      <c r="AZ363" s="37">
        <f>AW363</f>
        <v>36.173984813296897</v>
      </c>
      <c r="BA363" s="37">
        <f t="shared" ref="BA363" si="4033">AZ363</f>
        <v>36.173984813296897</v>
      </c>
      <c r="BB363" s="37">
        <f t="shared" ref="BB363" si="4034">BA363</f>
        <v>36.173984813296897</v>
      </c>
      <c r="BC363" s="37">
        <f t="shared" ref="BC363" si="4035">BB363</f>
        <v>36.173984813296897</v>
      </c>
      <c r="BD363" s="38"/>
      <c r="BE363" s="38"/>
      <c r="BF363" s="37">
        <f>BC363</f>
        <v>36.173984813296897</v>
      </c>
      <c r="BG363" s="37">
        <f t="shared" ref="BG363" si="4036">BF363</f>
        <v>36.173984813296897</v>
      </c>
      <c r="BH363" s="37">
        <f t="shared" ref="BH363" si="4037">BG363</f>
        <v>36.173984813296897</v>
      </c>
      <c r="BI363" s="37">
        <f t="shared" ref="BI363" si="4038">BH363</f>
        <v>36.173984813296897</v>
      </c>
      <c r="BJ363" s="38"/>
      <c r="BK363" s="38"/>
      <c r="BL363" s="37">
        <f>BI363</f>
        <v>36.173984813296897</v>
      </c>
      <c r="BM363" s="37">
        <f t="shared" ref="BM363" si="4039">BL363</f>
        <v>36.173984813296897</v>
      </c>
      <c r="BN363" s="37">
        <f t="shared" ref="BN363" si="4040">BM363</f>
        <v>36.173984813296897</v>
      </c>
      <c r="BO363" s="37">
        <f t="shared" ref="BO363" si="4041">BN363</f>
        <v>36.173984813296897</v>
      </c>
      <c r="BP363" s="38"/>
      <c r="BQ363" s="38"/>
      <c r="BR363" s="37">
        <f>BO363</f>
        <v>36.173984813296897</v>
      </c>
      <c r="BS363" s="37">
        <f t="shared" ref="BS363" si="4042">BR363</f>
        <v>36.173984813296897</v>
      </c>
      <c r="BT363" s="37">
        <f t="shared" ref="BT363" si="4043">BS363</f>
        <v>36.173984813296897</v>
      </c>
      <c r="BU363" s="37">
        <f t="shared" ref="BU363" si="4044">BT363</f>
        <v>36.173984813296897</v>
      </c>
      <c r="BV363" s="38"/>
      <c r="BW363" s="38"/>
      <c r="BX363" s="37">
        <f>BU363</f>
        <v>36.173984813296897</v>
      </c>
      <c r="BY363" s="37">
        <f t="shared" ref="BY363" si="4045">BX363</f>
        <v>36.173984813296897</v>
      </c>
      <c r="BZ363" s="37">
        <f t="shared" ref="BZ363" si="4046">BY363</f>
        <v>36.173984813296897</v>
      </c>
      <c r="CA363" s="37">
        <f t="shared" ref="CA363" si="4047">BZ363</f>
        <v>36.173984813296897</v>
      </c>
      <c r="CB363" s="38"/>
      <c r="CC363" s="38"/>
      <c r="CD363" s="37">
        <f>CA363</f>
        <v>36.173984813296897</v>
      </c>
      <c r="CE363" s="37">
        <f t="shared" ref="CE363" si="4048">CD363</f>
        <v>36.173984813296897</v>
      </c>
      <c r="CF363" s="37">
        <f t="shared" ref="CF363" si="4049">CE363</f>
        <v>36.173984813296897</v>
      </c>
      <c r="CG363" s="37">
        <f t="shared" ref="CG363" si="4050">CF363</f>
        <v>36.173984813296897</v>
      </c>
      <c r="CH363" s="38"/>
      <c r="CI363" s="38"/>
      <c r="CJ363" s="37">
        <f>CG363</f>
        <v>36.173984813296897</v>
      </c>
      <c r="CK363" s="37">
        <f t="shared" ref="CK363" si="4051">CJ363</f>
        <v>36.173984813296897</v>
      </c>
      <c r="CL363" s="37">
        <f t="shared" ref="CL363" si="4052">CK363</f>
        <v>36.173984813296897</v>
      </c>
      <c r="CM363" s="37">
        <f t="shared" ref="CM363" si="4053">CL363</f>
        <v>36.173984813296897</v>
      </c>
      <c r="CN363" s="38"/>
    </row>
    <row r="364" spans="2:92" ht="12.95" customHeight="1" x14ac:dyDescent="0.25">
      <c r="B364" s="2" t="s">
        <v>14</v>
      </c>
      <c r="D364" s="6"/>
      <c r="E364" s="6"/>
      <c r="F364" s="6"/>
      <c r="G364" s="6"/>
      <c r="H364" s="6"/>
      <c r="J364" s="6">
        <f>J206+J209+J353+J357+J211+J213+J215+J217+J219+J221+J223+J225+J344+J227+J229+J231+J233+J235+J237+J239+J241+J243+J245+J247+J249+J251+J253+J255+J341+J257+J259+J261+J263+J265+J267+J269+J271+J273+J275+J277+J279+J281+J283+J285+J287+J289+J291+J293+J295+J297+J299+J301+J303+J305+J307+J309+J311+J313+J315+J317+J319+J321+J323+J325+J327+J329+J331+J333+J335+J337+J339</f>
        <v>8024</v>
      </c>
      <c r="K364" s="6">
        <f>K206+K209+K353+K357+K211+K213+K215+K217+K219+K221+K223+K225+K344+K227+K229+K231+K233+K235+K237+K239+K241+K243+K245+K247+K249+K251+K253+K255+K341+K257+K259+K261+K263+K265+K267+K269+K271+K273+K275+K277+K279+K281+K283+K285+K287+K289+K291+K293+K295+K297+K299+K301+K303+K305+K307+K309+K311+K313+K315+K317+K319+K321+K323+K325+K327+K329+K331+K333+K335+K337+K339</f>
        <v>8065</v>
      </c>
      <c r="L364" s="6">
        <f t="shared" ref="L364:N364" si="4054">L206+L209+L353+L357+L211+L213+L215+L217+L219+L221+L223+L225+L344+L227+L229+L231+L233+L235+L237+L239+L241+L243+L245+L247+L249+L251+L253+L255+L341+L257+L259+L261+L263+L265+L267+L269+L271+L273+L275+L277+L279+L281+L283+L285+L287+L289+L291+L293+L295+L297+L299+L301+L303+L305+L307+L309+L311+L313+L315+L317+L319+L321+L323+L325+L327+L329+L331+L333+L335+L337+L339</f>
        <v>8099</v>
      </c>
      <c r="M364" s="6">
        <f t="shared" si="4054"/>
        <v>8025</v>
      </c>
      <c r="N364" s="6">
        <f t="shared" si="4054"/>
        <v>8025</v>
      </c>
      <c r="P364" s="6">
        <f>P206+P209+P353+P357+P211+P213+P215+P217+P219+P221+P223+P225+P344+P227+P229+P231+P233+P235+P237+P239+P241+P243+P245+P247+P249+P251+P253+P255+P341+P257+P259+P261+P263+P265+P267+P269+P271+P273+P275+P277+P279+P281+P283+P285+P287+P289+P291+P293+P295+P297+P299+P301+P303+P305+P307+P309+P311+P313+P315+P317+P319+P321+P323+P325+P327+P329+P331+P333+P335+P337+P339</f>
        <v>7676</v>
      </c>
      <c r="Q364" s="6">
        <f>Q206+Q209+Q353+Q357+Q211+Q213+Q215+Q217+Q219+Q221+Q223+Q225+Q344+Q227+Q229+Q231+Q233+Q235+Q237+Q239+Q241+Q243+Q245+Q247+Q249+Q251+Q253+Q255+Q341+Q257+Q259+Q261+Q263+Q265+Q267+Q269+Q271+Q273+Q275+Q277+Q279+Q281+Q283+Q285+Q287+Q289+Q291+Q293+Q295+Q297+Q299+Q301+Q303+Q305+Q307+Q309+Q311+Q313+Q315+Q317+Q319+Q321+Q323+Q325+Q327+Q329+Q331+Q333+Q335+Q337+Q339</f>
        <v>7678</v>
      </c>
      <c r="R364" s="6">
        <f t="shared" ref="R364:T364" si="4055">R206+R209+R353+R357+R211+R213+R215+R217+R219+R221+R223+R225+R344+R227+R229+R231+R233+R235+R237+R239+R241+R243+R245+R247+R249+R251+R253+R255+R341+R257+R259+R261+R263+R265+R267+R269+R271+R273+R275+R277+R279+R281+R283+R285+R287+R289+R291+R293+R295+R297+R299+R301+R303+R305+R307+R309+R311+R313+R315+R317+R319+R321+R323+R325+R327+R329+R331+R333+R335+R337+R339</f>
        <v>9170</v>
      </c>
      <c r="S364" s="6">
        <f t="shared" si="4055"/>
        <v>9167</v>
      </c>
      <c r="T364" s="6">
        <f t="shared" si="4055"/>
        <v>9167</v>
      </c>
      <c r="V364" s="6">
        <f>V206+V209+V353+V357+V211+V213+V215+V217+V219+V221+V223+V225+V344+V227+V229+V231+V233+V235+V237+V239+V241+V243+V245+V247+V249+V251+V253+V255+V341+V257+V259+V261+V263+V265+V267+V269+V271+V273+V275+V277+V279+V281+V283+V285+V287+V289+V291+V293+V295+V297+V299+V301+V303+V305+V307+V309+V311+V313+V315+V317+V319+V321+V323+V325+V327+V329+V331+V333+V335+V337+V339</f>
        <v>9152</v>
      </c>
      <c r="W364" s="6">
        <f>W206+W209+W353+W357+W211+W213+W215+W217+W219+W221+W223+W225+W344+W227+W229+W231+W233+W235+W237+W239+W241+W243+W245+W247+W249+W251+W253+W255+W341+W257+W259+W261+W263+W265+W267+W269+W271+W273+W275+W277+W279+W281+W283+W285+W287+W289+W291+W293+W295+W297+W299+W301+W303+W305+W307+W309+W311+W313+W315+W317+W319+W321+W323+W325+W327+W329+W331+W333+W335+W337+W339</f>
        <v>11138</v>
      </c>
      <c r="X364" s="6">
        <f t="shared" ref="X364:Z364" si="4056">X206+X209+X353+X357+X211+X213+X215+X217+X219+X221+X223+X225+X344+X227+X229+X231+X233+X235+X237+X239+X241+X243+X245+X247+X249+X251+X253+X255+X341+X257+X259+X261+X263+X265+X267+X269+X271+X273+X275+X277+X279+X281+X283+X285+X287+X289+X291+X293+X295+X297+X299+X301+X303+X305+X307+X309+X311+X313+X315+X317+X319+X321+X323+X325+X327+X329+X331+X333+X335+X337+X339</f>
        <v>11154</v>
      </c>
      <c r="Y364" s="6">
        <f t="shared" si="4056"/>
        <v>11194</v>
      </c>
      <c r="Z364" s="6">
        <f t="shared" si="4056"/>
        <v>11194</v>
      </c>
      <c r="AB364" s="6">
        <f>AB206+AB209+AB353+AB357+AB211+AB213+AB215+AB217+AB219+AB221+AB223+AB225+AB344+AB227+AB229+AB231+AB233+AB235+AB237+AB239+AB241+AB243+AB245+AB247+AB249+AB251+AB253+AB255+AB341+AB257+AB259+AB261+AB263+AB265+AB267+AB269+AB271+AB273+AB275+AB277+AB279+AB281+AB283+AB285+AB287+AB289+AB291+AB293+AB295+AB297+AB299+AB301+AB303+AB305+AB307+AB309+AB311+AB313+AB315+AB317+AB319+AB321+AB323+AB325+AB327+AB329+AB331+AB333+AB335+AB337+AB339</f>
        <v>11077</v>
      </c>
      <c r="AC364" s="6">
        <f>AC206+AC209+AC353+AC357+AC211+AC213+AC215+AC217+AC219+AC221+AC223+AC225+AC344+AC227+AC229+AC231+AC233+AC235+AC237+AC239+AC241+AC243+AC245+AC247+AC249+AC251+AC253+AC255+AC341+AC257+AC259+AC261+AC263+AC265+AC267+AC269+AC271+AC273+AC275+AC277+AC279+AC281+AC283+AC285+AC287+AC289+AC291+AC293+AC295+AC297+AC299+AC301+AC303+AC305+AC307+AC309+AC311+AC313+AC315+AC317+AC319+AC321+AC323+AC325+AC327+AC329+AC331+AC333+AC335+AC337+AC339</f>
        <v>9834</v>
      </c>
      <c r="AD364" s="6">
        <f t="shared" ref="AD364:AF364" si="4057">AD206+AD209+AD353+AD357+AD211+AD213+AD215+AD217+AD219+AD221+AD223+AD225+AD344+AD227+AD229+AD231+AD233+AD235+AD237+AD239+AD241+AD243+AD245+AD247+AD249+AD251+AD253+AD255+AD341+AD257+AD259+AD261+AD263+AD265+AD267+AD269+AD271+AD273+AD275+AD277+AD279+AD281+AD283+AD285+AD287+AD289+AD291+AD293+AD295+AD297+AD299+AD301+AD303+AD305+AD307+AD309+AD311+AD313+AD315+AD317+AD319+AD321+AD323+AD325+AD327+AD329+AD331+AD333+AD335+AD337+AD339</f>
        <v>9834</v>
      </c>
      <c r="AE364" s="6">
        <f t="shared" si="4057"/>
        <v>9826</v>
      </c>
      <c r="AF364" s="6">
        <f t="shared" si="4057"/>
        <v>9826</v>
      </c>
      <c r="AH364" s="6">
        <f t="shared" ref="AH364:AL364" si="4058">AH206+AH209+AH353+AH357+AH211+AH213+AH215+AH217+AH219+AH221+AH223+AH225+AH344+AH227+AH229+AH231+AH233+AH235+AH237+AH239+AH241+AH243+AH245+AH247+AH249+AH251+AH253+AH255+AH341+AH257+AH259+AH261+AH263+AH265+AH267+AH269+AH271+AH273+AH275+AH277+AH279+AH281+AH283+AH285+AH287+AH289+AH291+AH293+AH295+AH297+AH299+AH301+AH303+AH305+AH307+AH309+AH311+AH313+AH315+AH317+AH319+AH321+AH323+AH325+AH327+AH329+AH331+AH333+AH335+AH337+AH339</f>
        <v>9791</v>
      </c>
      <c r="AI364" s="6">
        <f t="shared" si="4058"/>
        <v>9743</v>
      </c>
      <c r="AJ364" s="6">
        <f t="shared" si="4058"/>
        <v>9634</v>
      </c>
      <c r="AK364" s="6">
        <f t="shared" si="4058"/>
        <v>9652</v>
      </c>
      <c r="AL364" s="6">
        <f t="shared" si="4058"/>
        <v>9652</v>
      </c>
      <c r="AN364" s="6">
        <f t="shared" ref="AN364:AR364" si="4059">AN206+AN209+AN353+AN357+AN211+AN213+AN215+AN217+AN219+AN221+AN223+AN225+AN344+AN227+AN229+AN231+AN233+AN235+AN237+AN239+AN241+AN243+AN245+AN247+AN249+AN251+AN253+AN255+AN341+AN257+AN259+AN261+AN263+AN265+AN267+AN269+AN271+AN273+AN275+AN277+AN279+AN281+AN283+AN285+AN287+AN289+AN291+AN293+AN295+AN297+AN299+AN301+AN303+AN305+AN307+AN309+AN311+AN313+AN315+AN317+AN319+AN321+AN323+AN325+AN327+AN329+AN331+AN333+AN335+AN337+AN339</f>
        <v>9626</v>
      </c>
      <c r="AO364" s="243">
        <f t="shared" si="4059"/>
        <v>9617</v>
      </c>
      <c r="AP364" s="6">
        <f t="shared" si="4059"/>
        <v>9553</v>
      </c>
      <c r="AQ364" s="243">
        <f t="shared" si="4059"/>
        <v>9670</v>
      </c>
      <c r="AR364" s="243">
        <f t="shared" si="4059"/>
        <v>9669</v>
      </c>
      <c r="AT364" s="6">
        <f t="shared" ref="AT364:AW364" si="4060">AT206+AT209+AT353+AT357+AT211+AT213+AT215+AT217+AT219+AT221+AT223+AT225+AT344+AT227+AT229+AT231+AT233+AT235+AT237+AT239+AT241+AT243+AT245+AT247+AT249+AT251+AT253+AT255+AT341+AT257+AT259+AT261+AT263+AT265+AT267+AT269+AT271+AT273+AT275+AT277+AT279+AT281+AT283+AT285+AT287+AT289+AT291+AT293+AT295+AT297+AT299+AT301+AT303+AT305+AT307+AT309+AT311+AT313+AT315+AT317+AT319+AT321+AT323+AT325+AT327+AT329+AT331+AT333+AT335+AT337+AT339</f>
        <v>9639</v>
      </c>
      <c r="AU364" s="243">
        <f t="shared" si="4060"/>
        <v>8650</v>
      </c>
      <c r="AV364" s="243">
        <f t="shared" si="4060"/>
        <v>8784</v>
      </c>
      <c r="AW364" s="164">
        <f t="shared" si="4060"/>
        <v>8784</v>
      </c>
      <c r="AX364" s="6">
        <f t="shared" ref="AX364:BD364" si="4061">AX206+AX209+AX353+AX357+AX211+AX213+AX215+AX217+AX219+AX221+AX223+AX225+AX344+AX227+AX229+AX231+AX233+AX235+AX237+AX239+AX241+AX243+AX245+AX247+AX249+AX251+AX253+AX255+AX341+AX257+AX259+AX261+AX263+AX265+AX267+AX269+AX271+AX273+AX275+AX277+AX279+AX281+AX283+AX285+AX287+AX289+AX291+AX293+AX295+AX297+AX299+AX301+AX303+AX305+AX307+AX309+AX311+AX313+AX315+AX317+AX319+AX321+AX323+AX325+AX327+AX329+AX331+AX333+AX335+AX337+AX339</f>
        <v>8784</v>
      </c>
      <c r="AZ364" s="6">
        <f>AZ206+AZ209+AZ353+AZ357+AZ211+AZ213+AZ215+AZ217+AZ219+AZ221+AZ223+AZ225+AZ344+AZ227+AZ229+AZ231+AZ233+AZ235+AZ237+AZ239+AZ241+AZ243+AZ245+AZ247+AZ249+AZ251+AZ253+AZ255+AZ341+AZ257+AZ259+AZ261+AZ263+AZ265+AZ267+AZ269+AZ271+AZ273+AZ275+AZ277+AZ279+AZ281+AZ283+AZ285+AZ287+AZ289+AZ291+AZ293+AZ295+AZ297+AZ299+AZ301+AZ303+AZ305+AZ307+AZ309+AZ311+AZ313+AZ315+AZ317+AZ319+AZ321+AZ323+AZ325+AZ327+AZ329+AZ331+AZ333+AZ335+AZ337+AZ339</f>
        <v>8639</v>
      </c>
      <c r="BA364" s="6">
        <f t="shared" si="4061"/>
        <v>8639</v>
      </c>
      <c r="BB364" s="6">
        <f t="shared" si="4061"/>
        <v>8639</v>
      </c>
      <c r="BC364" s="6">
        <f t="shared" si="4061"/>
        <v>8639</v>
      </c>
      <c r="BD364" s="6">
        <f t="shared" si="4061"/>
        <v>8639</v>
      </c>
      <c r="BF364" s="6">
        <f t="shared" ref="BF364:BJ364" si="4062">BF206+BF209+BF353+BF357+BF211+BF213+BF215+BF217+BF219+BF221+BF223+BF225+BF344+BF227+BF229+BF231+BF233+BF235+BF237+BF239+BF241+BF243+BF245+BF247+BF249+BF251+BF253+BF255+BF341+BF257+BF259+BF261+BF263+BF265+BF267+BF269+BF271+BF273+BF275+BF277+BF279+BF281+BF283+BF285+BF287+BF289+BF291+BF293+BF295+BF297+BF299+BF301+BF303+BF305+BF307+BF309+BF311+BF313+BF315+BF317+BF319+BF321+BF323+BF325+BF327+BF329+BF331+BF333+BF335+BF337+BF339</f>
        <v>8639</v>
      </c>
      <c r="BG364" s="6">
        <f t="shared" si="4062"/>
        <v>8639</v>
      </c>
      <c r="BH364" s="6">
        <f t="shared" si="4062"/>
        <v>8639</v>
      </c>
      <c r="BI364" s="6">
        <f t="shared" si="4062"/>
        <v>8639</v>
      </c>
      <c r="BJ364" s="6">
        <f t="shared" si="4062"/>
        <v>8639</v>
      </c>
      <c r="BL364" s="6">
        <f t="shared" ref="BL364:BP364" si="4063">BL206+BL209+BL353+BL357+BL211+BL213+BL215+BL217+BL219+BL221+BL223+BL225+BL344+BL227+BL229+BL231+BL233+BL235+BL237+BL239+BL241+BL243+BL245+BL247+BL249+BL251+BL253+BL255+BL341+BL257+BL259+BL261+BL263+BL265+BL267+BL269+BL271+BL273+BL275+BL277+BL279+BL281+BL283+BL285+BL287+BL289+BL291+BL293+BL295+BL297+BL299+BL301+BL303+BL305+BL307+BL309+BL311+BL313+BL315+BL317+BL319+BL321+BL323+BL325+BL327+BL329+BL331+BL333+BL335+BL337+BL339</f>
        <v>8639</v>
      </c>
      <c r="BM364" s="6">
        <f t="shared" si="4063"/>
        <v>8639</v>
      </c>
      <c r="BN364" s="6">
        <f t="shared" si="4063"/>
        <v>8639</v>
      </c>
      <c r="BO364" s="6">
        <f t="shared" si="4063"/>
        <v>8639</v>
      </c>
      <c r="BP364" s="6">
        <f t="shared" si="4063"/>
        <v>8639</v>
      </c>
      <c r="BR364" s="6">
        <f t="shared" ref="BR364:BV364" si="4064">BR206+BR209+BR353+BR357+BR211+BR213+BR215+BR217+BR219+BR221+BR223+BR225+BR344+BR227+BR229+BR231+BR233+BR235+BR237+BR239+BR241+BR243+BR245+BR247+BR249+BR251+BR253+BR255+BR341+BR257+BR259+BR261+BR263+BR265+BR267+BR269+BR271+BR273+BR275+BR277+BR279+BR281+BR283+BR285+BR287+BR289+BR291+BR293+BR295+BR297+BR299+BR301+BR303+BR305+BR307+BR309+BR311+BR313+BR315+BR317+BR319+BR321+BR323+BR325+BR327+BR329+BR331+BR333+BR335+BR337+BR339</f>
        <v>8639</v>
      </c>
      <c r="BS364" s="6">
        <f t="shared" si="4064"/>
        <v>8639</v>
      </c>
      <c r="BT364" s="6">
        <f t="shared" si="4064"/>
        <v>8639</v>
      </c>
      <c r="BU364" s="6">
        <f t="shared" si="4064"/>
        <v>8639</v>
      </c>
      <c r="BV364" s="6">
        <f t="shared" si="4064"/>
        <v>8639</v>
      </c>
      <c r="BX364" s="6">
        <f t="shared" ref="BX364:CB364" si="4065">BX206+BX209+BX353+BX357+BX211+BX213+BX215+BX217+BX219+BX221+BX223+BX225+BX344+BX227+BX229+BX231+BX233+BX235+BX237+BX239+BX241+BX243+BX245+BX247+BX249+BX251+BX253+BX255+BX341+BX257+BX259+BX261+BX263+BX265+BX267+BX269+BX271+BX273+BX275+BX277+BX279+BX281+BX283+BX285+BX287+BX289+BX291+BX293+BX295+BX297+BX299+BX301+BX303+BX305+BX307+BX309+BX311+BX313+BX315+BX317+BX319+BX321+BX323+BX325+BX327+BX329+BX331+BX333+BX335+BX337+BX339</f>
        <v>8639</v>
      </c>
      <c r="BY364" s="6">
        <f t="shared" si="4065"/>
        <v>8446</v>
      </c>
      <c r="BZ364" s="6">
        <f t="shared" si="4065"/>
        <v>8446</v>
      </c>
      <c r="CA364" s="6">
        <f t="shared" si="4065"/>
        <v>8446</v>
      </c>
      <c r="CB364" s="6">
        <f t="shared" si="4065"/>
        <v>8446</v>
      </c>
      <c r="CD364" s="6">
        <f t="shared" ref="CD364:CH364" si="4066">CD206+CD209+CD353+CD357+CD211+CD213+CD215+CD217+CD219+CD221+CD223+CD225+CD344+CD227+CD229+CD231+CD233+CD235+CD237+CD239+CD241+CD243+CD245+CD247+CD249+CD251+CD253+CD255+CD341+CD257+CD259+CD261+CD263+CD265+CD267+CD269+CD271+CD273+CD275+CD277+CD279+CD281+CD283+CD285+CD287+CD289+CD291+CD293+CD295+CD297+CD299+CD301+CD303+CD305+CD307+CD309+CD311+CD313+CD315+CD317+CD319+CD321+CD323+CD325+CD327+CD329+CD331+CD333+CD335+CD337+CD339</f>
        <v>8446</v>
      </c>
      <c r="CE364" s="6">
        <f t="shared" si="4066"/>
        <v>8446</v>
      </c>
      <c r="CF364" s="6">
        <f t="shared" si="4066"/>
        <v>8446</v>
      </c>
      <c r="CG364" s="6">
        <f t="shared" si="4066"/>
        <v>8446</v>
      </c>
      <c r="CH364" s="6">
        <f t="shared" si="4066"/>
        <v>8446</v>
      </c>
      <c r="CJ364" s="6">
        <f t="shared" ref="CJ364:CN364" si="4067">CJ206+CJ209+CJ353+CJ357+CJ211+CJ213+CJ215+CJ217+CJ219+CJ221+CJ223+CJ225+CJ344+CJ227+CJ229+CJ231+CJ233+CJ235+CJ237+CJ239+CJ241+CJ243+CJ245+CJ247+CJ249+CJ251+CJ253+CJ255+CJ341+CJ257+CJ259+CJ261+CJ263+CJ265+CJ267+CJ269+CJ271+CJ273+CJ275+CJ277+CJ279+CJ281+CJ283+CJ285+CJ287+CJ289+CJ291+CJ293+CJ295+CJ297+CJ299+CJ301+CJ303+CJ305+CJ307+CJ309+CJ311+CJ313+CJ315+CJ317+CJ319+CJ321+CJ323+CJ325+CJ327+CJ329+CJ331+CJ333+CJ335+CJ337+CJ339</f>
        <v>7951</v>
      </c>
      <c r="CK364" s="6">
        <f t="shared" si="4067"/>
        <v>7710</v>
      </c>
      <c r="CL364" s="6">
        <f t="shared" si="4067"/>
        <v>7710</v>
      </c>
      <c r="CM364" s="6">
        <f t="shared" si="4067"/>
        <v>7710</v>
      </c>
      <c r="CN364" s="6">
        <f t="shared" si="4067"/>
        <v>7710</v>
      </c>
    </row>
    <row r="365" spans="2:92" ht="12.95" customHeight="1" x14ac:dyDescent="0.25">
      <c r="B365" s="2" t="s">
        <v>129</v>
      </c>
      <c r="AB365" s="6"/>
      <c r="AC365" s="6"/>
      <c r="AD365" s="6"/>
      <c r="AE365" s="6"/>
      <c r="AF365" s="6"/>
      <c r="AH365" s="6"/>
      <c r="AI365" s="6"/>
      <c r="AJ365" s="6"/>
      <c r="AK365" s="6"/>
      <c r="AL365" s="6"/>
      <c r="AN365" s="6"/>
      <c r="AO365" s="243"/>
      <c r="AP365" s="6"/>
      <c r="AQ365" s="243"/>
      <c r="AR365" s="243"/>
      <c r="AT365" s="6"/>
      <c r="AU365" s="243"/>
      <c r="AV365" s="243"/>
      <c r="AW365" s="164"/>
      <c r="AX365" s="6"/>
    </row>
    <row r="366" spans="2:92" ht="12.95" customHeight="1" x14ac:dyDescent="0.25">
      <c r="B366" s="10" t="s">
        <v>597</v>
      </c>
      <c r="J366" s="575">
        <f>J362/J364</f>
        <v>1.2587238285144567E-2</v>
      </c>
      <c r="K366" s="575">
        <f t="shared" ref="K366:N366" si="4068">K362/K364</f>
        <v>1.2647241165530069E-2</v>
      </c>
      <c r="L366" s="575">
        <f t="shared" si="4068"/>
        <v>1.2594147425608099E-2</v>
      </c>
      <c r="M366" s="575">
        <f t="shared" si="4068"/>
        <v>1.2336448598130842E-2</v>
      </c>
      <c r="N366" s="575">
        <f t="shared" si="4068"/>
        <v>5.0342679127725859E-2</v>
      </c>
      <c r="P366" s="575">
        <f>P362/P364</f>
        <v>1.3418447107868681E-2</v>
      </c>
      <c r="Q366" s="575">
        <f t="shared" ref="Q366:T366" si="4069">Q362/Q364</f>
        <v>1.3414951810367283E-2</v>
      </c>
      <c r="R366" s="575">
        <f t="shared" si="4069"/>
        <v>1.1232279171210469E-2</v>
      </c>
      <c r="S366" s="575">
        <f t="shared" si="4069"/>
        <v>1.2217737536816844E-2</v>
      </c>
      <c r="T366" s="575">
        <f t="shared" si="4069"/>
        <v>4.5925602705356172E-2</v>
      </c>
      <c r="V366" s="575">
        <f>V362/V364</f>
        <v>1.2347027972027972E-2</v>
      </c>
      <c r="W366" s="575">
        <f t="shared" ref="W366:Z366" si="4070">W362/W364</f>
        <v>1.2120667983479978E-2</v>
      </c>
      <c r="X366" s="575">
        <f t="shared" si="4070"/>
        <v>1.2192935269858346E-2</v>
      </c>
      <c r="Y366" s="575">
        <f t="shared" si="4070"/>
        <v>1.1613364302304805E-2</v>
      </c>
      <c r="Z366" s="575">
        <f t="shared" si="4070"/>
        <v>4.5917455779882078E-2</v>
      </c>
      <c r="AB366" s="575">
        <f>AB362/AB364</f>
        <v>1.2819355421142908E-2</v>
      </c>
      <c r="AC366" s="575">
        <f t="shared" ref="AC366:AF366" si="4071">AC362/AC364</f>
        <v>1.2202562538133009E-2</v>
      </c>
      <c r="AD366" s="575">
        <f t="shared" si="4071"/>
        <v>1.1592434411226357E-2</v>
      </c>
      <c r="AE366" s="575">
        <f t="shared" si="4071"/>
        <v>1.1398330958681051E-2</v>
      </c>
      <c r="AF366" s="575">
        <f t="shared" si="4071"/>
        <v>4.9664156319967435E-2</v>
      </c>
      <c r="AH366" s="575">
        <f>AH362/AH364</f>
        <v>1.1132672862833214E-2</v>
      </c>
      <c r="AI366" s="575">
        <f t="shared" ref="AI366:AL366" si="4072">AI362/AI364</f>
        <v>1.1084881453351124E-2</v>
      </c>
      <c r="AJ366" s="575">
        <f t="shared" si="4072"/>
        <v>1.1314095910317625E-2</v>
      </c>
      <c r="AK366" s="575">
        <f t="shared" si="4072"/>
        <v>1.2121840033153751E-2</v>
      </c>
      <c r="AL366" s="575">
        <f t="shared" si="4072"/>
        <v>4.5897223373394115E-2</v>
      </c>
      <c r="AN366" s="575">
        <f>AN362/AN364</f>
        <v>1.3401205069603158E-2</v>
      </c>
      <c r="AO366" s="575">
        <f t="shared" ref="AO366:AR366" si="4073">AO362/AO364</f>
        <v>1.3205781428719974E-2</v>
      </c>
      <c r="AP366" s="575">
        <f t="shared" si="4073"/>
        <v>1.3503611430964095E-2</v>
      </c>
      <c r="AQ366" s="575">
        <f t="shared" si="4073"/>
        <v>1.3029989658738366E-2</v>
      </c>
      <c r="AR366" s="575">
        <f t="shared" si="4073"/>
        <v>5.2849312234977762E-2</v>
      </c>
      <c r="AT366" s="575">
        <f>AT362/AT364</f>
        <v>1.4835563855171699E-2</v>
      </c>
      <c r="AU366" s="575">
        <f t="shared" ref="AU366:AX366" si="4074">AU362/AU364</f>
        <v>1.583815028901734E-2</v>
      </c>
      <c r="AV366" s="575">
        <f t="shared" si="4074"/>
        <v>1.4230418943533697E-2</v>
      </c>
      <c r="AW366" s="583">
        <f t="shared" si="4074"/>
        <v>1.4230418943533697E-2</v>
      </c>
      <c r="AX366" s="575">
        <f t="shared" si="4074"/>
        <v>6.033697632058288E-2</v>
      </c>
      <c r="AZ366" s="575">
        <f>AZ362/AZ364</f>
        <v>1.440955519311227E-2</v>
      </c>
      <c r="BA366" s="575">
        <f t="shared" ref="BA366:BD366" si="4075">BA362/BA364</f>
        <v>1.440955519311227E-2</v>
      </c>
      <c r="BB366" s="575">
        <f t="shared" si="4075"/>
        <v>1.440955519311227E-2</v>
      </c>
      <c r="BC366" s="575">
        <f t="shared" si="4075"/>
        <v>1.440955519311227E-2</v>
      </c>
      <c r="BD366" s="575">
        <f t="shared" si="4075"/>
        <v>5.7638220772449081E-2</v>
      </c>
      <c r="BF366" s="575">
        <f>BF362/BF364</f>
        <v>1.440955519311227E-2</v>
      </c>
      <c r="BG366" s="575">
        <f t="shared" ref="BG366:BJ366" si="4076">BG362/BG364</f>
        <v>1.440955519311227E-2</v>
      </c>
      <c r="BH366" s="575">
        <f t="shared" si="4076"/>
        <v>1.440955519311227E-2</v>
      </c>
      <c r="BI366" s="575">
        <f t="shared" si="4076"/>
        <v>1.440955519311227E-2</v>
      </c>
      <c r="BJ366" s="575">
        <f t="shared" si="4076"/>
        <v>5.7638220772449081E-2</v>
      </c>
      <c r="BL366" s="575">
        <f>BL362/BL364</f>
        <v>1.440955519311227E-2</v>
      </c>
      <c r="BM366" s="575">
        <f t="shared" ref="BM366:BP366" si="4077">BM362/BM364</f>
        <v>1.440955519311227E-2</v>
      </c>
      <c r="BN366" s="575">
        <f t="shared" si="4077"/>
        <v>1.440955519311227E-2</v>
      </c>
      <c r="BO366" s="575">
        <f t="shared" si="4077"/>
        <v>1.440955519311227E-2</v>
      </c>
      <c r="BP366" s="575">
        <f t="shared" si="4077"/>
        <v>5.7638220772449081E-2</v>
      </c>
      <c r="BR366" s="575">
        <f>BR362/BR364</f>
        <v>1.440955519311227E-2</v>
      </c>
      <c r="BS366" s="575">
        <f t="shared" ref="BS366:BV366" si="4078">BS362/BS364</f>
        <v>1.440955519311227E-2</v>
      </c>
      <c r="BT366" s="575">
        <f t="shared" si="4078"/>
        <v>1.440955519311227E-2</v>
      </c>
      <c r="BU366" s="575">
        <f t="shared" si="4078"/>
        <v>1.440955519311227E-2</v>
      </c>
      <c r="BV366" s="575">
        <f t="shared" si="4078"/>
        <v>5.7638220772449081E-2</v>
      </c>
      <c r="BX366" s="575">
        <f>BX362/BX364</f>
        <v>1.440955519311227E-2</v>
      </c>
      <c r="BY366" s="575">
        <f t="shared" ref="BY366:CB366" si="4079">BY362/BY364</f>
        <v>1.4360358135602285E-2</v>
      </c>
      <c r="BZ366" s="575">
        <f t="shared" si="4079"/>
        <v>1.4360358135602285E-2</v>
      </c>
      <c r="CA366" s="575">
        <f t="shared" si="4079"/>
        <v>1.4360358135602285E-2</v>
      </c>
      <c r="CB366" s="575">
        <f t="shared" si="4079"/>
        <v>5.7819903120197448E-2</v>
      </c>
      <c r="CD366" s="575">
        <f>CD362/CD364</f>
        <v>1.4360358135602285E-2</v>
      </c>
      <c r="CE366" s="575">
        <f t="shared" ref="CE366:CH366" si="4080">CE362/CE364</f>
        <v>1.4360358135602285E-2</v>
      </c>
      <c r="CF366" s="575">
        <f t="shared" si="4080"/>
        <v>1.4360358135602285E-2</v>
      </c>
      <c r="CG366" s="575">
        <f t="shared" si="4080"/>
        <v>1.4360358135602285E-2</v>
      </c>
      <c r="CH366" s="575">
        <f t="shared" si="4080"/>
        <v>5.7441432542409139E-2</v>
      </c>
      <c r="CJ366" s="575">
        <f>CJ362/CJ364</f>
        <v>1.4958663666620162E-2</v>
      </c>
      <c r="CK366" s="575">
        <f t="shared" ref="CK366:CN366" si="4081">CK362/CK364</f>
        <v>1.4855782725460039E-2</v>
      </c>
      <c r="CL366" s="575">
        <f t="shared" si="4081"/>
        <v>1.4855782725460039E-2</v>
      </c>
      <c r="CM366" s="575">
        <f t="shared" si="4081"/>
        <v>1.4855782725460039E-2</v>
      </c>
      <c r="CN366" s="575">
        <f t="shared" si="4081"/>
        <v>5.9993591342825892E-2</v>
      </c>
    </row>
    <row r="367" spans="2:92" ht="12.95" customHeight="1" x14ac:dyDescent="0.25">
      <c r="B367" s="10" t="s">
        <v>598</v>
      </c>
      <c r="J367" s="575">
        <f>J361/J364</f>
        <v>1.1820358193863076E-2</v>
      </c>
      <c r="K367" s="575">
        <f t="shared" ref="K367:N367" si="4082">K361/K364</f>
        <v>1.177652491516349E-2</v>
      </c>
      <c r="L367" s="575">
        <f t="shared" si="4082"/>
        <v>1.1740074751575992E-2</v>
      </c>
      <c r="M367" s="575">
        <f t="shared" si="4082"/>
        <v>1.1818496101551808E-2</v>
      </c>
      <c r="N367" s="575">
        <f t="shared" si="4082"/>
        <v>4.7320937597048987E-2</v>
      </c>
      <c r="P367" s="575">
        <f>P361/P364</f>
        <v>1.2206842322503282E-2</v>
      </c>
      <c r="Q367" s="575">
        <f t="shared" ref="Q367:T367" si="4083">Q361/Q364</f>
        <v>1.220456456443212E-2</v>
      </c>
      <c r="R367" s="575">
        <f t="shared" si="4083"/>
        <v>1.0690410784300901E-2</v>
      </c>
      <c r="S367" s="575">
        <f t="shared" si="4083"/>
        <v>1.1000265113340169E-2</v>
      </c>
      <c r="T367" s="575">
        <f t="shared" si="4083"/>
        <v>4.2137762144570046E-2</v>
      </c>
      <c r="V367" s="575">
        <f>V361/V364</f>
        <v>1.101332706806415E-2</v>
      </c>
      <c r="W367" s="575">
        <f t="shared" ref="W367:Z367" si="4084">W361/W364</f>
        <v>1.0387944379512695E-2</v>
      </c>
      <c r="X367" s="575">
        <f t="shared" si="4084"/>
        <v>1.0377410977194464E-2</v>
      </c>
      <c r="Y367" s="575">
        <f t="shared" si="4084"/>
        <v>1.0350535293639945E-2</v>
      </c>
      <c r="Z367" s="575">
        <f t="shared" si="4084"/>
        <v>4.0031126312539578E-2</v>
      </c>
      <c r="AB367" s="575">
        <f>AB361/AB364</f>
        <v>1.0427453761240565E-2</v>
      </c>
      <c r="AC367" s="575">
        <f t="shared" ref="AC367:AF367" si="4085">AC361/AC364</f>
        <v>1.1112101338906758E-2</v>
      </c>
      <c r="AD367" s="575">
        <f t="shared" si="4085"/>
        <v>1.1130512516622797E-2</v>
      </c>
      <c r="AE367" s="575">
        <f t="shared" si="4085"/>
        <v>1.0009809806188433E-2</v>
      </c>
      <c r="AF367" s="575">
        <f t="shared" si="4085"/>
        <v>4.4025560871580188E-2</v>
      </c>
      <c r="AH367" s="575">
        <f>AH361/AH364</f>
        <v>1.0034564432514331E-2</v>
      </c>
      <c r="AI367" s="575">
        <f t="shared" ref="AI367:AL367" si="4086">AI361/AI364</f>
        <v>1.0070196063595778E-2</v>
      </c>
      <c r="AJ367" s="575">
        <f t="shared" si="4086"/>
        <v>1.0152581088721182E-2</v>
      </c>
      <c r="AK367" s="575">
        <f t="shared" si="4086"/>
        <v>1.0011926214292179E-2</v>
      </c>
      <c r="AL367" s="575">
        <f t="shared" si="4086"/>
        <v>4.0489786431356145E-2</v>
      </c>
      <c r="AN367" s="575">
        <f>AN361/AN364</f>
        <v>1.0031314909648701E-2</v>
      </c>
      <c r="AO367" s="575">
        <f t="shared" ref="AO367:AR367" si="4087">AO361/AO364</f>
        <v>1.0037531726889908E-2</v>
      </c>
      <c r="AP367" s="575">
        <f t="shared" si="4087"/>
        <v>1.0082215642950774E-2</v>
      </c>
      <c r="AQ367" s="575">
        <f t="shared" si="4087"/>
        <v>9.4798484836737477E-3</v>
      </c>
      <c r="AR367" s="575">
        <f t="shared" si="4087"/>
        <v>3.9412340553522857E-2</v>
      </c>
      <c r="AT367" s="575">
        <f>AT361/AT364</f>
        <v>9.5465352696122961E-3</v>
      </c>
      <c r="AU367" s="575">
        <f t="shared" ref="AU367:AX367" si="4088">AU361/AU364</f>
        <v>1.0214302591132348E-2</v>
      </c>
      <c r="AV367" s="575">
        <f t="shared" si="4088"/>
        <v>1.0112251273531775E-2</v>
      </c>
      <c r="AW367" s="583">
        <f t="shared" si="4088"/>
        <v>1.0112251273531775E-2</v>
      </c>
      <c r="AX367" s="575">
        <f t="shared" si="4088"/>
        <v>4.0758743311759334E-2</v>
      </c>
      <c r="AZ367" s="575">
        <f>AZ361/AZ364</f>
        <v>1.0222266755411507E-2</v>
      </c>
      <c r="BA367" s="575">
        <f t="shared" ref="BA367:BD367" si="4089">BA361/BA364</f>
        <v>1.0222266755411507E-2</v>
      </c>
      <c r="BB367" s="575">
        <f t="shared" si="4089"/>
        <v>1.0222266755411507E-2</v>
      </c>
      <c r="BC367" s="575">
        <f t="shared" si="4089"/>
        <v>1.0222266755411507E-2</v>
      </c>
      <c r="BD367" s="575">
        <f t="shared" si="4089"/>
        <v>4.0889067021646026E-2</v>
      </c>
      <c r="BF367" s="575">
        <f>BF361/BF364</f>
        <v>1.0222266755411507E-2</v>
      </c>
      <c r="BG367" s="575">
        <f t="shared" ref="BG367:BJ367" si="4090">BG361/BG364</f>
        <v>1.0222266755411507E-2</v>
      </c>
      <c r="BH367" s="575">
        <f t="shared" si="4090"/>
        <v>1.0222266755411507E-2</v>
      </c>
      <c r="BI367" s="575">
        <f t="shared" si="4090"/>
        <v>1.0222266755411507E-2</v>
      </c>
      <c r="BJ367" s="575">
        <f t="shared" si="4090"/>
        <v>4.0889067021646026E-2</v>
      </c>
      <c r="BL367" s="575">
        <f>BL361/BL364</f>
        <v>1.0222266755411507E-2</v>
      </c>
      <c r="BM367" s="575">
        <f t="shared" ref="BM367:BP367" si="4091">BM361/BM364</f>
        <v>1.0222266755411507E-2</v>
      </c>
      <c r="BN367" s="575">
        <f t="shared" si="4091"/>
        <v>1.0222266755411507E-2</v>
      </c>
      <c r="BO367" s="575">
        <f t="shared" si="4091"/>
        <v>1.0222266755411507E-2</v>
      </c>
      <c r="BP367" s="575">
        <f t="shared" si="4091"/>
        <v>4.0889067021646026E-2</v>
      </c>
      <c r="BR367" s="575">
        <f>BR361/BR364</f>
        <v>1.0222266755411507E-2</v>
      </c>
      <c r="BS367" s="575">
        <f t="shared" ref="BS367:BV367" si="4092">BS361/BS364</f>
        <v>1.0222266755411507E-2</v>
      </c>
      <c r="BT367" s="575">
        <f t="shared" si="4092"/>
        <v>1.0222266755411507E-2</v>
      </c>
      <c r="BU367" s="575">
        <f t="shared" si="4092"/>
        <v>1.0222266755411507E-2</v>
      </c>
      <c r="BV367" s="575">
        <f t="shared" si="4092"/>
        <v>4.0889067021646026E-2</v>
      </c>
      <c r="BX367" s="575">
        <f>BX361/BX364</f>
        <v>1.0222266755411507E-2</v>
      </c>
      <c r="BY367" s="575">
        <f t="shared" ref="BY367:CB367" si="4093">BY361/BY364</f>
        <v>1.0077385744731234E-2</v>
      </c>
      <c r="BZ367" s="575">
        <f t="shared" si="4093"/>
        <v>1.0077385744731234E-2</v>
      </c>
      <c r="CA367" s="575">
        <f t="shared" si="4093"/>
        <v>1.0077385744731234E-2</v>
      </c>
      <c r="CB367" s="575">
        <f t="shared" si="4093"/>
        <v>4.068801355671324E-2</v>
      </c>
      <c r="CD367" s="575">
        <f>CD361/CD364</f>
        <v>1.0077385744731234E-2</v>
      </c>
      <c r="CE367" s="575">
        <f t="shared" ref="CE367:CH367" si="4094">CE361/CE364</f>
        <v>1.0077385744731234E-2</v>
      </c>
      <c r="CF367" s="575">
        <f t="shared" si="4094"/>
        <v>1.0077385744731234E-2</v>
      </c>
      <c r="CG367" s="575">
        <f t="shared" si="4094"/>
        <v>1.0077385744731234E-2</v>
      </c>
      <c r="CH367" s="575">
        <f t="shared" si="4094"/>
        <v>4.0309542978924938E-2</v>
      </c>
      <c r="CJ367" s="575">
        <f>CJ361/CJ364</f>
        <v>1.0409049176204253E-2</v>
      </c>
      <c r="CK367" s="575">
        <f t="shared" ref="CK367:CN367" si="4095">CK361/CK364</f>
        <v>1.016395590142672E-2</v>
      </c>
      <c r="CL367" s="575">
        <f t="shared" si="4095"/>
        <v>1.016395590142672E-2</v>
      </c>
      <c r="CM367" s="575">
        <f t="shared" si="4095"/>
        <v>1.016395590142672E-2</v>
      </c>
      <c r="CN367" s="575">
        <f t="shared" si="4095"/>
        <v>4.122628404669261E-2</v>
      </c>
    </row>
    <row r="368" spans="2:92" ht="12.95" customHeight="1" x14ac:dyDescent="0.25">
      <c r="AI368" s="6"/>
      <c r="AO368" s="251"/>
      <c r="AQ368" s="251"/>
      <c r="AR368" s="251"/>
      <c r="AU368" s="251"/>
      <c r="AV368" s="251"/>
      <c r="AW368" s="220"/>
    </row>
    <row r="369" spans="1:92" ht="12.95" customHeight="1" x14ac:dyDescent="0.25">
      <c r="A369" s="1" t="s">
        <v>4</v>
      </c>
      <c r="B369" s="29" t="s">
        <v>88</v>
      </c>
      <c r="AO369" s="251"/>
      <c r="AQ369" s="251"/>
      <c r="AR369" s="251"/>
      <c r="AU369" s="251"/>
      <c r="AV369" s="251"/>
      <c r="AW369" s="220"/>
    </row>
    <row r="370" spans="1:92" ht="12.95" customHeight="1" x14ac:dyDescent="0.25">
      <c r="B370" s="2" t="s">
        <v>52</v>
      </c>
      <c r="D370" s="6">
        <f>D80</f>
        <v>587.5</v>
      </c>
      <c r="E370" s="6">
        <f>E80</f>
        <v>590.20000000000005</v>
      </c>
      <c r="F370" s="6">
        <f>F80</f>
        <v>592.9</v>
      </c>
      <c r="G370" s="6">
        <f>G80</f>
        <v>596.4</v>
      </c>
      <c r="H370" s="6">
        <f>H80</f>
        <v>591.75</v>
      </c>
      <c r="I370" s="21"/>
      <c r="J370" s="6">
        <f>J80</f>
        <v>598</v>
      </c>
      <c r="K370" s="6">
        <f>K80</f>
        <v>596.20000000000005</v>
      </c>
      <c r="L370" s="6">
        <f>L80</f>
        <v>592</v>
      </c>
      <c r="M370" s="6">
        <f>M80</f>
        <v>581.4</v>
      </c>
      <c r="N370" s="6">
        <f>N80</f>
        <v>591.9</v>
      </c>
      <c r="O370" s="21"/>
      <c r="P370" s="6">
        <f>P80</f>
        <v>572.4</v>
      </c>
      <c r="Q370" s="6">
        <f>Q80</f>
        <v>567.79999999999995</v>
      </c>
      <c r="R370" s="6">
        <f>R80</f>
        <v>556.29999999999995</v>
      </c>
      <c r="S370" s="6">
        <f>S80</f>
        <v>550.29999999999995</v>
      </c>
      <c r="T370" s="6">
        <f>T80</f>
        <v>561.69999999999993</v>
      </c>
      <c r="U370" s="6"/>
      <c r="V370" s="6">
        <f>V80</f>
        <v>546.79999999999995</v>
      </c>
      <c r="W370" s="6">
        <f>W80</f>
        <v>545.92999999999995</v>
      </c>
      <c r="X370" s="6">
        <f>X80</f>
        <v>542.29999999999995</v>
      </c>
      <c r="Y370" s="6">
        <f>Y80</f>
        <v>544.5</v>
      </c>
      <c r="Z370" s="6">
        <f>Z80</f>
        <v>544.88249999999994</v>
      </c>
      <c r="AA370" s="6"/>
      <c r="AB370" s="6">
        <f>AB80</f>
        <v>546.4</v>
      </c>
      <c r="AC370" s="6">
        <f>AC80</f>
        <v>547.9</v>
      </c>
      <c r="AD370" s="6">
        <f>AD80</f>
        <v>544</v>
      </c>
      <c r="AE370" s="6">
        <f>AE80</f>
        <v>538.70000000000005</v>
      </c>
      <c r="AF370" s="6">
        <f>AF80</f>
        <v>544.25</v>
      </c>
      <c r="AG370" s="6"/>
      <c r="AH370" s="6">
        <f>AH80</f>
        <v>534.5</v>
      </c>
      <c r="AI370" s="6">
        <f>AI80</f>
        <v>531</v>
      </c>
      <c r="AJ370" s="6">
        <f>AJ80</f>
        <v>525</v>
      </c>
      <c r="AK370" s="6">
        <f>AK80</f>
        <v>517.4</v>
      </c>
      <c r="AL370" s="6">
        <f>AL80</f>
        <v>526.97500000000002</v>
      </c>
      <c r="AM370" s="6"/>
      <c r="AN370" s="6">
        <f>AN80</f>
        <v>516.20000000000005</v>
      </c>
      <c r="AO370" s="6">
        <f>AO80</f>
        <v>512.9</v>
      </c>
      <c r="AP370" s="6">
        <f>AP80</f>
        <v>509.8</v>
      </c>
      <c r="AQ370" s="6">
        <f>AQ80</f>
        <v>504.4</v>
      </c>
      <c r="AR370" s="6">
        <f>AR80</f>
        <v>510.82499999999993</v>
      </c>
      <c r="AS370" s="6"/>
      <c r="AT370" s="6">
        <f>AT80</f>
        <v>493.9</v>
      </c>
      <c r="AU370" s="6">
        <f>AU80</f>
        <v>487.2</v>
      </c>
      <c r="AV370" s="6">
        <f>AV80</f>
        <v>484.2</v>
      </c>
      <c r="AW370" s="164">
        <f>AV370-AW377</f>
        <v>481.97777777777776</v>
      </c>
      <c r="AX370" s="6">
        <f>AX80</f>
        <v>486.81944444444446</v>
      </c>
      <c r="AY370" s="6"/>
      <c r="AZ370" s="6">
        <f>AW370-AZ377</f>
        <v>477.81111111111107</v>
      </c>
      <c r="BA370" s="6">
        <f>AZ370-BA377</f>
        <v>473.64444444444439</v>
      </c>
      <c r="BB370" s="6">
        <f>BA370-BB377</f>
        <v>469.4777777777777</v>
      </c>
      <c r="BC370" s="6">
        <f>BB370-BC377</f>
        <v>465.31111111111102</v>
      </c>
      <c r="BD370" s="6">
        <f>BC370</f>
        <v>465.31111111111102</v>
      </c>
      <c r="BE370" s="6"/>
      <c r="BF370" s="6">
        <f>BC370-BF377</f>
        <v>461.14444444444433</v>
      </c>
      <c r="BG370" s="6">
        <f>BF370-BG377</f>
        <v>456.97777777777765</v>
      </c>
      <c r="BH370" s="6">
        <f>BG370-BH377</f>
        <v>452.11666666666656</v>
      </c>
      <c r="BI370" s="6">
        <f>BH370-BI377</f>
        <v>447.25555555555547</v>
      </c>
      <c r="BJ370" s="6">
        <f>BI370</f>
        <v>447.25555555555547</v>
      </c>
      <c r="BK370" s="6"/>
      <c r="BL370" s="6">
        <f>BI370-BL377</f>
        <v>442.39444444444439</v>
      </c>
      <c r="BM370" s="6">
        <f>BL370-BM377</f>
        <v>437.5333333333333</v>
      </c>
      <c r="BN370" s="6">
        <f>BM370-BN377</f>
        <v>432.67222222222222</v>
      </c>
      <c r="BO370" s="6">
        <f>BN370-BO377</f>
        <v>427.81111111111113</v>
      </c>
      <c r="BP370" s="6">
        <f>BO370</f>
        <v>427.81111111111113</v>
      </c>
      <c r="BQ370" s="6"/>
      <c r="BR370" s="6">
        <f>BO370-BR377</f>
        <v>422.95000000000005</v>
      </c>
      <c r="BS370" s="6">
        <f>BR370-BS377</f>
        <v>418.08888888888896</v>
      </c>
      <c r="BT370" s="6">
        <f>BS370-BT377</f>
        <v>412.53333333333342</v>
      </c>
      <c r="BU370" s="6">
        <f>BT370-BU377</f>
        <v>406.97777777777787</v>
      </c>
      <c r="BV370" s="6">
        <f>BU370</f>
        <v>406.97777777777787</v>
      </c>
      <c r="BW370" s="6"/>
      <c r="BX370" s="6">
        <f>BU370-BX377</f>
        <v>401.42222222222233</v>
      </c>
      <c r="BY370" s="6">
        <f>BX370-BY377</f>
        <v>395.86666666666679</v>
      </c>
      <c r="BZ370" s="6">
        <f>BY370-BZ377</f>
        <v>390.31111111111125</v>
      </c>
      <c r="CA370" s="6">
        <f>BZ370-CA377</f>
        <v>384.7555555555557</v>
      </c>
      <c r="CB370" s="6">
        <f>CA370</f>
        <v>384.7555555555557</v>
      </c>
      <c r="CC370" s="6"/>
      <c r="CD370" s="6">
        <f>CA370-CD377</f>
        <v>379.20000000000016</v>
      </c>
      <c r="CE370" s="6">
        <f>CD370-CE377</f>
        <v>373.64444444444462</v>
      </c>
      <c r="CF370" s="6">
        <f>CE370-CF377</f>
        <v>366.70000000000016</v>
      </c>
      <c r="CG370" s="6">
        <f>CF370-CG377</f>
        <v>359.7555555555557</v>
      </c>
      <c r="CH370" s="6">
        <f>CG370</f>
        <v>359.7555555555557</v>
      </c>
      <c r="CI370" s="6"/>
      <c r="CJ370" s="6">
        <f>CG370-CJ377</f>
        <v>352.81111111111125</v>
      </c>
      <c r="CK370" s="6">
        <f>CJ370-CK377</f>
        <v>345.86666666666679</v>
      </c>
      <c r="CL370" s="6">
        <f>CK370-CL377</f>
        <v>338.92222222222233</v>
      </c>
      <c r="CM370" s="6">
        <f>CL370-CM377</f>
        <v>331.97777777777787</v>
      </c>
      <c r="CN370" s="6">
        <f>CM370</f>
        <v>331.97777777777787</v>
      </c>
    </row>
    <row r="371" spans="1:92" ht="12.95" customHeight="1" x14ac:dyDescent="0.25">
      <c r="B371" s="2" t="s">
        <v>53</v>
      </c>
      <c r="D371" s="6">
        <f>D81</f>
        <v>593.20000000000005</v>
      </c>
      <c r="E371" s="6">
        <f>E81</f>
        <v>595.4</v>
      </c>
      <c r="F371" s="6">
        <f>F81</f>
        <v>600.1</v>
      </c>
      <c r="G371" s="6">
        <f>G81</f>
        <v>600</v>
      </c>
      <c r="H371" s="6">
        <f>H81</f>
        <v>597.17499999999995</v>
      </c>
      <c r="I371" s="21"/>
      <c r="J371" s="6">
        <f>J81</f>
        <v>608</v>
      </c>
      <c r="K371" s="6">
        <f>K81</f>
        <v>604.20000000000005</v>
      </c>
      <c r="L371" s="6">
        <f>L81</f>
        <v>599.4</v>
      </c>
      <c r="M371" s="6">
        <f>M81</f>
        <v>587.6</v>
      </c>
      <c r="N371" s="6">
        <f>N81</f>
        <v>599.79999999999995</v>
      </c>
      <c r="O371" s="21"/>
      <c r="P371" s="6">
        <f>P81</f>
        <v>578.79999999999995</v>
      </c>
      <c r="Q371" s="6">
        <f>Q81</f>
        <v>573.1</v>
      </c>
      <c r="R371" s="6">
        <f>R81</f>
        <v>561.20000000000005</v>
      </c>
      <c r="S371" s="6">
        <f>S81</f>
        <v>556.1</v>
      </c>
      <c r="T371" s="6">
        <f>T81</f>
        <v>567.30000000000007</v>
      </c>
      <c r="U371" s="6"/>
      <c r="V371" s="6">
        <f>V81</f>
        <v>551.1</v>
      </c>
      <c r="W371" s="6">
        <f>W81</f>
        <v>550.23</v>
      </c>
      <c r="X371" s="6">
        <f>X81</f>
        <v>546.4</v>
      </c>
      <c r="Y371" s="6">
        <f>Y81</f>
        <v>549.5</v>
      </c>
      <c r="Z371" s="6">
        <f>Z81</f>
        <v>549.3075</v>
      </c>
      <c r="AA371" s="6"/>
      <c r="AB371" s="6">
        <f>AB81</f>
        <v>551.4</v>
      </c>
      <c r="AC371" s="6">
        <f>AC81</f>
        <v>552.1</v>
      </c>
      <c r="AD371" s="6">
        <f>AD81</f>
        <v>547.6</v>
      </c>
      <c r="AE371" s="6">
        <f>AE81</f>
        <v>542.6</v>
      </c>
      <c r="AF371" s="6">
        <f>AF81</f>
        <v>548.42499999999995</v>
      </c>
      <c r="AG371" s="6"/>
      <c r="AH371" s="6">
        <f>AH81</f>
        <v>538.29999999999995</v>
      </c>
      <c r="AI371" s="6">
        <f>AI81</f>
        <v>534.1</v>
      </c>
      <c r="AJ371" s="6">
        <f>AJ81</f>
        <v>527.54999999999995</v>
      </c>
      <c r="AK371" s="6">
        <f>AK81</f>
        <v>520.9</v>
      </c>
      <c r="AL371" s="6">
        <f>AL81</f>
        <v>530.21249999999998</v>
      </c>
      <c r="AM371" s="6"/>
      <c r="AN371" s="6">
        <f>AN81</f>
        <v>519.4</v>
      </c>
      <c r="AO371" s="6">
        <f>AO81</f>
        <v>515</v>
      </c>
      <c r="AP371" s="6">
        <f>AP81</f>
        <v>512.6</v>
      </c>
      <c r="AQ371" s="6">
        <f>AQ81</f>
        <v>507</v>
      </c>
      <c r="AR371" s="6">
        <f>AR81</f>
        <v>513.5</v>
      </c>
      <c r="AS371" s="6"/>
      <c r="AT371" s="6">
        <f>AT81</f>
        <v>496.9</v>
      </c>
      <c r="AU371" s="6">
        <f>AU81</f>
        <v>489.5</v>
      </c>
      <c r="AV371" s="6">
        <f>AV81</f>
        <v>486.7</v>
      </c>
      <c r="AW371" s="164">
        <f>AV371-AW377</f>
        <v>484.47777777777776</v>
      </c>
      <c r="AX371" s="6">
        <f>AX81</f>
        <v>489.39444444444439</v>
      </c>
      <c r="AY371" s="6"/>
      <c r="AZ371" s="6">
        <f>AW371-AZ377</f>
        <v>480.31111111111107</v>
      </c>
      <c r="BA371" s="6">
        <f>AZ371-BA377</f>
        <v>476.14444444444439</v>
      </c>
      <c r="BB371" s="6">
        <f>BA371-BB377</f>
        <v>471.9777777777777</v>
      </c>
      <c r="BC371" s="6">
        <f>BB371-BC377</f>
        <v>467.81111111111102</v>
      </c>
      <c r="BD371" s="6">
        <f>BC371</f>
        <v>467.81111111111102</v>
      </c>
      <c r="BE371" s="6"/>
      <c r="BF371" s="6">
        <f>BC371-BF377</f>
        <v>463.64444444444433</v>
      </c>
      <c r="BG371" s="6">
        <f>BF371-BG377</f>
        <v>459.47777777777765</v>
      </c>
      <c r="BH371" s="6">
        <f>BG371-BH377</f>
        <v>454.61666666666656</v>
      </c>
      <c r="BI371" s="6">
        <f>BH371-BI377</f>
        <v>449.75555555555547</v>
      </c>
      <c r="BJ371" s="6">
        <f>BI371</f>
        <v>449.75555555555547</v>
      </c>
      <c r="BK371" s="6"/>
      <c r="BL371" s="6">
        <f>BI371-BL377</f>
        <v>444.89444444444439</v>
      </c>
      <c r="BM371" s="6">
        <f>BL371-BM377</f>
        <v>440.0333333333333</v>
      </c>
      <c r="BN371" s="6">
        <f>BM371-BN377</f>
        <v>435.17222222222222</v>
      </c>
      <c r="BO371" s="6">
        <f>BN371-BO377</f>
        <v>430.31111111111113</v>
      </c>
      <c r="BP371" s="6">
        <f>BO371</f>
        <v>430.31111111111113</v>
      </c>
      <c r="BQ371" s="6"/>
      <c r="BR371" s="6">
        <f>BO371-BR377</f>
        <v>425.45000000000005</v>
      </c>
      <c r="BS371" s="6">
        <f>BR371-BS377</f>
        <v>420.58888888888896</v>
      </c>
      <c r="BT371" s="6">
        <f>BS371-BT377</f>
        <v>415.03333333333342</v>
      </c>
      <c r="BU371" s="6">
        <f>BT371-BU377</f>
        <v>409.47777777777787</v>
      </c>
      <c r="BV371" s="6">
        <f>BU371</f>
        <v>409.47777777777787</v>
      </c>
      <c r="BW371" s="6"/>
      <c r="BX371" s="6">
        <f>BU371-BX377</f>
        <v>403.92222222222233</v>
      </c>
      <c r="BY371" s="6">
        <f>BX371-BY377</f>
        <v>398.36666666666679</v>
      </c>
      <c r="BZ371" s="6">
        <f>BY371-BZ377</f>
        <v>392.81111111111125</v>
      </c>
      <c r="CA371" s="6">
        <f>BZ371-CA377</f>
        <v>387.2555555555557</v>
      </c>
      <c r="CB371" s="6">
        <f>CA371</f>
        <v>387.2555555555557</v>
      </c>
      <c r="CC371" s="6"/>
      <c r="CD371" s="6">
        <f>CA371-CD377</f>
        <v>381.70000000000016</v>
      </c>
      <c r="CE371" s="6">
        <f>CD371-CE377</f>
        <v>376.14444444444462</v>
      </c>
      <c r="CF371" s="6">
        <f>CE371-CF377</f>
        <v>369.20000000000016</v>
      </c>
      <c r="CG371" s="6">
        <f>CF371-CG377</f>
        <v>362.2555555555557</v>
      </c>
      <c r="CH371" s="6">
        <f>CG371</f>
        <v>362.2555555555557</v>
      </c>
      <c r="CI371" s="6"/>
      <c r="CJ371" s="6">
        <f>CG371-CJ377</f>
        <v>355.31111111111125</v>
      </c>
      <c r="CK371" s="6">
        <f>CJ371-CK377</f>
        <v>348.36666666666679</v>
      </c>
      <c r="CL371" s="6">
        <f>CK371-CL377</f>
        <v>341.42222222222233</v>
      </c>
      <c r="CM371" s="6">
        <f>CL371-CM377</f>
        <v>334.47777777777787</v>
      </c>
      <c r="CN371" s="6">
        <f>CM371</f>
        <v>334.47777777777787</v>
      </c>
    </row>
    <row r="372" spans="1:92" ht="12.95" customHeight="1" x14ac:dyDescent="0.25">
      <c r="B372" s="2" t="s">
        <v>89</v>
      </c>
      <c r="D372" s="27">
        <f>D181</f>
        <v>0</v>
      </c>
      <c r="E372" s="27">
        <f>E181</f>
        <v>0</v>
      </c>
      <c r="F372" s="27">
        <f>F181</f>
        <v>0</v>
      </c>
      <c r="G372" s="27">
        <f>G181</f>
        <v>0</v>
      </c>
      <c r="H372" s="6">
        <f>SUM(D372:G372)</f>
        <v>0</v>
      </c>
      <c r="J372" s="27">
        <f>J181</f>
        <v>-500</v>
      </c>
      <c r="K372" s="27">
        <f>K181</f>
        <v>-750</v>
      </c>
      <c r="L372" s="27">
        <f>L181</f>
        <v>-750</v>
      </c>
      <c r="M372" s="27">
        <f>M181</f>
        <v>-1798</v>
      </c>
      <c r="N372" s="6">
        <f>SUM(J372:M372)</f>
        <v>-3798</v>
      </c>
      <c r="P372" s="27">
        <f>P181</f>
        <v>-751</v>
      </c>
      <c r="Q372" s="27">
        <f>Q181</f>
        <v>-1354</v>
      </c>
      <c r="R372" s="27">
        <f>R181</f>
        <v>-1178</v>
      </c>
      <c r="S372" s="27">
        <f>S181</f>
        <v>-764</v>
      </c>
      <c r="T372" s="6">
        <f>SUM(P372:S372)</f>
        <v>-4047</v>
      </c>
      <c r="V372" s="27">
        <f>V181</f>
        <v>-1043</v>
      </c>
      <c r="W372" s="27">
        <f>W181</f>
        <v>-87</v>
      </c>
      <c r="X372" s="27">
        <f>X181</f>
        <v>0</v>
      </c>
      <c r="Y372" s="27">
        <f>Y181</f>
        <v>0</v>
      </c>
      <c r="Z372" s="6">
        <f>SUM(V372:Y372)</f>
        <v>-1130</v>
      </c>
      <c r="AB372" s="27">
        <f>AB181</f>
        <v>0</v>
      </c>
      <c r="AC372" s="27">
        <f>AC181</f>
        <v>-251</v>
      </c>
      <c r="AD372" s="27">
        <f>AD181</f>
        <v>-1371</v>
      </c>
      <c r="AE372" s="27">
        <f>AE181</f>
        <v>-1046</v>
      </c>
      <c r="AF372" s="6">
        <f>SUM(AB372:AE372)</f>
        <v>-2668</v>
      </c>
      <c r="AH372" s="27">
        <f>AH181</f>
        <v>-820</v>
      </c>
      <c r="AI372" s="27">
        <f>AI181</f>
        <v>-1104</v>
      </c>
      <c r="AJ372" s="27">
        <f>AJ181</f>
        <v>-1385</v>
      </c>
      <c r="AK372" s="27">
        <f>AK181</f>
        <v>-921</v>
      </c>
      <c r="AL372" s="6">
        <f>SUM(AH372:AK372)</f>
        <v>-4230</v>
      </c>
      <c r="AN372" s="27">
        <f>AN181</f>
        <v>-400</v>
      </c>
      <c r="AO372" s="27">
        <f>AO181</f>
        <v>-1429</v>
      </c>
      <c r="AP372" s="27">
        <f>AP181</f>
        <v>-380</v>
      </c>
      <c r="AQ372" s="27">
        <f>AQ181</f>
        <v>-2766</v>
      </c>
      <c r="AR372" s="6">
        <f>SUM(AN372:AQ372)</f>
        <v>-4975</v>
      </c>
      <c r="AT372" s="27">
        <f>AT181</f>
        <v>-4455</v>
      </c>
      <c r="AU372" s="27">
        <f>AU181</f>
        <v>-1820</v>
      </c>
      <c r="AV372" s="27">
        <f>AV181</f>
        <v>-782</v>
      </c>
      <c r="AW372" s="586">
        <v>-800</v>
      </c>
      <c r="AX372" s="6">
        <f>SUM(AT372:AW372)</f>
        <v>-7857</v>
      </c>
      <c r="AZ372" s="587">
        <v>-1500</v>
      </c>
      <c r="BA372" s="587">
        <v>-1500</v>
      </c>
      <c r="BB372" s="587">
        <v>-1500</v>
      </c>
      <c r="BC372" s="587">
        <v>-1500</v>
      </c>
      <c r="BD372" s="6">
        <f>SUM(AZ372:BC372)</f>
        <v>-6000</v>
      </c>
      <c r="BF372" s="587">
        <v>-1500</v>
      </c>
      <c r="BG372" s="587">
        <v>-1500</v>
      </c>
      <c r="BH372" s="587">
        <v>-1750</v>
      </c>
      <c r="BI372" s="587">
        <v>-1750</v>
      </c>
      <c r="BJ372" s="6">
        <f>SUM(BF372:BI372)</f>
        <v>-6500</v>
      </c>
      <c r="BL372" s="587">
        <v>-1750</v>
      </c>
      <c r="BM372" s="587">
        <v>-1750</v>
      </c>
      <c r="BN372" s="587">
        <v>-1750</v>
      </c>
      <c r="BO372" s="587">
        <v>-1750</v>
      </c>
      <c r="BP372" s="6">
        <f>SUM(BL372:BO372)</f>
        <v>-7000</v>
      </c>
      <c r="BR372" s="587">
        <v>-1750</v>
      </c>
      <c r="BS372" s="587">
        <v>-1750</v>
      </c>
      <c r="BT372" s="587">
        <v>-2000</v>
      </c>
      <c r="BU372" s="587">
        <v>-2000</v>
      </c>
      <c r="BV372" s="6">
        <f>SUM(BR372:BU372)</f>
        <v>-7500</v>
      </c>
      <c r="BX372" s="587">
        <v>-2000</v>
      </c>
      <c r="BY372" s="587">
        <v>-2000</v>
      </c>
      <c r="BZ372" s="587">
        <v>-2000</v>
      </c>
      <c r="CA372" s="587">
        <v>-2000</v>
      </c>
      <c r="CB372" s="6">
        <f>SUM(BX372:CA372)</f>
        <v>-8000</v>
      </c>
      <c r="CD372" s="587">
        <v>-2000</v>
      </c>
      <c r="CE372" s="587">
        <v>-2000</v>
      </c>
      <c r="CF372" s="587">
        <v>-2500</v>
      </c>
      <c r="CG372" s="587">
        <v>-2500</v>
      </c>
      <c r="CH372" s="6">
        <f>SUM(CD372:CG372)</f>
        <v>-9000</v>
      </c>
      <c r="CJ372" s="587">
        <v>-2500</v>
      </c>
      <c r="CK372" s="587">
        <v>-2500</v>
      </c>
      <c r="CL372" s="587">
        <v>-2500</v>
      </c>
      <c r="CM372" s="587">
        <v>-2500</v>
      </c>
      <c r="CN372" s="6">
        <f>SUM(CJ372:CM372)</f>
        <v>-10000</v>
      </c>
    </row>
    <row r="373" spans="1:92" ht="12.95" customHeight="1" x14ac:dyDescent="0.25">
      <c r="B373" s="2" t="s">
        <v>116</v>
      </c>
      <c r="D373" s="27">
        <f>D180</f>
        <v>-19</v>
      </c>
      <c r="E373" s="27">
        <f>E180</f>
        <v>102</v>
      </c>
      <c r="F373" s="27">
        <f>F180</f>
        <v>270</v>
      </c>
      <c r="G373" s="27">
        <f>G180</f>
        <v>213</v>
      </c>
      <c r="H373" s="6">
        <f>SUM(D373:G373)</f>
        <v>566</v>
      </c>
      <c r="J373" s="27">
        <f>J180</f>
        <v>149</v>
      </c>
      <c r="K373" s="27">
        <f>K180</f>
        <v>107</v>
      </c>
      <c r="L373" s="27">
        <f>L180</f>
        <v>36</v>
      </c>
      <c r="M373" s="27">
        <f>M180</f>
        <v>21</v>
      </c>
      <c r="N373" s="6">
        <f>SUM(J373:M373)</f>
        <v>313</v>
      </c>
      <c r="P373" s="27">
        <f>P180</f>
        <v>-5</v>
      </c>
      <c r="Q373" s="27">
        <f>Q180</f>
        <v>44</v>
      </c>
      <c r="R373" s="27">
        <f>R180</f>
        <v>20</v>
      </c>
      <c r="S373" s="27">
        <f>S180</f>
        <v>179</v>
      </c>
      <c r="T373" s="6">
        <f>SUM(P373:S373)</f>
        <v>238</v>
      </c>
      <c r="V373" s="27">
        <f>V180</f>
        <v>-23</v>
      </c>
      <c r="W373" s="27">
        <f>W180</f>
        <v>13</v>
      </c>
      <c r="X373" s="27">
        <f>X180</f>
        <v>120</v>
      </c>
      <c r="Y373" s="27">
        <f>Y180</f>
        <v>119</v>
      </c>
      <c r="Z373" s="6">
        <f>SUM(V373:Y373)</f>
        <v>229</v>
      </c>
      <c r="AB373" s="27">
        <f>AB180</f>
        <v>65</v>
      </c>
      <c r="AC373" s="27">
        <f>AC180</f>
        <v>58</v>
      </c>
      <c r="AD373" s="27">
        <f>AD180</f>
        <v>-1</v>
      </c>
      <c r="AE373" s="27">
        <f>AE180</f>
        <v>13</v>
      </c>
      <c r="AF373" s="6">
        <f>SUM(AB373:AE373)</f>
        <v>135</v>
      </c>
      <c r="AH373" s="27">
        <f>AH180</f>
        <v>-28</v>
      </c>
      <c r="AI373" s="27">
        <f>AI180</f>
        <v>32</v>
      </c>
      <c r="AJ373" s="27">
        <f>AJ180</f>
        <v>-2</v>
      </c>
      <c r="AK373" s="27">
        <f>AK180</f>
        <v>49</v>
      </c>
      <c r="AL373" s="6">
        <f>SUM(AH373:AK373)</f>
        <v>51</v>
      </c>
      <c r="AN373" s="27">
        <f>AN180</f>
        <v>-25</v>
      </c>
      <c r="AO373" s="27">
        <f>AO180</f>
        <v>3</v>
      </c>
      <c r="AP373" s="27">
        <f>AP180</f>
        <v>58</v>
      </c>
      <c r="AQ373" s="27">
        <f>AQ180</f>
        <v>-24</v>
      </c>
      <c r="AR373" s="6">
        <f>SUM(AN373:AQ373)</f>
        <v>12</v>
      </c>
      <c r="AT373" s="27">
        <f>AT180</f>
        <v>-8</v>
      </c>
      <c r="AU373" s="27">
        <f>AU180</f>
        <v>16</v>
      </c>
      <c r="AV373" s="27">
        <f>AV180</f>
        <v>7</v>
      </c>
      <c r="AW373" s="158">
        <f>AW180</f>
        <v>0</v>
      </c>
      <c r="AX373" s="6">
        <f>SUM(AT373:AW373)</f>
        <v>15</v>
      </c>
      <c r="AZ373" s="27">
        <f>AZ180</f>
        <v>0</v>
      </c>
      <c r="BA373" s="27">
        <f>BA180</f>
        <v>0</v>
      </c>
      <c r="BB373" s="27">
        <f>BB180</f>
        <v>0</v>
      </c>
      <c r="BC373" s="27">
        <f>BC180</f>
        <v>0</v>
      </c>
      <c r="BD373" s="6">
        <f>SUM(AZ373:BC373)</f>
        <v>0</v>
      </c>
      <c r="BF373" s="27">
        <f>BF180</f>
        <v>0</v>
      </c>
      <c r="BG373" s="27">
        <f>BG180</f>
        <v>0</v>
      </c>
      <c r="BH373" s="27">
        <f>BH180</f>
        <v>0</v>
      </c>
      <c r="BI373" s="27">
        <f>BI180</f>
        <v>0</v>
      </c>
      <c r="BJ373" s="6">
        <f>SUM(BF373:BI373)</f>
        <v>0</v>
      </c>
      <c r="BL373" s="27">
        <f>BL180</f>
        <v>0</v>
      </c>
      <c r="BM373" s="27">
        <f>BM180</f>
        <v>0</v>
      </c>
      <c r="BN373" s="27">
        <f>BN180</f>
        <v>0</v>
      </c>
      <c r="BO373" s="27">
        <f>BO180</f>
        <v>0</v>
      </c>
      <c r="BP373" s="6">
        <f>SUM(BL373:BO373)</f>
        <v>0</v>
      </c>
      <c r="BR373" s="27">
        <f>BR180</f>
        <v>0</v>
      </c>
      <c r="BS373" s="27">
        <f>BS180</f>
        <v>0</v>
      </c>
      <c r="BT373" s="27">
        <f>BT180</f>
        <v>0</v>
      </c>
      <c r="BU373" s="27">
        <f>BU180</f>
        <v>0</v>
      </c>
      <c r="BV373" s="6">
        <f>SUM(BR373:BU373)</f>
        <v>0</v>
      </c>
      <c r="BX373" s="27">
        <f>BX180</f>
        <v>0</v>
      </c>
      <c r="BY373" s="27">
        <f>BY180</f>
        <v>0</v>
      </c>
      <c r="BZ373" s="27">
        <f>BZ180</f>
        <v>0</v>
      </c>
      <c r="CA373" s="27">
        <f>CA180</f>
        <v>0</v>
      </c>
      <c r="CB373" s="6">
        <f>SUM(BX373:CA373)</f>
        <v>0</v>
      </c>
      <c r="CD373" s="27">
        <f>CD180</f>
        <v>0</v>
      </c>
      <c r="CE373" s="27">
        <f>CE180</f>
        <v>0</v>
      </c>
      <c r="CF373" s="27">
        <f>CF180</f>
        <v>0</v>
      </c>
      <c r="CG373" s="27">
        <f>CG180</f>
        <v>0</v>
      </c>
      <c r="CH373" s="6">
        <f>SUM(CD373:CG373)</f>
        <v>0</v>
      </c>
      <c r="CJ373" s="27">
        <f>CJ180</f>
        <v>0</v>
      </c>
      <c r="CK373" s="27">
        <f>CK180</f>
        <v>0</v>
      </c>
      <c r="CL373" s="27">
        <f>CL180</f>
        <v>0</v>
      </c>
      <c r="CM373" s="27">
        <f>CM180</f>
        <v>0</v>
      </c>
      <c r="CN373" s="6">
        <f>SUM(CJ373:CM373)</f>
        <v>0</v>
      </c>
    </row>
    <row r="374" spans="1:92" ht="12.95" customHeight="1" x14ac:dyDescent="0.25">
      <c r="B374" s="2" t="s">
        <v>90</v>
      </c>
      <c r="AC374" s="7"/>
      <c r="AD374" s="7"/>
      <c r="AE374" s="7"/>
      <c r="AF374" s="7"/>
      <c r="AH374" s="7"/>
      <c r="AI374" s="7"/>
      <c r="AJ374" s="7"/>
      <c r="AK374" s="7"/>
      <c r="AN374" s="7"/>
      <c r="AO374" s="258"/>
      <c r="AP374" s="7"/>
      <c r="AQ374" s="258"/>
      <c r="AR374" s="251"/>
      <c r="AT374" s="7"/>
      <c r="AU374" s="258"/>
      <c r="AV374" s="258"/>
      <c r="AW374" s="584">
        <v>360</v>
      </c>
      <c r="AZ374" s="580">
        <v>360</v>
      </c>
      <c r="BA374" s="580">
        <v>360</v>
      </c>
      <c r="BB374" s="580">
        <v>360</v>
      </c>
      <c r="BC374" s="580">
        <v>360</v>
      </c>
      <c r="BF374" s="580">
        <v>360</v>
      </c>
      <c r="BG374" s="580">
        <v>360</v>
      </c>
      <c r="BH374" s="580">
        <v>360</v>
      </c>
      <c r="BI374" s="580">
        <v>360</v>
      </c>
      <c r="BL374" s="580">
        <v>360</v>
      </c>
      <c r="BM374" s="580">
        <v>360</v>
      </c>
      <c r="BN374" s="580">
        <v>360</v>
      </c>
      <c r="BO374" s="580">
        <v>360</v>
      </c>
      <c r="BR374" s="580">
        <v>360</v>
      </c>
      <c r="BS374" s="580">
        <v>360</v>
      </c>
      <c r="BT374" s="580">
        <v>360</v>
      </c>
      <c r="BU374" s="580">
        <v>360</v>
      </c>
      <c r="BX374" s="580">
        <v>360</v>
      </c>
      <c r="BY374" s="580">
        <v>360</v>
      </c>
      <c r="BZ374" s="580">
        <v>360</v>
      </c>
      <c r="CA374" s="580">
        <v>360</v>
      </c>
      <c r="CD374" s="580">
        <v>360</v>
      </c>
      <c r="CE374" s="580">
        <v>360</v>
      </c>
      <c r="CF374" s="580">
        <v>360</v>
      </c>
      <c r="CG374" s="580">
        <v>360</v>
      </c>
      <c r="CJ374" s="580">
        <v>360</v>
      </c>
      <c r="CK374" s="580">
        <v>360</v>
      </c>
      <c r="CL374" s="580">
        <v>360</v>
      </c>
      <c r="CM374" s="580">
        <v>360</v>
      </c>
    </row>
    <row r="375" spans="1:92" ht="12.95" customHeight="1" x14ac:dyDescent="0.25">
      <c r="B375" s="2" t="s">
        <v>91</v>
      </c>
      <c r="AC375" s="8">
        <v>0</v>
      </c>
      <c r="AD375" s="8">
        <f t="shared" ref="AD375" si="4096">AC375</f>
        <v>0</v>
      </c>
      <c r="AE375" s="8">
        <f t="shared" ref="AE375" si="4097">AD375</f>
        <v>0</v>
      </c>
      <c r="AH375" s="8">
        <f>AE375</f>
        <v>0</v>
      </c>
      <c r="AI375" s="8">
        <f>AH375</f>
        <v>0</v>
      </c>
      <c r="AJ375" s="8">
        <f t="shared" ref="AJ375:AK375" si="4098">AI375</f>
        <v>0</v>
      </c>
      <c r="AK375" s="8">
        <f t="shared" si="4098"/>
        <v>0</v>
      </c>
      <c r="AN375" s="8">
        <f>AK375</f>
        <v>0</v>
      </c>
      <c r="AO375" s="253">
        <f>AN375</f>
        <v>0</v>
      </c>
      <c r="AP375" s="8">
        <f t="shared" ref="AP375:AQ375" si="4099">AO375</f>
        <v>0</v>
      </c>
      <c r="AQ375" s="253">
        <f t="shared" si="4099"/>
        <v>0</v>
      </c>
      <c r="AR375" s="251"/>
      <c r="AT375" s="8">
        <f>AQ375</f>
        <v>0</v>
      </c>
      <c r="AU375" s="253">
        <f>AT375</f>
        <v>0</v>
      </c>
      <c r="AV375" s="253">
        <f t="shared" ref="AV375:AW375" si="4100">AU375</f>
        <v>0</v>
      </c>
      <c r="AW375" s="350">
        <f t="shared" si="4100"/>
        <v>0</v>
      </c>
      <c r="AZ375" s="253">
        <v>0</v>
      </c>
      <c r="BA375" s="253">
        <v>0</v>
      </c>
      <c r="BB375" s="253">
        <v>0</v>
      </c>
      <c r="BC375" s="253">
        <v>0</v>
      </c>
      <c r="BF375" s="253">
        <v>0</v>
      </c>
      <c r="BG375" s="253">
        <v>0</v>
      </c>
      <c r="BH375" s="253">
        <v>0</v>
      </c>
      <c r="BI375" s="253">
        <v>0</v>
      </c>
      <c r="BL375" s="253">
        <v>0</v>
      </c>
      <c r="BM375" s="253">
        <v>0</v>
      </c>
      <c r="BN375" s="253">
        <v>0</v>
      </c>
      <c r="BO375" s="253">
        <v>0</v>
      </c>
      <c r="BR375" s="253">
        <v>0</v>
      </c>
      <c r="BS375" s="253">
        <v>0</v>
      </c>
      <c r="BT375" s="253">
        <v>0</v>
      </c>
      <c r="BU375" s="253">
        <v>0</v>
      </c>
      <c r="BX375" s="253">
        <v>0</v>
      </c>
      <c r="BY375" s="253">
        <v>0</v>
      </c>
      <c r="BZ375" s="253">
        <v>0</v>
      </c>
      <c r="CA375" s="253">
        <v>0</v>
      </c>
      <c r="CD375" s="253">
        <v>0</v>
      </c>
      <c r="CE375" s="253">
        <v>0</v>
      </c>
      <c r="CF375" s="253">
        <v>0</v>
      </c>
      <c r="CG375" s="253">
        <v>0</v>
      </c>
      <c r="CJ375" s="253">
        <v>0</v>
      </c>
      <c r="CK375" s="253">
        <v>0</v>
      </c>
      <c r="CL375" s="253">
        <v>0</v>
      </c>
      <c r="CM375" s="253">
        <v>0</v>
      </c>
    </row>
    <row r="376" spans="1:92" ht="12.95" customHeight="1" x14ac:dyDescent="0.25">
      <c r="B376" s="2" t="s">
        <v>92</v>
      </c>
      <c r="D376" s="576">
        <v>95</v>
      </c>
      <c r="E376" s="576">
        <v>102</v>
      </c>
      <c r="F376" s="576">
        <v>115</v>
      </c>
      <c r="G376" s="576">
        <v>139</v>
      </c>
      <c r="H376" s="576">
        <v>112.75</v>
      </c>
      <c r="I376" s="576"/>
      <c r="J376" s="576">
        <v>158</v>
      </c>
      <c r="K376" s="576">
        <v>149.41999999999999</v>
      </c>
      <c r="L376" s="576">
        <v>141</v>
      </c>
      <c r="M376" s="576">
        <v>130</v>
      </c>
      <c r="N376" s="576">
        <v>144.60499999999999</v>
      </c>
      <c r="O376" s="576"/>
      <c r="P376" s="576">
        <v>132.82</v>
      </c>
      <c r="Q376" s="576">
        <v>132</v>
      </c>
      <c r="R376" s="576">
        <v>127</v>
      </c>
      <c r="S376" s="576">
        <v>135</v>
      </c>
      <c r="T376" s="576">
        <v>131.70499999999998</v>
      </c>
      <c r="U376" s="576"/>
      <c r="V376" s="576">
        <v>127.73</v>
      </c>
      <c r="W376" s="576">
        <v>118.56</v>
      </c>
      <c r="X376" s="576">
        <v>160</v>
      </c>
      <c r="Y376" s="576">
        <v>170</v>
      </c>
      <c r="Z376" s="576">
        <v>144.07249999999999</v>
      </c>
      <c r="AA376" s="576"/>
      <c r="AB376" s="576">
        <v>207</v>
      </c>
      <c r="AC376" s="577">
        <v>231</v>
      </c>
      <c r="AD376" s="577">
        <v>208</v>
      </c>
      <c r="AE376" s="577">
        <v>201</v>
      </c>
      <c r="AF376" s="577">
        <v>211.75</v>
      </c>
      <c r="AG376" s="577"/>
      <c r="AH376" s="577">
        <v>210</v>
      </c>
      <c r="AI376" s="577">
        <v>211</v>
      </c>
      <c r="AJ376" s="577">
        <v>183</v>
      </c>
      <c r="AK376" s="577">
        <v>204.28</v>
      </c>
      <c r="AL376" s="577">
        <v>202.07</v>
      </c>
      <c r="AM376" s="577"/>
      <c r="AN376" s="577">
        <v>235.04</v>
      </c>
      <c r="AO376" s="578">
        <v>221.51</v>
      </c>
      <c r="AP376" s="577">
        <v>264.69</v>
      </c>
      <c r="AQ376" s="578">
        <v>259.41059999999999</v>
      </c>
      <c r="AR376" s="578">
        <v>248.77687499999996</v>
      </c>
      <c r="AS376" s="577"/>
      <c r="AT376" s="577">
        <v>314.52999999999997</v>
      </c>
      <c r="AU376" s="578">
        <v>342.88</v>
      </c>
      <c r="AV376" s="578">
        <v>340.33</v>
      </c>
      <c r="AW376" s="221">
        <f>AW374*(1+AW375)</f>
        <v>360</v>
      </c>
      <c r="AX376" s="7"/>
      <c r="AY376" s="7"/>
      <c r="AZ376" s="258">
        <f>AZ374*(1+AZ375)</f>
        <v>360</v>
      </c>
      <c r="BA376" s="258">
        <f>BA374*(1+BA375)</f>
        <v>360</v>
      </c>
      <c r="BB376" s="258">
        <f>BB374*(1+BB375)</f>
        <v>360</v>
      </c>
      <c r="BC376" s="258">
        <f>BC374*(1+BC375)</f>
        <v>360</v>
      </c>
      <c r="BD376" s="7"/>
      <c r="BE376" s="7"/>
      <c r="BF376" s="258">
        <f>BF374*(1+BF375)</f>
        <v>360</v>
      </c>
      <c r="BG376" s="258">
        <f>BG374*(1+BG375)</f>
        <v>360</v>
      </c>
      <c r="BH376" s="258">
        <f>BH374*(1+BH375)</f>
        <v>360</v>
      </c>
      <c r="BI376" s="258">
        <f>BI374*(1+BI375)</f>
        <v>360</v>
      </c>
      <c r="BJ376" s="7"/>
      <c r="BK376" s="7"/>
      <c r="BL376" s="258">
        <f>BL374*(1+BL375)</f>
        <v>360</v>
      </c>
      <c r="BM376" s="258">
        <f>BM374*(1+BM375)</f>
        <v>360</v>
      </c>
      <c r="BN376" s="258">
        <f>BN374*(1+BN375)</f>
        <v>360</v>
      </c>
      <c r="BO376" s="258">
        <f>BO374*(1+BO375)</f>
        <v>360</v>
      </c>
      <c r="BP376" s="7"/>
      <c r="BQ376" s="7"/>
      <c r="BR376" s="258">
        <f>BR374*(1+BR375)</f>
        <v>360</v>
      </c>
      <c r="BS376" s="258">
        <f>BS374*(1+BS375)</f>
        <v>360</v>
      </c>
      <c r="BT376" s="258">
        <f>BT374*(1+BT375)</f>
        <v>360</v>
      </c>
      <c r="BU376" s="258">
        <f>BU374*(1+BU375)</f>
        <v>360</v>
      </c>
      <c r="BV376" s="7"/>
      <c r="BW376" s="7"/>
      <c r="BX376" s="258">
        <f>BX374*(1+BX375)</f>
        <v>360</v>
      </c>
      <c r="BY376" s="258">
        <f>BY374*(1+BY375)</f>
        <v>360</v>
      </c>
      <c r="BZ376" s="258">
        <f>BZ374*(1+BZ375)</f>
        <v>360</v>
      </c>
      <c r="CA376" s="258">
        <f>CA374*(1+CA375)</f>
        <v>360</v>
      </c>
      <c r="CB376" s="7"/>
      <c r="CC376" s="7"/>
      <c r="CD376" s="258">
        <f>CD374*(1+CD375)</f>
        <v>360</v>
      </c>
      <c r="CE376" s="258">
        <f>CE374*(1+CE375)</f>
        <v>360</v>
      </c>
      <c r="CF376" s="258">
        <f>CF374*(1+CF375)</f>
        <v>360</v>
      </c>
      <c r="CG376" s="258">
        <f>CG374*(1+CG375)</f>
        <v>360</v>
      </c>
      <c r="CH376" s="7"/>
      <c r="CI376" s="7"/>
      <c r="CJ376" s="258">
        <f>CJ374*(1+CJ375)</f>
        <v>360</v>
      </c>
      <c r="CK376" s="258">
        <f>CK374*(1+CK375)</f>
        <v>360</v>
      </c>
      <c r="CL376" s="258">
        <f>CL374*(1+CL375)</f>
        <v>360</v>
      </c>
      <c r="CM376" s="258">
        <f>CM374*(1+CM375)</f>
        <v>360</v>
      </c>
      <c r="CN376" s="7"/>
    </row>
    <row r="377" spans="1:92" ht="12.95" customHeight="1" x14ac:dyDescent="0.25">
      <c r="B377" s="16" t="s">
        <v>93</v>
      </c>
      <c r="C377" s="16"/>
      <c r="D377" s="44">
        <f>-D372/D376</f>
        <v>0</v>
      </c>
      <c r="E377" s="44">
        <f t="shared" ref="E377" si="4101">-E372/E376</f>
        <v>0</v>
      </c>
      <c r="F377" s="44">
        <f t="shared" ref="F377" si="4102">-F372/F376</f>
        <v>0</v>
      </c>
      <c r="G377" s="44">
        <f t="shared" ref="G377" si="4103">-G372/G376</f>
        <v>0</v>
      </c>
      <c r="H377" s="16"/>
      <c r="I377" s="16"/>
      <c r="J377" s="44">
        <f>-J372/J376</f>
        <v>3.1645569620253164</v>
      </c>
      <c r="K377" s="44">
        <f t="shared" ref="K377" si="4104">-K372/K376</f>
        <v>5.0194083790657213</v>
      </c>
      <c r="L377" s="44">
        <f t="shared" ref="L377" si="4105">-L372/L376</f>
        <v>5.3191489361702127</v>
      </c>
      <c r="M377" s="44">
        <f t="shared" ref="M377" si="4106">-M372/M376</f>
        <v>13.830769230769231</v>
      </c>
      <c r="N377" s="16"/>
      <c r="O377" s="16"/>
      <c r="P377" s="44">
        <f>-P372/P376</f>
        <v>5.6542689354012952</v>
      </c>
      <c r="Q377" s="44">
        <f t="shared" ref="Q377" si="4107">-Q372/Q376</f>
        <v>10.257575757575758</v>
      </c>
      <c r="R377" s="44">
        <f t="shared" ref="R377" si="4108">-R372/R376</f>
        <v>9.2755905511811019</v>
      </c>
      <c r="S377" s="44">
        <f t="shared" ref="S377" si="4109">-S372/S376</f>
        <v>5.659259259259259</v>
      </c>
      <c r="T377" s="16"/>
      <c r="U377" s="16"/>
      <c r="V377" s="44">
        <f>-V372/V376</f>
        <v>8.1656619431613553</v>
      </c>
      <c r="W377" s="44">
        <f t="shared" ref="W377" si="4110">-W372/W376</f>
        <v>0.73380566801619429</v>
      </c>
      <c r="X377" s="44">
        <f t="shared" ref="X377" si="4111">-X372/X376</f>
        <v>0</v>
      </c>
      <c r="Y377" s="44">
        <f t="shared" ref="Y377" si="4112">-Y372/Y376</f>
        <v>0</v>
      </c>
      <c r="Z377" s="16"/>
      <c r="AA377" s="16"/>
      <c r="AB377" s="44">
        <f>-AB372/AB376</f>
        <v>0</v>
      </c>
      <c r="AC377" s="44">
        <f t="shared" ref="AC377" si="4113">-AC372/AC376</f>
        <v>1.0865800865800865</v>
      </c>
      <c r="AD377" s="44">
        <f t="shared" ref="AD377" si="4114">-AD372/AD376</f>
        <v>6.5913461538461542</v>
      </c>
      <c r="AE377" s="44">
        <f t="shared" ref="AE377" si="4115">-AE372/AE376</f>
        <v>5.2039800995024876</v>
      </c>
      <c r="AF377" s="44"/>
      <c r="AG377" s="44"/>
      <c r="AH377" s="44">
        <f>-AH372/AH376</f>
        <v>3.9047619047619047</v>
      </c>
      <c r="AI377" s="44">
        <f t="shared" ref="AI377" si="4116">-AI372/AI376</f>
        <v>5.2322274881516586</v>
      </c>
      <c r="AJ377" s="44">
        <f t="shared" ref="AJ377" si="4117">-AJ372/AJ376</f>
        <v>7.5683060109289615</v>
      </c>
      <c r="AK377" s="44">
        <f t="shared" ref="AK377" si="4118">-AK372/AK376</f>
        <v>4.5085177207754059</v>
      </c>
      <c r="AL377" s="44">
        <f>SUM(AH377:AK377)</f>
        <v>21.213813124617928</v>
      </c>
      <c r="AM377" s="16"/>
      <c r="AN377" s="44">
        <f>-AN372/AN376</f>
        <v>1.7018379850238259</v>
      </c>
      <c r="AO377" s="44">
        <f t="shared" ref="AO377" si="4119">-AO372/AO376</f>
        <v>6.4511760191413483</v>
      </c>
      <c r="AP377" s="44">
        <f t="shared" ref="AP377:AQ377" si="4120">-AP372/AP376</f>
        <v>1.435641694057199</v>
      </c>
      <c r="AQ377" s="44">
        <f t="shared" si="4120"/>
        <v>10.662632907059312</v>
      </c>
      <c r="AR377" s="44">
        <f>SUM(AN377:AQ377)</f>
        <v>20.251288605281687</v>
      </c>
      <c r="AS377" s="16"/>
      <c r="AT377" s="44">
        <f>-AT372/AT376</f>
        <v>14.163990716306872</v>
      </c>
      <c r="AU377" s="44">
        <f t="shared" ref="AU377:AW377" si="4121">-AU372/AU376</f>
        <v>5.3079794680354642</v>
      </c>
      <c r="AV377" s="44">
        <f t="shared" si="4121"/>
        <v>2.2977698116533953</v>
      </c>
      <c r="AW377" s="366">
        <f t="shared" si="4121"/>
        <v>2.2222222222222223</v>
      </c>
      <c r="AX377" s="44">
        <f>SUM(AT377:AW377)</f>
        <v>23.991962218217953</v>
      </c>
      <c r="AY377" s="16"/>
      <c r="AZ377" s="44">
        <f t="shared" ref="AZ377:BC377" si="4122">-AZ372/AZ376</f>
        <v>4.166666666666667</v>
      </c>
      <c r="BA377" s="44">
        <f t="shared" si="4122"/>
        <v>4.166666666666667</v>
      </c>
      <c r="BB377" s="44">
        <f t="shared" si="4122"/>
        <v>4.166666666666667</v>
      </c>
      <c r="BC377" s="44">
        <f t="shared" si="4122"/>
        <v>4.166666666666667</v>
      </c>
      <c r="BD377" s="44">
        <f>SUM(AZ377:BC377)</f>
        <v>16.666666666666668</v>
      </c>
      <c r="BE377" s="16"/>
      <c r="BF377" s="44">
        <f t="shared" ref="BF377" si="4123">-BF372/BF376</f>
        <v>4.166666666666667</v>
      </c>
      <c r="BG377" s="44">
        <f t="shared" ref="BG377" si="4124">-BG372/BG376</f>
        <v>4.166666666666667</v>
      </c>
      <c r="BH377" s="44">
        <f t="shared" ref="BH377" si="4125">-BH372/BH376</f>
        <v>4.8611111111111107</v>
      </c>
      <c r="BI377" s="44">
        <f t="shared" ref="BI377" si="4126">-BI372/BI376</f>
        <v>4.8611111111111107</v>
      </c>
      <c r="BJ377" s="44">
        <f>SUM(BF377:BI377)</f>
        <v>18.055555555555557</v>
      </c>
      <c r="BK377" s="16"/>
      <c r="BL377" s="44">
        <f t="shared" ref="BL377" si="4127">-BL372/BL376</f>
        <v>4.8611111111111107</v>
      </c>
      <c r="BM377" s="44">
        <f t="shared" ref="BM377" si="4128">-BM372/BM376</f>
        <v>4.8611111111111107</v>
      </c>
      <c r="BN377" s="44">
        <f t="shared" ref="BN377" si="4129">-BN372/BN376</f>
        <v>4.8611111111111107</v>
      </c>
      <c r="BO377" s="44">
        <f t="shared" ref="BO377" si="4130">-BO372/BO376</f>
        <v>4.8611111111111107</v>
      </c>
      <c r="BP377" s="44">
        <f>SUM(BL377:BO377)</f>
        <v>19.444444444444443</v>
      </c>
      <c r="BQ377" s="16"/>
      <c r="BR377" s="44">
        <f t="shared" ref="BR377" si="4131">-BR372/BR376</f>
        <v>4.8611111111111107</v>
      </c>
      <c r="BS377" s="44">
        <f t="shared" ref="BS377" si="4132">-BS372/BS376</f>
        <v>4.8611111111111107</v>
      </c>
      <c r="BT377" s="44">
        <f t="shared" ref="BT377" si="4133">-BT372/BT376</f>
        <v>5.5555555555555554</v>
      </c>
      <c r="BU377" s="44">
        <f t="shared" ref="BU377" si="4134">-BU372/BU376</f>
        <v>5.5555555555555554</v>
      </c>
      <c r="BV377" s="44">
        <f>SUM(BR377:BU377)</f>
        <v>20.833333333333332</v>
      </c>
      <c r="BW377" s="16"/>
      <c r="BX377" s="44">
        <f t="shared" ref="BX377" si="4135">-BX372/BX376</f>
        <v>5.5555555555555554</v>
      </c>
      <c r="BY377" s="44">
        <f t="shared" ref="BY377" si="4136">-BY372/BY376</f>
        <v>5.5555555555555554</v>
      </c>
      <c r="BZ377" s="44">
        <f t="shared" ref="BZ377" si="4137">-BZ372/BZ376</f>
        <v>5.5555555555555554</v>
      </c>
      <c r="CA377" s="44">
        <f t="shared" ref="CA377" si="4138">-CA372/CA376</f>
        <v>5.5555555555555554</v>
      </c>
      <c r="CB377" s="44">
        <f>SUM(BX377:CA377)</f>
        <v>22.222222222222221</v>
      </c>
      <c r="CC377" s="16"/>
      <c r="CD377" s="44">
        <f t="shared" ref="CD377" si="4139">-CD372/CD376</f>
        <v>5.5555555555555554</v>
      </c>
      <c r="CE377" s="44">
        <f t="shared" ref="CE377" si="4140">-CE372/CE376</f>
        <v>5.5555555555555554</v>
      </c>
      <c r="CF377" s="44">
        <f t="shared" ref="CF377" si="4141">-CF372/CF376</f>
        <v>6.9444444444444446</v>
      </c>
      <c r="CG377" s="44">
        <f t="shared" ref="CG377" si="4142">-CG372/CG376</f>
        <v>6.9444444444444446</v>
      </c>
      <c r="CH377" s="44">
        <f>SUM(CD377:CG377)</f>
        <v>25</v>
      </c>
      <c r="CI377" s="16"/>
      <c r="CJ377" s="44">
        <f t="shared" ref="CJ377" si="4143">-CJ372/CJ376</f>
        <v>6.9444444444444446</v>
      </c>
      <c r="CK377" s="44">
        <f t="shared" ref="CK377" si="4144">-CK372/CK376</f>
        <v>6.9444444444444446</v>
      </c>
      <c r="CL377" s="44">
        <f t="shared" ref="CL377" si="4145">-CL372/CL376</f>
        <v>6.9444444444444446</v>
      </c>
      <c r="CM377" s="44">
        <f t="shared" ref="CM377" si="4146">-CM372/CM376</f>
        <v>6.9444444444444446</v>
      </c>
      <c r="CN377" s="44">
        <f>SUM(CJ377:CM377)</f>
        <v>27.777777777777779</v>
      </c>
    </row>
    <row r="378" spans="1:92" ht="12.95" customHeight="1" x14ac:dyDescent="0.25">
      <c r="B378" s="10" t="s">
        <v>599</v>
      </c>
      <c r="AH378" s="579">
        <f>AH377/AH371</f>
        <v>7.253876843325107E-3</v>
      </c>
      <c r="AI378" s="579">
        <f t="shared" ref="AI378" si="4147">AI377/AI371</f>
        <v>9.7963442953597803E-3</v>
      </c>
      <c r="AJ378" s="579">
        <f t="shared" ref="AJ378" si="4148">AJ377/AJ371</f>
        <v>1.4346139723114324E-2</v>
      </c>
      <c r="AK378" s="579">
        <f t="shared" ref="AK378" si="4149">AK377/AK371</f>
        <v>8.6552461523812744E-3</v>
      </c>
      <c r="AN378" s="579">
        <f>AN377/AN371</f>
        <v>3.2765459857986637E-3</v>
      </c>
      <c r="AO378" s="579">
        <f t="shared" ref="AO378:AQ378" si="4150">AO377/AO371</f>
        <v>1.2526555376973492E-2</v>
      </c>
      <c r="AP378" s="579">
        <f t="shared" si="4150"/>
        <v>2.8007056068224717E-3</v>
      </c>
      <c r="AQ378" s="579">
        <f t="shared" si="4150"/>
        <v>2.1030834136211658E-2</v>
      </c>
      <c r="AR378" s="251"/>
      <c r="AT378" s="579">
        <f>AT377/AT371</f>
        <v>2.8504710638572895E-2</v>
      </c>
      <c r="AU378" s="579">
        <f t="shared" ref="AU378" si="4151">AU377/AU371</f>
        <v>1.0843676134903911E-2</v>
      </c>
      <c r="AV378" s="579">
        <f t="shared" ref="AV378" si="4152">AV377/AV371</f>
        <v>4.7211214539827316E-3</v>
      </c>
      <c r="AW378" s="585">
        <f t="shared" ref="AW378" si="4153">AW377/AW371</f>
        <v>4.5868403550214437E-3</v>
      </c>
      <c r="AZ378" s="579">
        <f t="shared" ref="AZ378:BC378" si="4154">AZ377/AZ371</f>
        <v>8.6749329138521344E-3</v>
      </c>
      <c r="BA378" s="579">
        <f t="shared" si="4154"/>
        <v>8.750845915105129E-3</v>
      </c>
      <c r="BB378" s="579">
        <f t="shared" si="4154"/>
        <v>8.8280992513771854E-3</v>
      </c>
      <c r="BC378" s="579">
        <f t="shared" si="4154"/>
        <v>8.9067287366695978E-3</v>
      </c>
      <c r="BF378" s="579">
        <f t="shared" ref="BF378" si="4155">BF377/BF371</f>
        <v>8.9867714723926417E-3</v>
      </c>
      <c r="BG378" s="579">
        <f t="shared" ref="BG378" si="4156">BG377/BG371</f>
        <v>9.0682659057384016E-3</v>
      </c>
      <c r="BH378" s="579">
        <f t="shared" ref="BH378" si="4157">BH377/BH371</f>
        <v>1.0692769243929564E-2</v>
      </c>
      <c r="BI378" s="579">
        <f t="shared" ref="BI378" si="4158">BI377/BI371</f>
        <v>1.0808340333020408E-2</v>
      </c>
      <c r="BL378" s="579">
        <f t="shared" ref="BL378" si="4159">BL377/BL371</f>
        <v>1.0926436982555163E-2</v>
      </c>
      <c r="BM378" s="579">
        <f t="shared" ref="BM378" si="4160">BM377/BM371</f>
        <v>1.1047142893215161E-2</v>
      </c>
      <c r="BN378" s="579">
        <f t="shared" ref="BN378" si="4161">BN377/BN371</f>
        <v>1.1170545505610805E-2</v>
      </c>
      <c r="BO378" s="579">
        <f t="shared" ref="BO378" si="4162">BO377/BO371</f>
        <v>1.1296736211526543E-2</v>
      </c>
      <c r="BR378" s="579">
        <f t="shared" ref="BR378" si="4163">BR377/BR371</f>
        <v>1.1425810579647691E-2</v>
      </c>
      <c r="BS378" s="579">
        <f t="shared" ref="BS378" si="4164">BS377/BS371</f>
        <v>1.1557868596940794E-2</v>
      </c>
      <c r="BT378" s="579">
        <f t="shared" ref="BT378" si="4165">BT377/BT371</f>
        <v>1.3385805691644577E-2</v>
      </c>
      <c r="BU378" s="579">
        <f t="shared" ref="BU378" si="4166">BU377/BU371</f>
        <v>1.3567416492551485E-2</v>
      </c>
      <c r="BX378" s="579">
        <f t="shared" ref="BX378" si="4167">BX377/BX371</f>
        <v>1.375402305174263E-2</v>
      </c>
      <c r="BY378" s="579">
        <f t="shared" ref="BY378" si="4168">BY377/BY371</f>
        <v>1.3945834379270907E-2</v>
      </c>
      <c r="BZ378" s="579">
        <f t="shared" ref="BZ378" si="4169">BZ377/BZ371</f>
        <v>1.4143071309365537E-2</v>
      </c>
      <c r="CA378" s="579">
        <f t="shared" ref="CA378" si="4170">CA377/CA371</f>
        <v>1.4345967348578308E-2</v>
      </c>
      <c r="CD378" s="579">
        <f t="shared" ref="CD378" si="4171">CD377/CD371</f>
        <v>1.4554769597997256E-2</v>
      </c>
      <c r="CE378" s="579">
        <f t="shared" ref="CE378" si="4172">CE377/CE371</f>
        <v>1.4769739757185471E-2</v>
      </c>
      <c r="CF378" s="579">
        <f t="shared" ref="CF378" si="4173">CF377/CF371</f>
        <v>1.8809437823522322E-2</v>
      </c>
      <c r="CG378" s="579">
        <f t="shared" ref="CG378" si="4174">CG377/CG371</f>
        <v>1.9170015029291776E-2</v>
      </c>
      <c r="CJ378" s="579">
        <f t="shared" ref="CJ378" si="4175">CJ377/CJ371</f>
        <v>1.9544686972293446E-2</v>
      </c>
      <c r="CK378" s="579">
        <f t="shared" ref="CK378" si="4176">CK377/CK371</f>
        <v>1.9934296558543035E-2</v>
      </c>
      <c r="CL378" s="579">
        <f t="shared" ref="CL378" si="4177">CL377/CL371</f>
        <v>2.0339755272064559E-2</v>
      </c>
      <c r="CM378" s="579">
        <f t="shared" ref="CM378" si="4178">CM377/CM371</f>
        <v>2.0762050293990628E-2</v>
      </c>
    </row>
    <row r="379" spans="1:92" ht="12.95" customHeight="1" x14ac:dyDescent="0.25">
      <c r="B379" s="10"/>
      <c r="AH379" s="579"/>
      <c r="AI379" s="579"/>
      <c r="AJ379" s="579"/>
      <c r="AK379" s="579"/>
      <c r="AN379" s="579"/>
      <c r="AO379" s="579"/>
      <c r="AP379" s="579"/>
      <c r="AQ379" s="579"/>
      <c r="AR379" s="251"/>
      <c r="AT379" s="579"/>
      <c r="AU379" s="579"/>
      <c r="AV379" s="579"/>
      <c r="AW379" s="585"/>
    </row>
    <row r="380" spans="1:92" ht="12.95" customHeight="1" x14ac:dyDescent="0.25">
      <c r="B380" s="2" t="s">
        <v>357</v>
      </c>
      <c r="D380" s="27">
        <f>D162</f>
        <v>1542</v>
      </c>
      <c r="E380" s="27">
        <f>E162</f>
        <v>2382</v>
      </c>
      <c r="F380" s="27">
        <f>F162</f>
        <v>1241</v>
      </c>
      <c r="G380" s="27">
        <f>G162</f>
        <v>540.7199999999998</v>
      </c>
      <c r="H380" s="27">
        <f>SUM(D380:G380)</f>
        <v>5705.7199999999993</v>
      </c>
      <c r="J380" s="27">
        <f>J162</f>
        <v>934.81999999999971</v>
      </c>
      <c r="K380" s="27">
        <f>K162</f>
        <v>2148.1800000000003</v>
      </c>
      <c r="L380" s="27">
        <f>L162</f>
        <v>1392</v>
      </c>
      <c r="M380" s="27">
        <f>M162</f>
        <v>2083</v>
      </c>
      <c r="N380" s="27">
        <f>SUM(J380:M380)</f>
        <v>6558</v>
      </c>
      <c r="P380" s="27">
        <f>P162</f>
        <v>1121</v>
      </c>
      <c r="Q380" s="27">
        <f>Q162</f>
        <v>2588</v>
      </c>
      <c r="R380" s="27">
        <f>R162</f>
        <v>769</v>
      </c>
      <c r="S380" s="27">
        <f>S162</f>
        <v>2434</v>
      </c>
      <c r="T380" s="27">
        <f>SUM(P380:S380)</f>
        <v>6912</v>
      </c>
      <c r="V380" s="27">
        <f>V162</f>
        <v>1130</v>
      </c>
      <c r="W380" s="27">
        <f>W162</f>
        <v>1391</v>
      </c>
      <c r="X380" s="27">
        <f>X162</f>
        <v>1734</v>
      </c>
      <c r="Y380" s="27">
        <f>Y162</f>
        <v>2072</v>
      </c>
      <c r="Z380" s="27">
        <f>SUM(V380:Y380)</f>
        <v>6327</v>
      </c>
      <c r="AB380" s="27">
        <f>AB162</f>
        <v>1928</v>
      </c>
      <c r="AC380" s="27">
        <f>AC162</f>
        <v>2118</v>
      </c>
      <c r="AD380" s="27">
        <f>AD162</f>
        <v>1740</v>
      </c>
      <c r="AE380" s="27">
        <f>AE162</f>
        <v>1412</v>
      </c>
      <c r="AF380" s="27">
        <f>SUM(AB380:AE380)</f>
        <v>7198</v>
      </c>
      <c r="AH380" s="27">
        <f>AH162</f>
        <v>313</v>
      </c>
      <c r="AI380" s="27">
        <f>AI162</f>
        <v>2233</v>
      </c>
      <c r="AJ380" s="27">
        <f>AJ162</f>
        <v>2481</v>
      </c>
      <c r="AK380" s="27">
        <f>AK162</f>
        <v>2739</v>
      </c>
      <c r="AL380" s="27">
        <f>SUM(AH380:AK380)</f>
        <v>7766</v>
      </c>
      <c r="AN380" s="27">
        <f>AN162</f>
        <v>1573</v>
      </c>
      <c r="AO380" s="27">
        <f>AO162</f>
        <v>3249</v>
      </c>
      <c r="AP380" s="27">
        <f>AP162</f>
        <v>4060</v>
      </c>
      <c r="AQ380" s="27">
        <f>AQ162</f>
        <v>4003</v>
      </c>
      <c r="AR380" s="27">
        <f>SUM(AN380:AQ380)</f>
        <v>12885</v>
      </c>
      <c r="AT380" s="27">
        <f>AT162</f>
        <v>2052</v>
      </c>
      <c r="AU380" s="27">
        <f>AU162</f>
        <v>3021</v>
      </c>
      <c r="AV380" s="27">
        <f>AV162</f>
        <v>3569</v>
      </c>
      <c r="AW380" s="158">
        <f>AW162</f>
        <v>4216.4433487883816</v>
      </c>
      <c r="AX380" s="27">
        <f>SUM(AT380:AW380)</f>
        <v>12858.443348788382</v>
      </c>
      <c r="AZ380" s="27">
        <f>AZ162</f>
        <v>1220.4654599060004</v>
      </c>
      <c r="BA380" s="27">
        <f>BA162</f>
        <v>3262.3155820271322</v>
      </c>
      <c r="BB380" s="27">
        <f>BB162</f>
        <v>3381.4051435182073</v>
      </c>
      <c r="BC380" s="27">
        <f>BC162</f>
        <v>4316.6991886223404</v>
      </c>
      <c r="BD380" s="27">
        <f>SUM(AZ380:BC380)</f>
        <v>12180.885374073681</v>
      </c>
      <c r="BF380" s="27">
        <f>BF162</f>
        <v>1115.5488269018051</v>
      </c>
      <c r="BG380" s="27">
        <f>BG162</f>
        <v>3511.6208977231108</v>
      </c>
      <c r="BH380" s="27">
        <f>BH162</f>
        <v>3648.4822001002417</v>
      </c>
      <c r="BI380" s="27">
        <f>BI162</f>
        <v>4608.0350771181947</v>
      </c>
      <c r="BJ380" s="27">
        <f>SUM(BF380:BI380)</f>
        <v>12883.687001843353</v>
      </c>
      <c r="BL380" s="27">
        <f>BL162</f>
        <v>1202.3308595739231</v>
      </c>
      <c r="BM380" s="27">
        <f>BM162</f>
        <v>3695.042333982567</v>
      </c>
      <c r="BN380" s="27">
        <f>BN162</f>
        <v>3855.4661019566511</v>
      </c>
      <c r="BO380" s="27">
        <f>BO162</f>
        <v>4836.8838879742198</v>
      </c>
      <c r="BP380" s="27">
        <f>SUM(BL380:BO380)</f>
        <v>13589.723183487362</v>
      </c>
      <c r="BR380" s="27">
        <f>BR162</f>
        <v>1304.9996489966775</v>
      </c>
      <c r="BS380" s="27">
        <f>BS162</f>
        <v>3866.063319464678</v>
      </c>
      <c r="BT380" s="27">
        <f>BT162</f>
        <v>4069.7392672642627</v>
      </c>
      <c r="BU380" s="27">
        <f>BU162</f>
        <v>5072.5423248891375</v>
      </c>
      <c r="BV380" s="27">
        <f>SUM(BR380:BU380)</f>
        <v>14313.344560614758</v>
      </c>
      <c r="BX380" s="27">
        <f>BX162</f>
        <v>1370.6790525113593</v>
      </c>
      <c r="BY380" s="27">
        <f>BY162</f>
        <v>4084.5836703735667</v>
      </c>
      <c r="BZ380" s="27">
        <f>BZ162</f>
        <v>4295.3154896141141</v>
      </c>
      <c r="CA380" s="27">
        <f>CA162</f>
        <v>5320.3157052022634</v>
      </c>
      <c r="CB380" s="27">
        <f>SUM(BX380:CA380)</f>
        <v>15070.893917701304</v>
      </c>
      <c r="CD380" s="27">
        <f>CD162</f>
        <v>1460.8522933704357</v>
      </c>
      <c r="CE380" s="27">
        <f>CE162</f>
        <v>4289.8543724253614</v>
      </c>
      <c r="CF380" s="27">
        <f>CF162</f>
        <v>4527.621502187395</v>
      </c>
      <c r="CG380" s="27">
        <f>CG162</f>
        <v>5575.6624049097045</v>
      </c>
      <c r="CH380" s="27">
        <f>SUM(CD380:CG380)</f>
        <v>15853.990572892897</v>
      </c>
      <c r="CJ380" s="27">
        <f>CJ162</f>
        <v>1563.4979647309128</v>
      </c>
      <c r="CK380" s="27">
        <f>CK162</f>
        <v>4513.0977006776411</v>
      </c>
      <c r="CL380" s="27">
        <f>CL162</f>
        <v>4779.5891531641337</v>
      </c>
      <c r="CM380" s="27">
        <f>CM162</f>
        <v>5850.296783311057</v>
      </c>
      <c r="CN380" s="27">
        <f>SUM(CJ380:CM380)</f>
        <v>16706.481601883745</v>
      </c>
    </row>
    <row r="381" spans="1:92" ht="12.95" customHeight="1" x14ac:dyDescent="0.25">
      <c r="B381" s="2" t="s">
        <v>600</v>
      </c>
      <c r="D381" s="27">
        <f t="shared" ref="D381:H381" si="4179">D165+D171+D172</f>
        <v>-222</v>
      </c>
      <c r="E381" s="27">
        <f t="shared" si="4179"/>
        <v>-79</v>
      </c>
      <c r="F381" s="27">
        <f t="shared" si="4179"/>
        <v>-219</v>
      </c>
      <c r="G381" s="27">
        <f t="shared" si="4179"/>
        <v>-337</v>
      </c>
      <c r="H381" s="27">
        <f t="shared" si="4179"/>
        <v>-857</v>
      </c>
      <c r="J381" s="27">
        <f t="shared" ref="J381:N381" si="4180">J165+J171+J172</f>
        <v>-740</v>
      </c>
      <c r="K381" s="27">
        <f t="shared" si="4180"/>
        <v>-241</v>
      </c>
      <c r="L381" s="27">
        <f t="shared" si="4180"/>
        <v>-283</v>
      </c>
      <c r="M381" s="27">
        <f t="shared" si="4180"/>
        <v>-388</v>
      </c>
      <c r="N381" s="27">
        <f t="shared" si="4180"/>
        <v>-1652</v>
      </c>
      <c r="P381" s="27">
        <f t="shared" ref="P381:T381" si="4181">P165+P171+P172</f>
        <v>-280</v>
      </c>
      <c r="Q381" s="27">
        <f t="shared" si="4181"/>
        <v>-202</v>
      </c>
      <c r="R381" s="27">
        <f t="shared" si="4181"/>
        <v>-244</v>
      </c>
      <c r="S381" s="27">
        <f t="shared" si="4181"/>
        <v>-336</v>
      </c>
      <c r="T381" s="27">
        <f t="shared" si="4181"/>
        <v>-1062</v>
      </c>
      <c r="V381" s="27">
        <f t="shared" ref="V381:Z381" si="4182">V165+V171+V172</f>
        <v>-340</v>
      </c>
      <c r="W381" s="27">
        <f t="shared" si="4182"/>
        <v>-168</v>
      </c>
      <c r="X381" s="27">
        <f t="shared" si="4182"/>
        <v>-258</v>
      </c>
      <c r="Y381" s="27">
        <f t="shared" si="4182"/>
        <v>-298</v>
      </c>
      <c r="Z381" s="27">
        <f t="shared" si="4182"/>
        <v>-1064</v>
      </c>
      <c r="AB381" s="27">
        <f t="shared" ref="AB381:AF381" si="4183">AB165+AB171+AB172</f>
        <v>-610</v>
      </c>
      <c r="AC381" s="27">
        <f t="shared" si="4183"/>
        <v>-179</v>
      </c>
      <c r="AD381" s="27">
        <f t="shared" si="4183"/>
        <v>-310</v>
      </c>
      <c r="AE381" s="27">
        <f t="shared" si="4183"/>
        <v>-448</v>
      </c>
      <c r="AF381" s="27">
        <f t="shared" si="4183"/>
        <v>-1547</v>
      </c>
      <c r="AH381" s="27">
        <f t="shared" ref="AH381:AL381" si="4184">AH165+AH171+AH172</f>
        <v>-354</v>
      </c>
      <c r="AI381" s="27">
        <f t="shared" si="4184"/>
        <v>-267</v>
      </c>
      <c r="AJ381" s="27">
        <f t="shared" si="4184"/>
        <v>-290</v>
      </c>
      <c r="AK381" s="27">
        <f t="shared" si="4184"/>
        <v>-472</v>
      </c>
      <c r="AL381" s="27">
        <f t="shared" si="4184"/>
        <v>-1383</v>
      </c>
      <c r="AN381" s="27">
        <f t="shared" ref="AN381:AR381" si="4185">AN165+AN171+AN172</f>
        <v>-441</v>
      </c>
      <c r="AO381" s="27">
        <f t="shared" si="4185"/>
        <v>-276</v>
      </c>
      <c r="AP381" s="27">
        <f t="shared" si="4185"/>
        <v>-425</v>
      </c>
      <c r="AQ381" s="27">
        <f t="shared" si="4185"/>
        <v>-534</v>
      </c>
      <c r="AR381" s="27">
        <f t="shared" si="4185"/>
        <v>-1676</v>
      </c>
      <c r="AT381" s="27">
        <f t="shared" ref="AT381:AX381" si="4186">AT165+AT171+AT172</f>
        <v>-458</v>
      </c>
      <c r="AU381" s="27">
        <f t="shared" si="4186"/>
        <v>-476</v>
      </c>
      <c r="AV381" s="27">
        <f t="shared" si="4186"/>
        <v>-450</v>
      </c>
      <c r="AW381" s="158">
        <f t="shared" si="4186"/>
        <v>-647.79999999999995</v>
      </c>
      <c r="AX381" s="27">
        <f t="shared" si="4186"/>
        <v>-2031.8</v>
      </c>
      <c r="AZ381" s="27">
        <f>AZ165+AZ171+AZ172</f>
        <v>-541.14</v>
      </c>
      <c r="BA381" s="27">
        <f t="shared" ref="BA381:BD381" si="4187">BA165+BA171+BA172</f>
        <v>-386.30000000000007</v>
      </c>
      <c r="BB381" s="27">
        <f t="shared" si="4187"/>
        <v>-491.12000000000012</v>
      </c>
      <c r="BC381" s="27">
        <f>BC165+BC171+BC172</f>
        <v>-709.16599999999994</v>
      </c>
      <c r="BD381" s="27">
        <f t="shared" si="4187"/>
        <v>-2127.7260000000001</v>
      </c>
      <c r="BF381" s="27">
        <f>BF165+BF171+BF172</f>
        <v>-584.02379999999994</v>
      </c>
      <c r="BG381" s="27">
        <f t="shared" ref="BG381:BJ381" si="4188">BG165+BG171+BG172</f>
        <v>-433.65200000000004</v>
      </c>
      <c r="BH381" s="27">
        <f t="shared" si="4188"/>
        <v>-540.4154000000002</v>
      </c>
      <c r="BI381" s="27">
        <f t="shared" si="4188"/>
        <v>-773.46181999999999</v>
      </c>
      <c r="BJ381" s="27">
        <f t="shared" si="4188"/>
        <v>-2331.5530200000003</v>
      </c>
      <c r="BL381" s="27">
        <f>BL165+BL171+BL172</f>
        <v>-623.46717600000011</v>
      </c>
      <c r="BM381" s="27">
        <f t="shared" ref="BM381:BP381" si="4189">BM165+BM171+BM172</f>
        <v>-473.42406500000016</v>
      </c>
      <c r="BN381" s="27">
        <f t="shared" si="4189"/>
        <v>-581.10345800000005</v>
      </c>
      <c r="BO381" s="27">
        <f t="shared" si="4189"/>
        <v>-826.2421889000002</v>
      </c>
      <c r="BP381" s="27">
        <f t="shared" si="4189"/>
        <v>-2504.2368879000005</v>
      </c>
      <c r="BR381" s="27">
        <f>BR165+BR171+BR172</f>
        <v>-660.65651952000007</v>
      </c>
      <c r="BS381" s="27">
        <f t="shared" ref="BS381:BV381" si="4190">BS165+BS171+BS172</f>
        <v>-510.45254630000011</v>
      </c>
      <c r="BT381" s="27">
        <f t="shared" si="4190"/>
        <v>-618.30552716000022</v>
      </c>
      <c r="BU381" s="27">
        <f t="shared" si="4190"/>
        <v>-869.12703267800021</v>
      </c>
      <c r="BV381" s="27">
        <f t="shared" si="4190"/>
        <v>-2658.5416256580002</v>
      </c>
      <c r="BX381" s="27">
        <f>BX165+BX171+BX172</f>
        <v>-678.58964991040011</v>
      </c>
      <c r="BY381" s="27">
        <f t="shared" ref="BY381:CB381" si="4191">BY165+BY171+BY172</f>
        <v>-528.22159722600009</v>
      </c>
      <c r="BZ381" s="27">
        <f t="shared" si="4191"/>
        <v>-636.25163770320012</v>
      </c>
      <c r="CA381" s="27">
        <f t="shared" si="4191"/>
        <v>-892.86957333156033</v>
      </c>
      <c r="CB381" s="27">
        <f t="shared" si="4191"/>
        <v>-2735.9324581711608</v>
      </c>
      <c r="CD381" s="27">
        <f>CD165+CD171+CD172</f>
        <v>-696.88144290860805</v>
      </c>
      <c r="CE381" s="27">
        <f t="shared" ref="CE381:CH381" si="4192">CE165+CE171+CE172</f>
        <v>-546.34602917051996</v>
      </c>
      <c r="CF381" s="27">
        <f t="shared" si="4192"/>
        <v>-654.5566704572642</v>
      </c>
      <c r="CG381" s="27">
        <f t="shared" si="4192"/>
        <v>-917.08696479819173</v>
      </c>
      <c r="CH381" s="27">
        <f t="shared" si="4192"/>
        <v>-2814.8711073345839</v>
      </c>
      <c r="CJ381" s="27">
        <f>CJ165+CJ171+CJ172</f>
        <v>-715.53907176678024</v>
      </c>
      <c r="CK381" s="27">
        <f t="shared" ref="CK381:CN381" si="4193">CK165+CK171+CK172</f>
        <v>-564.83294975393051</v>
      </c>
      <c r="CL381" s="27">
        <f t="shared" si="4193"/>
        <v>-673.22780386640943</v>
      </c>
      <c r="CM381" s="27">
        <f t="shared" si="4193"/>
        <v>-941.78870409415549</v>
      </c>
      <c r="CN381" s="27">
        <f t="shared" si="4193"/>
        <v>-2895.3885294812758</v>
      </c>
    </row>
    <row r="382" spans="1:92" ht="12.95" customHeight="1" x14ac:dyDescent="0.25">
      <c r="B382" s="17" t="s">
        <v>296</v>
      </c>
      <c r="D382" s="76">
        <f>SUM(D380:D381)</f>
        <v>1320</v>
      </c>
      <c r="E382" s="76">
        <f t="shared" ref="E382" si="4194">SUM(E380:E381)</f>
        <v>2303</v>
      </c>
      <c r="F382" s="76">
        <f t="shared" ref="F382" si="4195">SUM(F380:F381)</f>
        <v>1022</v>
      </c>
      <c r="G382" s="76">
        <f t="shared" ref="G382" si="4196">SUM(G380:G381)</f>
        <v>203.7199999999998</v>
      </c>
      <c r="H382" s="76">
        <f t="shared" ref="H381:H382" si="4197">SUM(D382:G382)</f>
        <v>4848.7199999999993</v>
      </c>
      <c r="J382" s="76">
        <f>SUM(J380:J381)</f>
        <v>194.81999999999971</v>
      </c>
      <c r="K382" s="76">
        <f t="shared" ref="K382" si="4198">SUM(K380:K381)</f>
        <v>1907.1800000000003</v>
      </c>
      <c r="L382" s="76">
        <f t="shared" ref="L382" si="4199">SUM(L380:L381)</f>
        <v>1109</v>
      </c>
      <c r="M382" s="76">
        <f t="shared" ref="M382" si="4200">SUM(M380:M381)</f>
        <v>1695</v>
      </c>
      <c r="N382" s="76">
        <f t="shared" ref="N381:N386" si="4201">SUM(J382:M382)</f>
        <v>4906</v>
      </c>
      <c r="P382" s="76">
        <f>SUM(P380:P381)</f>
        <v>841</v>
      </c>
      <c r="Q382" s="76">
        <f t="shared" ref="Q382" si="4202">SUM(Q380:Q381)</f>
        <v>2386</v>
      </c>
      <c r="R382" s="76">
        <f t="shared" ref="R382" si="4203">SUM(R380:R381)</f>
        <v>525</v>
      </c>
      <c r="S382" s="76">
        <f t="shared" ref="S382" si="4204">SUM(S380:S381)</f>
        <v>2098</v>
      </c>
      <c r="T382" s="76">
        <f t="shared" ref="T381:T382" si="4205">SUM(P382:S382)</f>
        <v>5850</v>
      </c>
      <c r="V382" s="76">
        <f>SUM(V380:V381)</f>
        <v>790</v>
      </c>
      <c r="W382" s="76">
        <f t="shared" ref="W382" si="4206">SUM(W380:W381)</f>
        <v>1223</v>
      </c>
      <c r="X382" s="76">
        <f t="shared" ref="X382" si="4207">SUM(X380:X381)</f>
        <v>1476</v>
      </c>
      <c r="Y382" s="76">
        <f t="shared" ref="Y382" si="4208">SUM(Y380:Y381)</f>
        <v>1774</v>
      </c>
      <c r="Z382" s="76">
        <f t="shared" ref="Z381:Z382" si="4209">SUM(V382:Y382)</f>
        <v>5263</v>
      </c>
      <c r="AB382" s="76">
        <f>SUM(AB380:AB381)</f>
        <v>1318</v>
      </c>
      <c r="AC382" s="76">
        <f t="shared" ref="AC382" si="4210">SUM(AC380:AC381)</f>
        <v>1939</v>
      </c>
      <c r="AD382" s="76">
        <f t="shared" ref="AD382" si="4211">SUM(AD380:AD381)</f>
        <v>1430</v>
      </c>
      <c r="AE382" s="76">
        <f t="shared" ref="AE382" si="4212">SUM(AE380:AE381)</f>
        <v>964</v>
      </c>
      <c r="AF382" s="76">
        <f t="shared" ref="AF381:AF382" si="4213">SUM(AB382:AE382)</f>
        <v>5651</v>
      </c>
      <c r="AH382" s="76">
        <f>SUM(AH380:AH381)</f>
        <v>-41</v>
      </c>
      <c r="AI382" s="76">
        <f t="shared" ref="AI382" si="4214">SUM(AI380:AI381)</f>
        <v>1966</v>
      </c>
      <c r="AJ382" s="76">
        <f t="shared" ref="AJ382" si="4215">SUM(AJ380:AJ381)</f>
        <v>2191</v>
      </c>
      <c r="AK382" s="76">
        <f t="shared" ref="AK382" si="4216">SUM(AK380:AK381)</f>
        <v>2267</v>
      </c>
      <c r="AL382" s="76">
        <f t="shared" ref="AL381:AL382" si="4217">SUM(AH382:AK382)</f>
        <v>6383</v>
      </c>
      <c r="AN382" s="76">
        <f>SUM(AN380:AN381)</f>
        <v>1132</v>
      </c>
      <c r="AO382" s="76">
        <f t="shared" ref="AO382" si="4218">SUM(AO380:AO381)</f>
        <v>2973</v>
      </c>
      <c r="AP382" s="76">
        <f t="shared" ref="AP382" si="4219">SUM(AP380:AP381)</f>
        <v>3635</v>
      </c>
      <c r="AQ382" s="76">
        <f t="shared" ref="AQ382" si="4220">SUM(AQ380:AQ381)</f>
        <v>3469</v>
      </c>
      <c r="AR382" s="76">
        <f t="shared" ref="AR381:AR382" si="4221">SUM(AN382:AQ382)</f>
        <v>11209</v>
      </c>
      <c r="AT382" s="76">
        <f>SUM(AT380:AT381)</f>
        <v>1594</v>
      </c>
      <c r="AU382" s="76">
        <f t="shared" ref="AU382" si="4222">SUM(AU380:AU381)</f>
        <v>2545</v>
      </c>
      <c r="AV382" s="76">
        <f t="shared" ref="AV382" si="4223">SUM(AV380:AV381)</f>
        <v>3119</v>
      </c>
      <c r="AW382" s="353">
        <f t="shared" ref="AW382" si="4224">SUM(AW380:AW381)</f>
        <v>3568.6433487883814</v>
      </c>
      <c r="AX382" s="76">
        <f t="shared" ref="AX381:AX382" si="4225">SUM(AT382:AW382)</f>
        <v>10826.643348788381</v>
      </c>
      <c r="AZ382" s="76">
        <f>SUM(AZ380:AZ381)</f>
        <v>679.32545990600045</v>
      </c>
      <c r="BA382" s="76">
        <f t="shared" ref="BA382" si="4226">SUM(BA380:BA381)</f>
        <v>2876.015582027132</v>
      </c>
      <c r="BB382" s="76">
        <f t="shared" ref="BB382" si="4227">SUM(BB380:BB381)</f>
        <v>2890.2851435182074</v>
      </c>
      <c r="BC382" s="76">
        <f t="shared" ref="BC382" si="4228">SUM(BC380:BC381)</f>
        <v>3607.5331886223403</v>
      </c>
      <c r="BD382" s="76">
        <f t="shared" ref="BD381:BD382" si="4229">SUM(AZ382:BC382)</f>
        <v>10053.159374073679</v>
      </c>
      <c r="BF382" s="76">
        <f>SUM(BF380:BF381)</f>
        <v>531.52502690180518</v>
      </c>
      <c r="BG382" s="76">
        <f t="shared" ref="BG382" si="4230">SUM(BG380:BG381)</f>
        <v>3077.9688977231108</v>
      </c>
      <c r="BH382" s="76">
        <f t="shared" ref="BH382" si="4231">SUM(BH380:BH381)</f>
        <v>3108.0668001002414</v>
      </c>
      <c r="BI382" s="76">
        <f t="shared" ref="BI382" si="4232">SUM(BI380:BI381)</f>
        <v>3834.5732571181948</v>
      </c>
      <c r="BJ382" s="76">
        <f t="shared" ref="BJ381:BJ382" si="4233">SUM(BF382:BI382)</f>
        <v>10552.133981843352</v>
      </c>
      <c r="BL382" s="76">
        <f>SUM(BL380:BL381)</f>
        <v>578.86368357392303</v>
      </c>
      <c r="BM382" s="76">
        <f t="shared" ref="BM382" si="4234">SUM(BM380:BM381)</f>
        <v>3221.6182689825669</v>
      </c>
      <c r="BN382" s="76">
        <f t="shared" ref="BN382" si="4235">SUM(BN380:BN381)</f>
        <v>3274.362643956651</v>
      </c>
      <c r="BO382" s="76">
        <f t="shared" ref="BO382" si="4236">SUM(BO380:BO381)</f>
        <v>4010.6416990742196</v>
      </c>
      <c r="BP382" s="76">
        <f t="shared" ref="BP381:BP382" si="4237">SUM(BL382:BO382)</f>
        <v>11085.486295587361</v>
      </c>
      <c r="BR382" s="76">
        <f>SUM(BR380:BR381)</f>
        <v>644.3431294766774</v>
      </c>
      <c r="BS382" s="76">
        <f t="shared" ref="BS382" si="4238">SUM(BS380:BS381)</f>
        <v>3355.610773164678</v>
      </c>
      <c r="BT382" s="76">
        <f t="shared" ref="BT382" si="4239">SUM(BT380:BT381)</f>
        <v>3451.4337401042626</v>
      </c>
      <c r="BU382" s="76">
        <f t="shared" ref="BU382" si="4240">SUM(BU380:BU381)</f>
        <v>4203.4152922111371</v>
      </c>
      <c r="BV382" s="76">
        <f t="shared" ref="BV381:BV382" si="4241">SUM(BR382:BU382)</f>
        <v>11654.802934956755</v>
      </c>
      <c r="BX382" s="76">
        <f>SUM(BX380:BX381)</f>
        <v>692.08940260095915</v>
      </c>
      <c r="BY382" s="76">
        <f t="shared" ref="BY382" si="4242">SUM(BY380:BY381)</f>
        <v>3556.3620731475667</v>
      </c>
      <c r="BZ382" s="76">
        <f t="shared" ref="BZ382" si="4243">SUM(BZ380:BZ381)</f>
        <v>3659.0638519109139</v>
      </c>
      <c r="CA382" s="76">
        <f t="shared" ref="CA382" si="4244">SUM(CA380:CA381)</f>
        <v>4427.4461318707035</v>
      </c>
      <c r="CB382" s="76">
        <f t="shared" ref="CB381:CB382" si="4245">SUM(BX382:CA382)</f>
        <v>12334.961459530143</v>
      </c>
      <c r="CD382" s="76">
        <f>SUM(CD380:CD381)</f>
        <v>763.97085046182769</v>
      </c>
      <c r="CE382" s="76">
        <f t="shared" ref="CE382" si="4246">SUM(CE380:CE381)</f>
        <v>3743.5083432548413</v>
      </c>
      <c r="CF382" s="76">
        <f t="shared" ref="CF382" si="4247">SUM(CF380:CF381)</f>
        <v>3873.0648317301307</v>
      </c>
      <c r="CG382" s="76">
        <f t="shared" ref="CG382" si="4248">SUM(CG380:CG381)</f>
        <v>4658.5754401115128</v>
      </c>
      <c r="CH382" s="76">
        <f t="shared" ref="CH381:CH382" si="4249">SUM(CD382:CG382)</f>
        <v>13039.119465558313</v>
      </c>
      <c r="CJ382" s="76">
        <f>SUM(CJ380:CJ381)</f>
        <v>847.95889296413259</v>
      </c>
      <c r="CK382" s="76">
        <f t="shared" ref="CK382" si="4250">SUM(CK380:CK381)</f>
        <v>3948.2647509237104</v>
      </c>
      <c r="CL382" s="76">
        <f t="shared" ref="CL382" si="4251">SUM(CL380:CL381)</f>
        <v>4106.3613492977238</v>
      </c>
      <c r="CM382" s="76">
        <f t="shared" ref="CM382" si="4252">SUM(CM380:CM381)</f>
        <v>4908.508079216901</v>
      </c>
      <c r="CN382" s="76">
        <f t="shared" ref="CN381:CN382" si="4253">SUM(CJ382:CM382)</f>
        <v>13811.093072402467</v>
      </c>
    </row>
    <row r="383" spans="1:92" ht="12.95" customHeight="1" x14ac:dyDescent="0.25">
      <c r="B383" s="10" t="s">
        <v>604</v>
      </c>
      <c r="D383" s="575">
        <f t="shared" ref="D383" si="4254">-D372/D382</f>
        <v>0</v>
      </c>
      <c r="E383" s="575">
        <f t="shared" ref="E383" si="4255">-E372/E382</f>
        <v>0</v>
      </c>
      <c r="F383" s="575">
        <f t="shared" ref="F383" si="4256">-F372/F382</f>
        <v>0</v>
      </c>
      <c r="G383" s="575">
        <f t="shared" ref="G383" si="4257">-G372/G382</f>
        <v>0</v>
      </c>
      <c r="H383" s="575">
        <f t="shared" ref="H383" si="4258">-H372/H382</f>
        <v>0</v>
      </c>
      <c r="J383" s="575">
        <f t="shared" ref="J383" si="4259">-J372/J382</f>
        <v>2.5664716148239437</v>
      </c>
      <c r="K383" s="575">
        <f t="shared" ref="K383" si="4260">-K372/K382</f>
        <v>0.39325076814983373</v>
      </c>
      <c r="L383" s="575">
        <f t="shared" ref="L383" si="4261">-L372/L382</f>
        <v>0.67628494138863837</v>
      </c>
      <c r="M383" s="575">
        <f t="shared" ref="M383:N383" si="4262">-M372/M382</f>
        <v>1.0607669616519173</v>
      </c>
      <c r="N383" s="575">
        <f t="shared" si="4262"/>
        <v>0.77415409702405213</v>
      </c>
      <c r="P383" s="575">
        <f t="shared" ref="P383" si="4263">-P372/P382</f>
        <v>0.8929845422116528</v>
      </c>
      <c r="Q383" s="575">
        <f t="shared" ref="Q383" si="4264">-Q372/Q382</f>
        <v>0.56747694886839894</v>
      </c>
      <c r="R383" s="575">
        <f t="shared" ref="R383" si="4265">-R372/R382</f>
        <v>2.2438095238095239</v>
      </c>
      <c r="S383" s="575">
        <f t="shared" ref="S383" si="4266">-S372/S382</f>
        <v>0.36415633937082936</v>
      </c>
      <c r="T383" s="575">
        <f t="shared" ref="T383" si="4267">-T372/T382</f>
        <v>0.69179487179487176</v>
      </c>
      <c r="V383" s="575">
        <f t="shared" ref="V383" si="4268">-V372/V382</f>
        <v>1.320253164556962</v>
      </c>
      <c r="W383" s="575">
        <f t="shared" ref="W383" si="4269">-W372/W382</f>
        <v>7.1136549468520036E-2</v>
      </c>
      <c r="X383" s="575">
        <f t="shared" ref="X383" si="4270">-X372/X382</f>
        <v>0</v>
      </c>
      <c r="Y383" s="575">
        <f t="shared" ref="Y383" si="4271">-Y372/Y382</f>
        <v>0</v>
      </c>
      <c r="Z383" s="575">
        <f t="shared" ref="Z383" si="4272">-Z372/Z382</f>
        <v>0.21470644119323579</v>
      </c>
      <c r="AB383" s="575">
        <f t="shared" ref="AB383" si="4273">-AB372/AB382</f>
        <v>0</v>
      </c>
      <c r="AC383" s="575">
        <f t="shared" ref="AC383" si="4274">-AC372/AC382</f>
        <v>0.1294481691593605</v>
      </c>
      <c r="AD383" s="575">
        <f t="shared" ref="AD383" si="4275">-AD372/AD382</f>
        <v>0.95874125874125871</v>
      </c>
      <c r="AE383" s="575">
        <f t="shared" ref="AE383" si="4276">-AE372/AE382</f>
        <v>1.0850622406639003</v>
      </c>
      <c r="AF383" s="575">
        <f t="shared" ref="AF383" si="4277">-AF372/AF382</f>
        <v>0.47212882675632634</v>
      </c>
      <c r="AH383" s="575">
        <f t="shared" ref="AH383" si="4278">-AH372/AH382</f>
        <v>-20</v>
      </c>
      <c r="AI383" s="575">
        <f t="shared" ref="AI383" si="4279">-AI372/AI382</f>
        <v>0.56154628687690744</v>
      </c>
      <c r="AJ383" s="575">
        <f t="shared" ref="AJ383" si="4280">-AJ372/AJ382</f>
        <v>0.63213144682793243</v>
      </c>
      <c r="AK383" s="575">
        <f t="shared" ref="AK383" si="4281">-AK372/AK382</f>
        <v>0.4062637847375386</v>
      </c>
      <c r="AL383" s="575">
        <f t="shared" ref="AL383" si="4282">-AL372/AL382</f>
        <v>0.66269779100736326</v>
      </c>
      <c r="AN383" s="575">
        <f t="shared" ref="AN383" si="4283">-AN372/AN382</f>
        <v>0.35335689045936397</v>
      </c>
      <c r="AO383" s="575">
        <f t="shared" ref="AO383" si="4284">-AO372/AO382</f>
        <v>0.48065926673393877</v>
      </c>
      <c r="AP383" s="575">
        <f t="shared" ref="AP383" si="4285">-AP372/AP382</f>
        <v>0.10453920220082531</v>
      </c>
      <c r="AQ383" s="575">
        <f t="shared" ref="AQ383" si="4286">-AQ372/AQ382</f>
        <v>0.79734793888728739</v>
      </c>
      <c r="AR383" s="575">
        <f t="shared" ref="AR383" si="4287">-AR372/AR382</f>
        <v>0.44383977161209742</v>
      </c>
      <c r="AT383" s="575">
        <f t="shared" ref="AT383" si="4288">-AT372/AT382</f>
        <v>2.7948557089084067</v>
      </c>
      <c r="AU383" s="575">
        <f t="shared" ref="AU383" si="4289">-AU372/AU382</f>
        <v>0.71512770137524562</v>
      </c>
      <c r="AV383" s="575">
        <f t="shared" ref="AV383" si="4290">-AV372/AV382</f>
        <v>0.25072138505931391</v>
      </c>
      <c r="AW383" s="583">
        <f t="shared" ref="AW383" si="4291">-AW372/AW382</f>
        <v>0.22417482550381909</v>
      </c>
      <c r="AX383" s="575">
        <f t="shared" ref="AX383" si="4292">-AX372/AX382</f>
        <v>0.72570969107237504</v>
      </c>
      <c r="AZ383" s="575">
        <f t="shared" ref="AZ383" si="4293">-AZ372/AZ382</f>
        <v>2.2080726964179407</v>
      </c>
      <c r="BA383" s="575">
        <f t="shared" ref="BA383" si="4294">-BA372/BA382</f>
        <v>0.52155489329537619</v>
      </c>
      <c r="BB383" s="575">
        <f t="shared" ref="BB383" si="4295">-BB372/BB382</f>
        <v>0.51897993641351281</v>
      </c>
      <c r="BC383" s="575">
        <f t="shared" ref="BC383" si="4296">-BC372/BC382</f>
        <v>0.4157965905153117</v>
      </c>
      <c r="BD383" s="575">
        <f t="shared" ref="BD383" si="4297">-BD372/BD382</f>
        <v>0.59682730341205337</v>
      </c>
      <c r="BF383" s="575">
        <f t="shared" ref="BF383" si="4298">-BF372/BF382</f>
        <v>2.8220684334344854</v>
      </c>
      <c r="BG383" s="575">
        <f t="shared" ref="BG383" si="4299">-BG372/BG382</f>
        <v>0.48733435906698291</v>
      </c>
      <c r="BH383" s="575">
        <f t="shared" ref="BH383" si="4300">-BH372/BH382</f>
        <v>0.5630509614347925</v>
      </c>
      <c r="BI383" s="575">
        <f t="shared" ref="BI383" si="4301">-BI372/BI382</f>
        <v>0.45637412109716252</v>
      </c>
      <c r="BJ383" s="575">
        <f t="shared" ref="BJ383" si="4302">-BJ372/BJ382</f>
        <v>0.61598914600442889</v>
      </c>
      <c r="BL383" s="575">
        <f t="shared" ref="BL383" si="4303">-BL372/BL382</f>
        <v>3.0231642607037355</v>
      </c>
      <c r="BM383" s="575">
        <f t="shared" ref="BM383" si="4304">-BM372/BM382</f>
        <v>0.54320526328300067</v>
      </c>
      <c r="BN383" s="575">
        <f t="shared" ref="BN383" si="4305">-BN372/BN382</f>
        <v>0.53445515670962684</v>
      </c>
      <c r="BO383" s="575">
        <f t="shared" ref="BO383" si="4306">-BO372/BO382</f>
        <v>0.43633915251116906</v>
      </c>
      <c r="BP383" s="575">
        <f t="shared" ref="BP383" si="4307">-BP372/BP382</f>
        <v>0.63145628557462463</v>
      </c>
      <c r="BR383" s="575">
        <f t="shared" ref="BR383" si="4308">-BR372/BR382</f>
        <v>2.7159442227952595</v>
      </c>
      <c r="BS383" s="575">
        <f t="shared" ref="BS383" si="4309">-BS372/BS382</f>
        <v>0.52151459698336056</v>
      </c>
      <c r="BT383" s="575">
        <f t="shared" ref="BT383" si="4310">-BT372/BT382</f>
        <v>0.57946933089307484</v>
      </c>
      <c r="BU383" s="575">
        <f t="shared" ref="BU383" si="4311">-BU372/BU382</f>
        <v>0.47580356947027547</v>
      </c>
      <c r="BV383" s="575">
        <f t="shared" ref="BV383" si="4312">-BV372/BV382</f>
        <v>0.64351152412066315</v>
      </c>
      <c r="BX383" s="575">
        <f t="shared" ref="BX383" si="4313">-BX372/BX382</f>
        <v>2.8898000641011814</v>
      </c>
      <c r="BY383" s="575">
        <f t="shared" ref="BY383" si="4314">-BY372/BY382</f>
        <v>0.56237243533246184</v>
      </c>
      <c r="BZ383" s="575">
        <f t="shared" ref="BZ383" si="4315">-BZ372/BZ382</f>
        <v>0.54658789268066954</v>
      </c>
      <c r="CA383" s="575">
        <f t="shared" ref="CA383" si="4316">-CA372/CA382</f>
        <v>0.45172768689451032</v>
      </c>
      <c r="CB383" s="575">
        <f t="shared" ref="CB383" si="4317">-CB372/CB382</f>
        <v>0.6485630316922556</v>
      </c>
      <c r="CD383" s="575">
        <f t="shared" ref="CD383" si="4318">-CD372/CD382</f>
        <v>2.6179009301087612</v>
      </c>
      <c r="CE383" s="575">
        <f t="shared" ref="CE383" si="4319">-CE372/CE382</f>
        <v>0.53425819221256876</v>
      </c>
      <c r="CF383" s="575">
        <f t="shared" ref="CF383" si="4320">-CF372/CF382</f>
        <v>0.6454836437331799</v>
      </c>
      <c r="CG383" s="575">
        <f t="shared" ref="CG383" si="4321">-CG372/CG382</f>
        <v>0.53664473874875307</v>
      </c>
      <c r="CH383" s="575">
        <f t="shared" ref="CH383" si="4322">-CH372/CH382</f>
        <v>0.69023065735172595</v>
      </c>
      <c r="CJ383" s="575">
        <f t="shared" ref="CJ383" si="4323">-CJ372/CJ382</f>
        <v>2.9482561250828776</v>
      </c>
      <c r="CK383" s="575">
        <f t="shared" ref="CK383" si="4324">-CK372/CK382</f>
        <v>0.63318955483294681</v>
      </c>
      <c r="CL383" s="575">
        <f t="shared" ref="CL383" si="4325">-CL372/CL382</f>
        <v>0.60881149692964887</v>
      </c>
      <c r="CM383" s="575">
        <f t="shared" ref="CM383" si="4326">-CM372/CM382</f>
        <v>0.50931972804226244</v>
      </c>
      <c r="CN383" s="575">
        <f t="shared" ref="CN383" si="4327">-CN372/CN382</f>
        <v>0.72405565204553934</v>
      </c>
    </row>
    <row r="384" spans="1:92" ht="12.95" customHeight="1" x14ac:dyDescent="0.25">
      <c r="B384" s="2" t="s">
        <v>601</v>
      </c>
      <c r="D384" s="27">
        <f>D179</f>
        <v>-452</v>
      </c>
      <c r="E384" s="27">
        <f>E179</f>
        <v>-454</v>
      </c>
      <c r="F384" s="27">
        <f>F179</f>
        <v>-461</v>
      </c>
      <c r="G384" s="27">
        <f>G179</f>
        <v>-464</v>
      </c>
      <c r="H384" s="27">
        <f t="shared" ref="H384:H386" si="4328">SUM(D384:G384)</f>
        <v>-1831</v>
      </c>
      <c r="J384" s="27">
        <f>J179</f>
        <v>-467</v>
      </c>
      <c r="K384" s="27">
        <f>K179</f>
        <v>-466</v>
      </c>
      <c r="L384" s="27">
        <f>L179</f>
        <v>-511</v>
      </c>
      <c r="M384" s="27">
        <f>M179</f>
        <v>-507</v>
      </c>
      <c r="N384" s="27">
        <f t="shared" si="4201"/>
        <v>-1951</v>
      </c>
      <c r="P384" s="27">
        <f>P179</f>
        <v>-494</v>
      </c>
      <c r="Q384" s="27">
        <f>Q179</f>
        <v>-492</v>
      </c>
      <c r="R384" s="27">
        <f>R179</f>
        <v>-578</v>
      </c>
      <c r="S384" s="27">
        <f>S179</f>
        <v>-568</v>
      </c>
      <c r="T384" s="27">
        <f t="shared" ref="T384:T386" si="4329">SUM(P384:S384)</f>
        <v>-2132</v>
      </c>
      <c r="V384" s="27">
        <f>V179</f>
        <v>-567</v>
      </c>
      <c r="W384" s="27">
        <f>W179</f>
        <v>-558</v>
      </c>
      <c r="X384" s="27">
        <f>X179</f>
        <v>-558</v>
      </c>
      <c r="Y384" s="27">
        <f>Y179</f>
        <v>-560</v>
      </c>
      <c r="Z384" s="27">
        <f t="shared" ref="Z384:Z386" si="4330">SUM(V384:Y384)</f>
        <v>-2243</v>
      </c>
      <c r="AB384" s="27">
        <f>AB179</f>
        <v>-562</v>
      </c>
      <c r="AC384" s="27">
        <f>AC179</f>
        <v>-564</v>
      </c>
      <c r="AD384" s="27">
        <f>AD179</f>
        <v>-607</v>
      </c>
      <c r="AE384" s="27">
        <f>AE179</f>
        <v>-599</v>
      </c>
      <c r="AF384" s="27">
        <f t="shared" ref="AF384:AF386" si="4331">SUM(AB384:AE384)</f>
        <v>-2332</v>
      </c>
      <c r="AH384" s="27">
        <f>AH179</f>
        <v>-595</v>
      </c>
      <c r="AI384" s="27">
        <f>AI179</f>
        <v>-592</v>
      </c>
      <c r="AJ384" s="27">
        <f>AJ179</f>
        <v>-633</v>
      </c>
      <c r="AK384" s="27">
        <f>AK179</f>
        <v>-620</v>
      </c>
      <c r="AL384" s="27">
        <f t="shared" ref="AL384:AL386" si="4332">SUM(AH384:AK384)</f>
        <v>-2440</v>
      </c>
      <c r="AN384" s="27">
        <f>AN179</f>
        <v>-620</v>
      </c>
      <c r="AO384" s="27">
        <f>AO179</f>
        <v>-618</v>
      </c>
      <c r="AP384" s="27">
        <f>AP179</f>
        <v>-663</v>
      </c>
      <c r="AQ384" s="27">
        <f>AQ179</f>
        <v>-662</v>
      </c>
      <c r="AR384" s="27">
        <f t="shared" ref="AR384:AR386" si="4333">SUM(AN384:AQ384)</f>
        <v>-2563</v>
      </c>
      <c r="AT384" s="27">
        <f>AT179</f>
        <v>-648</v>
      </c>
      <c r="AU384" s="27">
        <f>AU179</f>
        <v>-635</v>
      </c>
      <c r="AV384" s="235">
        <f>AV179</f>
        <v>-683</v>
      </c>
      <c r="AW384" s="158">
        <f>AW179</f>
        <v>-679.58866666666665</v>
      </c>
      <c r="AX384" s="27">
        <f t="shared" ref="AX384:AX386" si="4334">SUM(AT384:AW384)</f>
        <v>-2645.5886666666665</v>
      </c>
      <c r="AZ384" s="27">
        <f>AZ179</f>
        <v>-673.71366666666654</v>
      </c>
      <c r="BA384" s="27">
        <f>BA179</f>
        <v>-667.83866666666654</v>
      </c>
      <c r="BB384" s="27">
        <f>BB179</f>
        <v>-714.92075999999986</v>
      </c>
      <c r="BC384" s="27">
        <f>BC179</f>
        <v>-708.57575999999983</v>
      </c>
      <c r="BD384" s="27">
        <f t="shared" ref="BD384:BD386" si="4335">SUM(AZ384:BC384)</f>
        <v>-2765.0488533333328</v>
      </c>
      <c r="BF384" s="27">
        <f>BF179</f>
        <v>-702.2307599999998</v>
      </c>
      <c r="BG384" s="27">
        <f>BG179</f>
        <v>-695.88575999999978</v>
      </c>
      <c r="BH384" s="27">
        <f>BH179</f>
        <v>-743.56192079999983</v>
      </c>
      <c r="BI384" s="27">
        <f>BI179</f>
        <v>-735.56722079999986</v>
      </c>
      <c r="BJ384" s="27">
        <f t="shared" ref="BJ384:BJ386" si="4336">SUM(BF384:BI384)</f>
        <v>-2877.245661599999</v>
      </c>
      <c r="BL384" s="27">
        <f>BL179</f>
        <v>-727.57252079999989</v>
      </c>
      <c r="BM384" s="27">
        <f>BM179</f>
        <v>-719.57782080000004</v>
      </c>
      <c r="BN384" s="27">
        <f>BN179</f>
        <v>-768.5097704640001</v>
      </c>
      <c r="BO384" s="27">
        <f>BO179</f>
        <v>-759.87549446400021</v>
      </c>
      <c r="BP384" s="27">
        <f t="shared" ref="BP384:BP386" si="4337">SUM(BL384:BO384)</f>
        <v>-2975.5356065280002</v>
      </c>
      <c r="BR384" s="27">
        <f>BR179</f>
        <v>-751.24121846400021</v>
      </c>
      <c r="BS384" s="27">
        <f>BS179</f>
        <v>-742.60694246400021</v>
      </c>
      <c r="BT384" s="27">
        <f>BT179</f>
        <v>-791.35833434112033</v>
      </c>
      <c r="BU384" s="27">
        <f>BU179</f>
        <v>-780.7011708211204</v>
      </c>
      <c r="BV384" s="27">
        <f t="shared" ref="BV384:BV386" si="4338">SUM(BR384:BU384)</f>
        <v>-3065.907666090241</v>
      </c>
      <c r="BX384" s="27">
        <f>BX179</f>
        <v>-770.04400730112036</v>
      </c>
      <c r="BY384" s="27">
        <f>BY179</f>
        <v>-759.38684378112043</v>
      </c>
      <c r="BZ384" s="27">
        <f>BZ179</f>
        <v>-808.62805468201009</v>
      </c>
      <c r="CA384" s="27">
        <f>CA179</f>
        <v>-797.11831808041018</v>
      </c>
      <c r="CB384" s="27">
        <f t="shared" ref="CB384:CB386" si="4339">SUM(BX384:CA384)</f>
        <v>-3135.1772238446611</v>
      </c>
      <c r="CD384" s="27">
        <f>CD179</f>
        <v>-785.60858147881015</v>
      </c>
      <c r="CE384" s="27">
        <f>CE179</f>
        <v>-774.09884487721013</v>
      </c>
      <c r="CF384" s="27">
        <f>CF179</f>
        <v>-820.4886080552269</v>
      </c>
      <c r="CG384" s="27">
        <f>CG179</f>
        <v>-804.95046364306688</v>
      </c>
      <c r="CH384" s="27">
        <f t="shared" ref="CH384:CH386" si="4340">SUM(CD384:CG384)</f>
        <v>-3185.1464980543142</v>
      </c>
      <c r="CJ384" s="27">
        <f>CJ179</f>
        <v>-789.41231923090686</v>
      </c>
      <c r="CK384" s="27">
        <f>CK179</f>
        <v>-773.87417481874684</v>
      </c>
      <c r="CL384" s="27">
        <f>CL179</f>
        <v>-819.00291283911383</v>
      </c>
      <c r="CM384" s="27">
        <f>CM179</f>
        <v>-802.22171687398099</v>
      </c>
      <c r="CN384" s="27">
        <f t="shared" ref="CN384:CN386" si="4341">SUM(CJ384:CM384)</f>
        <v>-3184.5111237627489</v>
      </c>
    </row>
    <row r="385" spans="2:92" ht="12.95" customHeight="1" x14ac:dyDescent="0.25">
      <c r="B385" s="2" t="s">
        <v>603</v>
      </c>
      <c r="D385" s="27">
        <f>D186</f>
        <v>1355</v>
      </c>
      <c r="E385" s="27">
        <f>E186</f>
        <v>-1220</v>
      </c>
      <c r="F385" s="27">
        <f>F186</f>
        <v>-1428</v>
      </c>
      <c r="G385" s="27">
        <f>G186</f>
        <v>-1090</v>
      </c>
      <c r="H385" s="27">
        <f t="shared" si="4328"/>
        <v>-2383</v>
      </c>
      <c r="J385" s="27">
        <f>J186</f>
        <v>283</v>
      </c>
      <c r="K385" s="27">
        <f>K186</f>
        <v>1075</v>
      </c>
      <c r="L385" s="27">
        <f>L186</f>
        <v>-392</v>
      </c>
      <c r="M385" s="27">
        <f>M186</f>
        <v>874</v>
      </c>
      <c r="N385" s="27">
        <f t="shared" si="4201"/>
        <v>1840</v>
      </c>
      <c r="P385" s="27">
        <f>P186</f>
        <v>-424</v>
      </c>
      <c r="Q385" s="27">
        <f>Q186</f>
        <v>427</v>
      </c>
      <c r="R385" s="27">
        <f>R186</f>
        <v>1756</v>
      </c>
      <c r="S385" s="27">
        <f>S186</f>
        <v>-353</v>
      </c>
      <c r="T385" s="27">
        <f t="shared" si="4329"/>
        <v>1406</v>
      </c>
      <c r="V385" s="27">
        <f>V186</f>
        <v>-365</v>
      </c>
      <c r="W385" s="27">
        <f>W186</f>
        <v>1418</v>
      </c>
      <c r="X385" s="27">
        <f>X186</f>
        <v>-562</v>
      </c>
      <c r="Y385" s="27">
        <f>Y186</f>
        <v>-1101</v>
      </c>
      <c r="Z385" s="27">
        <f t="shared" si="4330"/>
        <v>-610</v>
      </c>
      <c r="AB385" s="27">
        <f>AB186</f>
        <v>1045</v>
      </c>
      <c r="AC385" s="27">
        <f>AC186</f>
        <v>-645</v>
      </c>
      <c r="AD385" s="27">
        <f>AD186</f>
        <v>-765</v>
      </c>
      <c r="AE385" s="27">
        <f>AE186</f>
        <v>1046</v>
      </c>
      <c r="AF385" s="27">
        <f t="shared" si="4331"/>
        <v>681</v>
      </c>
      <c r="AH385" s="27">
        <f>AH186</f>
        <v>-272</v>
      </c>
      <c r="AI385" s="27">
        <f>AI186</f>
        <v>-512</v>
      </c>
      <c r="AJ385" s="27">
        <f>AJ186</f>
        <v>-246</v>
      </c>
      <c r="AK385" s="27">
        <f>AK186</f>
        <v>378</v>
      </c>
      <c r="AL385" s="27">
        <f t="shared" si="4332"/>
        <v>-652</v>
      </c>
      <c r="AN385" s="27">
        <f>AN186</f>
        <v>-61</v>
      </c>
      <c r="AO385" s="27">
        <f>AO186</f>
        <v>651</v>
      </c>
      <c r="AP385" s="27">
        <f>AP186</f>
        <v>-415</v>
      </c>
      <c r="AQ385" s="27">
        <f>AQ186</f>
        <v>419</v>
      </c>
      <c r="AR385" s="27">
        <f t="shared" si="4333"/>
        <v>594</v>
      </c>
      <c r="AT385" s="27">
        <f>AT186</f>
        <v>111</v>
      </c>
      <c r="AU385" s="27">
        <f>AU186</f>
        <v>-490</v>
      </c>
      <c r="AV385" s="235">
        <f>AV186</f>
        <v>248</v>
      </c>
      <c r="AW385" s="158">
        <f>AW186</f>
        <v>0</v>
      </c>
      <c r="AX385" s="27">
        <f t="shared" si="4334"/>
        <v>-131</v>
      </c>
      <c r="AZ385" s="27">
        <f>AZ186</f>
        <v>-145</v>
      </c>
      <c r="BA385" s="27">
        <f>BA186</f>
        <v>0</v>
      </c>
      <c r="BB385" s="27">
        <f>BB186</f>
        <v>0</v>
      </c>
      <c r="BC385" s="27">
        <f>BC186</f>
        <v>0</v>
      </c>
      <c r="BD385" s="27">
        <f t="shared" si="4335"/>
        <v>-145</v>
      </c>
      <c r="BF385" s="27">
        <f>BF186</f>
        <v>0</v>
      </c>
      <c r="BG385" s="27">
        <f>BG186</f>
        <v>0</v>
      </c>
      <c r="BH385" s="27">
        <f>BH186</f>
        <v>0</v>
      </c>
      <c r="BI385" s="27">
        <f>BI186</f>
        <v>0</v>
      </c>
      <c r="BJ385" s="27">
        <f t="shared" si="4336"/>
        <v>0</v>
      </c>
      <c r="BL385" s="27">
        <f>BL186</f>
        <v>0</v>
      </c>
      <c r="BM385" s="27">
        <f>BM186</f>
        <v>0</v>
      </c>
      <c r="BN385" s="27">
        <f>BN186</f>
        <v>0</v>
      </c>
      <c r="BO385" s="27">
        <f>BO186</f>
        <v>0</v>
      </c>
      <c r="BP385" s="27">
        <f t="shared" si="4337"/>
        <v>0</v>
      </c>
      <c r="BR385" s="27">
        <f>BR186</f>
        <v>0</v>
      </c>
      <c r="BS385" s="27">
        <f>BS186</f>
        <v>0</v>
      </c>
      <c r="BT385" s="27">
        <f>BT186</f>
        <v>0</v>
      </c>
      <c r="BU385" s="27">
        <f>BU186</f>
        <v>0</v>
      </c>
      <c r="BV385" s="27">
        <f t="shared" si="4338"/>
        <v>0</v>
      </c>
      <c r="BX385" s="27">
        <f>BX186</f>
        <v>0</v>
      </c>
      <c r="BY385" s="27">
        <f>BY186</f>
        <v>-193</v>
      </c>
      <c r="BZ385" s="27">
        <f>BZ186</f>
        <v>0</v>
      </c>
      <c r="CA385" s="27">
        <f>CA186</f>
        <v>0</v>
      </c>
      <c r="CB385" s="27">
        <f t="shared" si="4339"/>
        <v>-193</v>
      </c>
      <c r="CD385" s="27">
        <f>CD186</f>
        <v>0</v>
      </c>
      <c r="CE385" s="27">
        <f>CE186</f>
        <v>0</v>
      </c>
      <c r="CF385" s="27">
        <f>CF186</f>
        <v>0</v>
      </c>
      <c r="CG385" s="27">
        <f>CG186</f>
        <v>0</v>
      </c>
      <c r="CH385" s="27">
        <f t="shared" si="4340"/>
        <v>0</v>
      </c>
      <c r="CJ385" s="27">
        <f>CJ186</f>
        <v>-495</v>
      </c>
      <c r="CK385" s="27">
        <f>CK186</f>
        <v>-241</v>
      </c>
      <c r="CL385" s="27">
        <f>CL186</f>
        <v>0</v>
      </c>
      <c r="CM385" s="27">
        <f>CM186</f>
        <v>0</v>
      </c>
      <c r="CN385" s="27">
        <f t="shared" si="4341"/>
        <v>-736</v>
      </c>
    </row>
    <row r="386" spans="2:92" ht="12.95" customHeight="1" x14ac:dyDescent="0.25">
      <c r="B386" s="17" t="s">
        <v>602</v>
      </c>
      <c r="D386" s="76">
        <f>SUM(D382:D385)</f>
        <v>2223</v>
      </c>
      <c r="E386" s="76">
        <f t="shared" ref="E386" si="4342">SUM(E382:E385)</f>
        <v>629</v>
      </c>
      <c r="F386" s="76">
        <f t="shared" ref="F386" si="4343">SUM(F382:F385)</f>
        <v>-867</v>
      </c>
      <c r="G386" s="76">
        <f t="shared" ref="G386" si="4344">SUM(G382:G385)</f>
        <v>-1350.2800000000002</v>
      </c>
      <c r="H386" s="76">
        <f t="shared" si="4328"/>
        <v>634.7199999999998</v>
      </c>
      <c r="J386" s="76">
        <f>SUM(J382:J385)</f>
        <v>13.386471614823677</v>
      </c>
      <c r="K386" s="76">
        <f t="shared" ref="K386" si="4345">SUM(K382:K385)</f>
        <v>2516.57325076815</v>
      </c>
      <c r="L386" s="76">
        <f t="shared" ref="L386" si="4346">SUM(L382:L385)</f>
        <v>206.67628494138853</v>
      </c>
      <c r="M386" s="76">
        <f t="shared" ref="M386" si="4347">SUM(M382:M385)</f>
        <v>2063.060766961652</v>
      </c>
      <c r="N386" s="76">
        <f t="shared" si="4201"/>
        <v>4799.6967742860143</v>
      </c>
      <c r="P386" s="76">
        <f>SUM(P382:P385)</f>
        <v>-76.107015457788293</v>
      </c>
      <c r="Q386" s="76">
        <f t="shared" ref="Q386" si="4348">SUM(Q382:Q385)</f>
        <v>2321.5674769488683</v>
      </c>
      <c r="R386" s="76">
        <f t="shared" ref="R386" si="4349">SUM(R382:R385)</f>
        <v>1705.2438095238094</v>
      </c>
      <c r="S386" s="76">
        <f t="shared" ref="S386" si="4350">SUM(S382:S385)</f>
        <v>1177.3641563393708</v>
      </c>
      <c r="T386" s="76">
        <f t="shared" si="4329"/>
        <v>5128.0684273542602</v>
      </c>
      <c r="V386" s="76">
        <f>SUM(V382:V385)</f>
        <v>-140.67974683544298</v>
      </c>
      <c r="W386" s="76">
        <f t="shared" ref="W386" si="4351">SUM(W382:W385)</f>
        <v>2083.0711365494685</v>
      </c>
      <c r="X386" s="76">
        <f t="shared" ref="X386" si="4352">SUM(X382:X385)</f>
        <v>356</v>
      </c>
      <c r="Y386" s="76">
        <f t="shared" ref="Y386" si="4353">SUM(Y382:Y385)</f>
        <v>113</v>
      </c>
      <c r="Z386" s="76">
        <f t="shared" si="4330"/>
        <v>2411.3913897140255</v>
      </c>
      <c r="AB386" s="76">
        <f>SUM(AB382:AB385)</f>
        <v>1801</v>
      </c>
      <c r="AC386" s="76">
        <f t="shared" ref="AC386" si="4354">SUM(AC382:AC385)</f>
        <v>730.12944816915933</v>
      </c>
      <c r="AD386" s="76">
        <f t="shared" ref="AD386" si="4355">SUM(AD382:AD385)</f>
        <v>58.958741258741156</v>
      </c>
      <c r="AE386" s="76">
        <f t="shared" ref="AE386" si="4356">SUM(AE382:AE385)</f>
        <v>1412.0850622406638</v>
      </c>
      <c r="AF386" s="76">
        <f t="shared" si="4331"/>
        <v>4002.1732516685643</v>
      </c>
      <c r="AH386" s="76">
        <f>SUM(AH382:AH385)</f>
        <v>-928</v>
      </c>
      <c r="AI386" s="76">
        <f t="shared" ref="AI386" si="4357">SUM(AI382:AI385)</f>
        <v>862.56154628687682</v>
      </c>
      <c r="AJ386" s="76">
        <f t="shared" ref="AJ386" si="4358">SUM(AJ382:AJ385)</f>
        <v>1312.6321314468278</v>
      </c>
      <c r="AK386" s="76">
        <f t="shared" ref="AK386" si="4359">SUM(AK382:AK385)</f>
        <v>2025.4062637847373</v>
      </c>
      <c r="AL386" s="76">
        <f t="shared" si="4332"/>
        <v>3272.5999415184419</v>
      </c>
      <c r="AN386" s="76">
        <f>SUM(AN382:AN385)</f>
        <v>451.35335689045928</v>
      </c>
      <c r="AO386" s="76">
        <f t="shared" ref="AO386" si="4360">SUM(AO382:AO385)</f>
        <v>3006.4806592667342</v>
      </c>
      <c r="AP386" s="76">
        <f t="shared" ref="AP386" si="4361">SUM(AP382:AP385)</f>
        <v>2557.1045392022006</v>
      </c>
      <c r="AQ386" s="76">
        <f t="shared" ref="AQ386" si="4362">SUM(AQ382:AQ385)</f>
        <v>3226.7973479388875</v>
      </c>
      <c r="AR386" s="76">
        <f t="shared" si="4333"/>
        <v>9241.7359032982822</v>
      </c>
      <c r="AT386" s="76">
        <f>SUM(AT382:AT385)</f>
        <v>1059.7948557089085</v>
      </c>
      <c r="AU386" s="76">
        <f t="shared" ref="AU386" si="4363">SUM(AU382:AU385)</f>
        <v>1420.7151277013754</v>
      </c>
      <c r="AV386" s="254">
        <f t="shared" ref="AV386" si="4364">SUM(AV382:AV385)</f>
        <v>2684.2507213850595</v>
      </c>
      <c r="AW386" s="353">
        <f t="shared" ref="AW386" si="4365">SUM(AW382:AW385)</f>
        <v>2889.2788569472186</v>
      </c>
      <c r="AX386" s="76">
        <f t="shared" si="4334"/>
        <v>8054.039561742562</v>
      </c>
      <c r="AZ386" s="76">
        <f>SUM(AZ382:AZ385)</f>
        <v>-137.18013406424814</v>
      </c>
      <c r="BA386" s="76">
        <f t="shared" ref="BA386" si="4366">SUM(BA382:BA385)</f>
        <v>2208.6984702537607</v>
      </c>
      <c r="BB386" s="76">
        <f t="shared" ref="BB386" si="4367">SUM(BB382:BB385)</f>
        <v>2175.8833634546208</v>
      </c>
      <c r="BC386" s="76">
        <f t="shared" ref="BC386" si="4368">SUM(BC382:BC385)</f>
        <v>2899.3732252128557</v>
      </c>
      <c r="BD386" s="76">
        <f t="shared" si="4335"/>
        <v>7146.7749248569889</v>
      </c>
      <c r="BF386" s="76">
        <f>SUM(BF382:BF385)</f>
        <v>-167.88366466476009</v>
      </c>
      <c r="BG386" s="76">
        <f t="shared" ref="BG386" si="4369">SUM(BG382:BG385)</f>
        <v>2382.5704720821782</v>
      </c>
      <c r="BH386" s="76">
        <f t="shared" ref="BH386" si="4370">SUM(BH382:BH385)</f>
        <v>2365.0679302616763</v>
      </c>
      <c r="BI386" s="76">
        <f t="shared" ref="BI386" si="4371">SUM(BI382:BI385)</f>
        <v>3099.4624104392924</v>
      </c>
      <c r="BJ386" s="76">
        <f t="shared" si="4336"/>
        <v>7679.2171481183868</v>
      </c>
      <c r="BL386" s="76">
        <f>SUM(BL382:BL385)</f>
        <v>-145.6856729653731</v>
      </c>
      <c r="BM386" s="76">
        <f t="shared" ref="BM386" si="4372">SUM(BM382:BM385)</f>
        <v>2502.5836534458499</v>
      </c>
      <c r="BN386" s="76">
        <f t="shared" ref="BN386" si="4373">SUM(BN382:BN385)</f>
        <v>2506.3873286493604</v>
      </c>
      <c r="BO386" s="76">
        <f t="shared" ref="BO386" si="4374">SUM(BO382:BO385)</f>
        <v>3251.2025437627308</v>
      </c>
      <c r="BP386" s="76">
        <f t="shared" si="4337"/>
        <v>8114.4878528925674</v>
      </c>
      <c r="BR386" s="76">
        <f>SUM(BR382:BR385)</f>
        <v>-104.18214476452749</v>
      </c>
      <c r="BS386" s="76">
        <f t="shared" ref="BS386" si="4375">SUM(BS382:BS385)</f>
        <v>2613.5253452976613</v>
      </c>
      <c r="BT386" s="76">
        <f t="shared" ref="BT386" si="4376">SUM(BT382:BT385)</f>
        <v>2660.6548750940356</v>
      </c>
      <c r="BU386" s="76">
        <f t="shared" ref="BU386" si="4377">SUM(BU382:BU385)</f>
        <v>3423.1899249594871</v>
      </c>
      <c r="BV386" s="76">
        <f t="shared" si="4338"/>
        <v>8593.1880005866551</v>
      </c>
      <c r="BX386" s="76">
        <f>SUM(BX382:BX385)</f>
        <v>-75.064804636059989</v>
      </c>
      <c r="BY386" s="76">
        <f t="shared" ref="BY386" si="4378">SUM(BY382:BY385)</f>
        <v>2604.5376018017787</v>
      </c>
      <c r="BZ386" s="76">
        <f t="shared" ref="BZ386" si="4379">SUM(BZ382:BZ385)</f>
        <v>2850.9823851215842</v>
      </c>
      <c r="CA386" s="76">
        <f t="shared" ref="CA386" si="4380">SUM(CA382:CA385)</f>
        <v>3630.7795414771881</v>
      </c>
      <c r="CB386" s="76">
        <f t="shared" si="4339"/>
        <v>9011.2347237644899</v>
      </c>
      <c r="CD386" s="76">
        <f>SUM(CD382:CD385)</f>
        <v>-19.01983008687364</v>
      </c>
      <c r="CE386" s="76">
        <f t="shared" ref="CE386" si="4381">SUM(CE382:CE385)</f>
        <v>2969.943756569844</v>
      </c>
      <c r="CF386" s="76">
        <f t="shared" ref="CF386" si="4382">SUM(CF382:CF385)</f>
        <v>3053.2217073186371</v>
      </c>
      <c r="CG386" s="76">
        <f t="shared" ref="CG386" si="4383">SUM(CG382:CG385)</f>
        <v>3854.1616212071945</v>
      </c>
      <c r="CH386" s="76">
        <f t="shared" si="4340"/>
        <v>9858.3072550088018</v>
      </c>
      <c r="CJ386" s="76">
        <f>SUM(CJ382:CJ385)</f>
        <v>-433.50517014169145</v>
      </c>
      <c r="CK386" s="76">
        <f t="shared" ref="CK386" si="4384">SUM(CK382:CK385)</f>
        <v>2934.0237656597965</v>
      </c>
      <c r="CL386" s="76">
        <f t="shared" ref="CL386" si="4385">SUM(CL382:CL385)</f>
        <v>3287.9672479555397</v>
      </c>
      <c r="CM386" s="76">
        <f t="shared" ref="CM386" si="4386">SUM(CM382:CM385)</f>
        <v>4106.7956820709624</v>
      </c>
      <c r="CN386" s="76">
        <f t="shared" si="4341"/>
        <v>9895.2815255446076</v>
      </c>
    </row>
    <row r="387" spans="2:92" ht="12.95" customHeight="1" x14ac:dyDescent="0.25">
      <c r="B387" s="17"/>
      <c r="D387" s="76"/>
      <c r="E387" s="76"/>
      <c r="F387" s="76"/>
      <c r="G387" s="76"/>
      <c r="H387" s="76"/>
      <c r="J387" s="76"/>
      <c r="K387" s="76"/>
      <c r="L387" s="76"/>
      <c r="M387" s="76"/>
      <c r="N387" s="76"/>
      <c r="P387" s="76"/>
      <c r="Q387" s="76"/>
      <c r="R387" s="76"/>
      <c r="S387" s="76"/>
      <c r="T387" s="76"/>
      <c r="V387" s="76"/>
      <c r="W387" s="76"/>
      <c r="X387" s="76"/>
      <c r="Y387" s="76"/>
      <c r="Z387" s="76"/>
      <c r="AB387" s="76"/>
      <c r="AC387" s="76"/>
      <c r="AD387" s="76"/>
      <c r="AE387" s="76"/>
      <c r="AF387" s="76"/>
      <c r="AH387" s="76"/>
      <c r="AI387" s="76"/>
      <c r="AJ387" s="76"/>
      <c r="AK387" s="76"/>
      <c r="AL387" s="76"/>
      <c r="AN387" s="76"/>
      <c r="AO387" s="76"/>
      <c r="AP387" s="76"/>
      <c r="AQ387" s="76"/>
      <c r="AR387" s="76"/>
      <c r="AT387" s="76"/>
      <c r="AU387" s="76"/>
      <c r="AV387" s="254"/>
      <c r="AW387" s="353"/>
      <c r="AX387" s="76"/>
      <c r="AZ387" s="76"/>
      <c r="BA387" s="76"/>
      <c r="BB387" s="76"/>
      <c r="BC387" s="76"/>
      <c r="BD387" s="76"/>
      <c r="BF387" s="76"/>
      <c r="BG387" s="76"/>
      <c r="BH387" s="76"/>
      <c r="BI387" s="76"/>
      <c r="BJ387" s="76"/>
      <c r="BL387" s="76"/>
      <c r="BM387" s="76"/>
      <c r="BN387" s="76"/>
      <c r="BO387" s="76"/>
      <c r="BP387" s="76"/>
      <c r="BR387" s="76"/>
      <c r="BS387" s="76"/>
      <c r="BT387" s="76"/>
      <c r="BU387" s="76"/>
      <c r="BV387" s="76"/>
      <c r="BX387" s="76"/>
      <c r="BY387" s="76"/>
      <c r="BZ387" s="76"/>
      <c r="CA387" s="76"/>
      <c r="CB387" s="76"/>
      <c r="CD387" s="76"/>
      <c r="CE387" s="76"/>
      <c r="CF387" s="76"/>
      <c r="CG387" s="76"/>
      <c r="CH387" s="76"/>
      <c r="CJ387" s="76"/>
      <c r="CK387" s="76"/>
      <c r="CL387" s="76"/>
      <c r="CM387" s="76"/>
      <c r="CN387" s="76"/>
    </row>
    <row r="388" spans="2:92" ht="12.95" customHeight="1" x14ac:dyDescent="0.25">
      <c r="B388" s="2" t="s">
        <v>605</v>
      </c>
      <c r="D388" s="27">
        <f>-(D372+D384)</f>
        <v>452</v>
      </c>
      <c r="E388" s="27">
        <f t="shared" ref="E388:H388" si="4387">-(E372+E384)</f>
        <v>454</v>
      </c>
      <c r="F388" s="27">
        <f t="shared" si="4387"/>
        <v>461</v>
      </c>
      <c r="G388" s="27">
        <f t="shared" si="4387"/>
        <v>464</v>
      </c>
      <c r="H388" s="27">
        <f t="shared" si="4387"/>
        <v>1831</v>
      </c>
      <c r="J388" s="27">
        <f>-(J372+J384)</f>
        <v>967</v>
      </c>
      <c r="K388" s="27">
        <f t="shared" ref="K388:N388" si="4388">-(K372+K384)</f>
        <v>1216</v>
      </c>
      <c r="L388" s="27">
        <f t="shared" si="4388"/>
        <v>1261</v>
      </c>
      <c r="M388" s="27">
        <f t="shared" si="4388"/>
        <v>2305</v>
      </c>
      <c r="N388" s="27">
        <f t="shared" si="4388"/>
        <v>5749</v>
      </c>
      <c r="P388" s="27">
        <f>-(P372+P384)</f>
        <v>1245</v>
      </c>
      <c r="Q388" s="27">
        <f t="shared" ref="Q388:T388" si="4389">-(Q372+Q384)</f>
        <v>1846</v>
      </c>
      <c r="R388" s="27">
        <f t="shared" si="4389"/>
        <v>1756</v>
      </c>
      <c r="S388" s="27">
        <f t="shared" si="4389"/>
        <v>1332</v>
      </c>
      <c r="T388" s="27">
        <f t="shared" si="4389"/>
        <v>6179</v>
      </c>
      <c r="V388" s="27">
        <f>-(V372+V384)</f>
        <v>1610</v>
      </c>
      <c r="W388" s="27">
        <f t="shared" ref="W388:Z388" si="4390">-(W372+W384)</f>
        <v>645</v>
      </c>
      <c r="X388" s="27">
        <f t="shared" si="4390"/>
        <v>558</v>
      </c>
      <c r="Y388" s="27">
        <f t="shared" si="4390"/>
        <v>560</v>
      </c>
      <c r="Z388" s="27">
        <f t="shared" si="4390"/>
        <v>3373</v>
      </c>
      <c r="AB388" s="27">
        <f>-(AB372+AB384)</f>
        <v>562</v>
      </c>
      <c r="AC388" s="27">
        <f t="shared" ref="AC388:AF388" si="4391">-(AC372+AC384)</f>
        <v>815</v>
      </c>
      <c r="AD388" s="27">
        <f t="shared" si="4391"/>
        <v>1978</v>
      </c>
      <c r="AE388" s="27">
        <f t="shared" si="4391"/>
        <v>1645</v>
      </c>
      <c r="AF388" s="27">
        <f t="shared" si="4391"/>
        <v>5000</v>
      </c>
      <c r="AH388" s="27">
        <f>-(AH372+AH384)</f>
        <v>1415</v>
      </c>
      <c r="AI388" s="27">
        <f t="shared" ref="AI388:AL388" si="4392">-(AI372+AI384)</f>
        <v>1696</v>
      </c>
      <c r="AJ388" s="27">
        <f t="shared" si="4392"/>
        <v>2018</v>
      </c>
      <c r="AK388" s="27">
        <f t="shared" si="4392"/>
        <v>1541</v>
      </c>
      <c r="AL388" s="27">
        <f t="shared" si="4392"/>
        <v>6670</v>
      </c>
      <c r="AN388" s="27">
        <f>-(AN372+AN384)</f>
        <v>1020</v>
      </c>
      <c r="AO388" s="27">
        <f t="shared" ref="AO388:AR388" si="4393">-(AO372+AO384)</f>
        <v>2047</v>
      </c>
      <c r="AP388" s="27">
        <f t="shared" si="4393"/>
        <v>1043</v>
      </c>
      <c r="AQ388" s="27">
        <f t="shared" si="4393"/>
        <v>3428</v>
      </c>
      <c r="AR388" s="27">
        <f t="shared" si="4393"/>
        <v>7538</v>
      </c>
      <c r="AT388" s="27">
        <f>-(AT372+AT384)</f>
        <v>5103</v>
      </c>
      <c r="AU388" s="27">
        <f t="shared" ref="AU388:AX388" si="4394">-(AU372+AU384)</f>
        <v>2455</v>
      </c>
      <c r="AV388" s="235">
        <f t="shared" si="4394"/>
        <v>1465</v>
      </c>
      <c r="AW388" s="158">
        <f t="shared" si="4394"/>
        <v>1479.5886666666665</v>
      </c>
      <c r="AX388" s="27">
        <f t="shared" si="4394"/>
        <v>10502.588666666667</v>
      </c>
      <c r="AZ388" s="27">
        <f>-(AZ372+AZ384)</f>
        <v>2173.7136666666665</v>
      </c>
      <c r="BA388" s="27">
        <f t="shared" ref="BA388:BD388" si="4395">-(BA372+BA384)</f>
        <v>2167.8386666666665</v>
      </c>
      <c r="BB388" s="27">
        <f t="shared" si="4395"/>
        <v>2214.92076</v>
      </c>
      <c r="BC388" s="27">
        <f t="shared" si="4395"/>
        <v>2208.5757599999997</v>
      </c>
      <c r="BD388" s="27">
        <f t="shared" si="4395"/>
        <v>8765.0488533333337</v>
      </c>
      <c r="BF388" s="27">
        <f>-(BF372+BF384)</f>
        <v>2202.2307599999999</v>
      </c>
      <c r="BG388" s="27">
        <f t="shared" ref="BG388:BJ388" si="4396">-(BG372+BG384)</f>
        <v>2195.8857599999997</v>
      </c>
      <c r="BH388" s="27">
        <f t="shared" si="4396"/>
        <v>2493.5619207999998</v>
      </c>
      <c r="BI388" s="27">
        <f t="shared" si="4396"/>
        <v>2485.5672207999996</v>
      </c>
      <c r="BJ388" s="27">
        <f t="shared" si="4396"/>
        <v>9377.2456615999981</v>
      </c>
      <c r="BL388" s="27">
        <f>-(BL372+BL384)</f>
        <v>2477.5725207999999</v>
      </c>
      <c r="BM388" s="27">
        <f t="shared" ref="BM388:BP388" si="4397">-(BM372+BM384)</f>
        <v>2469.5778208000002</v>
      </c>
      <c r="BN388" s="27">
        <f t="shared" si="4397"/>
        <v>2518.5097704640002</v>
      </c>
      <c r="BO388" s="27">
        <f t="shared" si="4397"/>
        <v>2509.8754944640004</v>
      </c>
      <c r="BP388" s="27">
        <f t="shared" si="4397"/>
        <v>9975.5356065279993</v>
      </c>
      <c r="BR388" s="27">
        <f>-(BR372+BR384)</f>
        <v>2501.2412184640002</v>
      </c>
      <c r="BS388" s="27">
        <f t="shared" ref="BS388:BV388" si="4398">-(BS372+BS384)</f>
        <v>2492.606942464</v>
      </c>
      <c r="BT388" s="27">
        <f t="shared" si="4398"/>
        <v>2791.3583343411201</v>
      </c>
      <c r="BU388" s="27">
        <f t="shared" si="4398"/>
        <v>2780.7011708211203</v>
      </c>
      <c r="BV388" s="27">
        <f t="shared" si="4398"/>
        <v>10565.907666090241</v>
      </c>
      <c r="BX388" s="27">
        <f>-(BX372+BX384)</f>
        <v>2770.0440073011205</v>
      </c>
      <c r="BY388" s="27">
        <f t="shared" ref="BY388:CB388" si="4399">-(BY372+BY384)</f>
        <v>2759.3868437811207</v>
      </c>
      <c r="BZ388" s="27">
        <f t="shared" si="4399"/>
        <v>2808.6280546820099</v>
      </c>
      <c r="CA388" s="27">
        <f t="shared" si="4399"/>
        <v>2797.1183180804101</v>
      </c>
      <c r="CB388" s="27">
        <f t="shared" si="4399"/>
        <v>11135.177223844661</v>
      </c>
      <c r="CD388" s="27">
        <f>-(CD372+CD384)</f>
        <v>2785.6085814788103</v>
      </c>
      <c r="CE388" s="27">
        <f t="shared" ref="CE388:CH388" si="4400">-(CE372+CE384)</f>
        <v>2774.09884487721</v>
      </c>
      <c r="CF388" s="27">
        <f t="shared" si="4400"/>
        <v>3320.4886080552269</v>
      </c>
      <c r="CG388" s="27">
        <f t="shared" si="4400"/>
        <v>3304.950463643067</v>
      </c>
      <c r="CH388" s="27">
        <f t="shared" si="4400"/>
        <v>12185.146498054313</v>
      </c>
      <c r="CJ388" s="27">
        <f>-(CJ372+CJ384)</f>
        <v>3289.4123192309071</v>
      </c>
      <c r="CK388" s="27">
        <f t="shared" ref="CK388:CN388" si="4401">-(CK372+CK384)</f>
        <v>3273.8741748187467</v>
      </c>
      <c r="CL388" s="27">
        <f t="shared" si="4401"/>
        <v>3319.0029128391138</v>
      </c>
      <c r="CM388" s="27">
        <f t="shared" si="4401"/>
        <v>3302.2217168739808</v>
      </c>
      <c r="CN388" s="27">
        <f t="shared" si="4401"/>
        <v>13184.51112376275</v>
      </c>
    </row>
    <row r="389" spans="2:92" ht="12.95" customHeight="1" x14ac:dyDescent="0.25">
      <c r="B389" s="10" t="s">
        <v>606</v>
      </c>
      <c r="D389" s="575">
        <f>D388/D382</f>
        <v>0.34242424242424241</v>
      </c>
      <c r="E389" s="575">
        <f t="shared" ref="E389" si="4402">E388/E382</f>
        <v>0.19713417281806339</v>
      </c>
      <c r="F389" s="575">
        <f t="shared" ref="F389" si="4403">F388/F382</f>
        <v>0.45107632093933464</v>
      </c>
      <c r="G389" s="575">
        <f t="shared" ref="G389" si="4404">G388/G382</f>
        <v>2.277635970940509</v>
      </c>
      <c r="H389" s="575">
        <f t="shared" ref="H389" si="4405">H388/H382</f>
        <v>0.37762543516639446</v>
      </c>
      <c r="J389" s="575">
        <f>J388/J382</f>
        <v>4.9635561030695072</v>
      </c>
      <c r="K389" s="575">
        <f t="shared" ref="K389" si="4406">K388/K382</f>
        <v>0.6375905787602637</v>
      </c>
      <c r="L389" s="575">
        <f t="shared" ref="L389" si="4407">L388/L382</f>
        <v>1.1370604147880974</v>
      </c>
      <c r="M389" s="575">
        <f t="shared" ref="M389" si="4408">M388/M382</f>
        <v>1.359882005899705</v>
      </c>
      <c r="N389" s="575">
        <f t="shared" ref="N389" si="4409">N388/N382</f>
        <v>1.1718304117407257</v>
      </c>
      <c r="P389" s="575">
        <f>P388/P382</f>
        <v>1.4803804994054697</v>
      </c>
      <c r="Q389" s="575">
        <f t="shared" ref="Q389" si="4410">Q388/Q382</f>
        <v>0.77367979882648785</v>
      </c>
      <c r="R389" s="575">
        <f t="shared" ref="R389" si="4411">R388/R382</f>
        <v>3.3447619047619046</v>
      </c>
      <c r="S389" s="575">
        <f t="shared" ref="S389" si="4412">S388/S382</f>
        <v>0.63489037178265018</v>
      </c>
      <c r="T389" s="575">
        <f t="shared" ref="T389" si="4413">T388/T382</f>
        <v>1.0562393162393162</v>
      </c>
      <c r="V389" s="575">
        <f>V388/V382</f>
        <v>2.037974683544304</v>
      </c>
      <c r="W389" s="575">
        <f t="shared" ref="W389" si="4414">W388/W382</f>
        <v>0.52739165985282088</v>
      </c>
      <c r="X389" s="575">
        <f t="shared" ref="X389" si="4415">X388/X382</f>
        <v>0.37804878048780488</v>
      </c>
      <c r="Y389" s="575">
        <f t="shared" ref="Y389" si="4416">Y388/Y382</f>
        <v>0.3156708004509583</v>
      </c>
      <c r="Z389" s="575">
        <f t="shared" ref="Z389" si="4417">Z388/Z382</f>
        <v>0.64088922667680026</v>
      </c>
      <c r="AB389" s="575">
        <f>AB388/AB382</f>
        <v>0.42640364188163887</v>
      </c>
      <c r="AC389" s="575">
        <f t="shared" ref="AC389" si="4418">AC388/AC382</f>
        <v>0.42031975244971637</v>
      </c>
      <c r="AD389" s="575">
        <f t="shared" ref="AD389" si="4419">AD388/AD382</f>
        <v>1.3832167832167832</v>
      </c>
      <c r="AE389" s="575">
        <f t="shared" ref="AE389" si="4420">AE388/AE382</f>
        <v>1.7064315352697095</v>
      </c>
      <c r="AF389" s="575">
        <f t="shared" ref="AF389" si="4421">AF388/AF382</f>
        <v>0.88479915059281544</v>
      </c>
      <c r="AH389" s="575">
        <f>AH388/AH382</f>
        <v>-34.512195121951223</v>
      </c>
      <c r="AI389" s="575">
        <f t="shared" ref="AI389" si="4422">AI388/AI382</f>
        <v>0.86266531027466942</v>
      </c>
      <c r="AJ389" s="575">
        <f t="shared" ref="AJ389" si="4423">AJ388/AJ382</f>
        <v>0.92104062072113191</v>
      </c>
      <c r="AK389" s="575">
        <f t="shared" ref="AK389" si="4424">AK388/AK382</f>
        <v>0.67975297750330832</v>
      </c>
      <c r="AL389" s="575">
        <f t="shared" ref="AL389" si="4425">AL388/AL382</f>
        <v>1.0449631834560551</v>
      </c>
      <c r="AN389" s="575">
        <f>AN388/AN382</f>
        <v>0.90106007067137805</v>
      </c>
      <c r="AO389" s="575">
        <f t="shared" ref="AO389:AR389" si="4426">AO388/AO382</f>
        <v>0.6885301042717793</v>
      </c>
      <c r="AP389" s="575">
        <f t="shared" si="4426"/>
        <v>0.28693259972489682</v>
      </c>
      <c r="AQ389" s="575">
        <f t="shared" si="4426"/>
        <v>0.98818103199769391</v>
      </c>
      <c r="AR389" s="575">
        <f t="shared" si="4426"/>
        <v>0.67249531626371661</v>
      </c>
      <c r="AT389" s="575">
        <f>AT388/AT382</f>
        <v>3.2013801756587204</v>
      </c>
      <c r="AU389" s="575">
        <f t="shared" ref="AU389" si="4427">AU388/AU382</f>
        <v>0.96463654223968565</v>
      </c>
      <c r="AV389" s="588">
        <f t="shared" ref="AV389" si="4428">AV388/AV382</f>
        <v>0.46970182750881695</v>
      </c>
      <c r="AW389" s="583">
        <f t="shared" ref="AW389" si="4429">AW388/AW382</f>
        <v>0.4146081639592854</v>
      </c>
      <c r="AX389" s="575">
        <f t="shared" ref="AX389" si="4430">AX388/AX382</f>
        <v>0.97006877647281331</v>
      </c>
      <c r="AZ389" s="575">
        <f>AZ388/AZ382</f>
        <v>3.19981186479813</v>
      </c>
      <c r="BA389" s="575">
        <f t="shared" ref="BA389" si="4431">BA388/BA382</f>
        <v>0.75376457631661586</v>
      </c>
      <c r="BB389" s="575">
        <f t="shared" ref="BB389" si="4432">BB388/BB382</f>
        <v>0.76633295679051294</v>
      </c>
      <c r="BC389" s="575">
        <f t="shared" ref="BC389" si="4433">BC388/BC382</f>
        <v>0.61221218060184213</v>
      </c>
      <c r="BD389" s="575">
        <f t="shared" ref="BD389" si="4434">BD388/BD382</f>
        <v>0.87187007856830734</v>
      </c>
      <c r="BF389" s="575">
        <f>BF388/BF382</f>
        <v>4.1432306072896239</v>
      </c>
      <c r="BG389" s="575">
        <f t="shared" ref="BG389" si="4435">BG388/BG382</f>
        <v>0.71342038628927629</v>
      </c>
      <c r="BH389" s="575">
        <f t="shared" ref="BH389" si="4436">BH388/BH382</f>
        <v>0.80228710680207305</v>
      </c>
      <c r="BI389" s="575">
        <f t="shared" ref="BI389" si="4437">BI388/BI382</f>
        <v>0.648199174754581</v>
      </c>
      <c r="BJ389" s="575">
        <f t="shared" ref="BJ389" si="4438">BJ388/BJ382</f>
        <v>0.88865869953272592</v>
      </c>
      <c r="BL389" s="575">
        <f>BL388/BL382</f>
        <v>4.2800621132481265</v>
      </c>
      <c r="BM389" s="575">
        <f t="shared" ref="BM389" si="4439">BM388/BM382</f>
        <v>0.76656438305458463</v>
      </c>
      <c r="BN389" s="575">
        <f t="shared" ref="BN389" si="4440">BN388/BN382</f>
        <v>0.76916030517032208</v>
      </c>
      <c r="BO389" s="575">
        <f t="shared" ref="BO389" si="4441">BO388/BO382</f>
        <v>0.62580396923598469</v>
      </c>
      <c r="BP389" s="575">
        <f t="shared" ref="BP389" si="4442">BP388/BP382</f>
        <v>0.89987352295936862</v>
      </c>
      <c r="BR389" s="575">
        <f>BR388/BR382</f>
        <v>3.8818466497741015</v>
      </c>
      <c r="BS389" s="575">
        <f t="shared" ref="BS389" si="4443">BS388/BS382</f>
        <v>0.74281766002116545</v>
      </c>
      <c r="BT389" s="575">
        <f t="shared" ref="BT389" si="4444">BT388/BT382</f>
        <v>0.8087532731417284</v>
      </c>
      <c r="BU389" s="575">
        <f t="shared" ref="BU389" si="4445">BU388/BU382</f>
        <v>0.66153377135343161</v>
      </c>
      <c r="BV389" s="575">
        <f t="shared" ref="BV389" si="4446">BV388/BV382</f>
        <v>0.90657111278985736</v>
      </c>
      <c r="BX389" s="575">
        <f>BX388/BX382</f>
        <v>4.0024366749309355</v>
      </c>
      <c r="BY389" s="575">
        <f t="shared" ref="BY389" si="4447">BY388/BY382</f>
        <v>0.77590154968077218</v>
      </c>
      <c r="BZ389" s="575">
        <f t="shared" ref="BZ389" si="4448">BZ388/BZ382</f>
        <v>0.76758104486622403</v>
      </c>
      <c r="CA389" s="575">
        <f t="shared" ref="CA389" si="4449">CA388/CA382</f>
        <v>0.63176789389836341</v>
      </c>
      <c r="CB389" s="575">
        <f t="shared" ref="CB389" si="4450">CB388/CB382</f>
        <v>0.90273303734090604</v>
      </c>
      <c r="CD389" s="575">
        <f>CD388/CD382</f>
        <v>3.6462236481861621</v>
      </c>
      <c r="CE389" s="575">
        <f t="shared" ref="CE389" si="4451">CE388/CE382</f>
        <v>0.74104251694153678</v>
      </c>
      <c r="CF389" s="575">
        <f t="shared" ref="CF389" si="4452">CF388/CF382</f>
        <v>0.85732843428080097</v>
      </c>
      <c r="CG389" s="575">
        <f t="shared" ref="CG389" si="4453">CG388/CG382</f>
        <v>0.70943371125572152</v>
      </c>
      <c r="CH389" s="575">
        <f t="shared" ref="CH389" si="4454">CH388/CH382</f>
        <v>0.93450685303101222</v>
      </c>
      <c r="CJ389" s="575">
        <f>CJ388/CJ382</f>
        <v>3.8792120072382383</v>
      </c>
      <c r="CK389" s="575">
        <f t="shared" ref="CK389" si="4455">CK388/CK382</f>
        <v>0.82919317253302538</v>
      </c>
      <c r="CL389" s="575">
        <f t="shared" ref="CL389" si="4456">CL388/CL382</f>
        <v>0.80825885267177833</v>
      </c>
      <c r="CM389" s="575">
        <f t="shared" ref="CM389" si="4457">CM388/CM382</f>
        <v>0.67275466670940354</v>
      </c>
      <c r="CN389" s="575">
        <f t="shared" ref="CN389" si="4458">CN388/CN382</f>
        <v>0.95463197986177051</v>
      </c>
    </row>
    <row r="390" spans="2:92" ht="12.95" customHeight="1" x14ac:dyDescent="0.25">
      <c r="B390" s="10" t="s">
        <v>607</v>
      </c>
      <c r="AH390" s="579"/>
      <c r="AI390" s="579"/>
      <c r="AJ390" s="579"/>
      <c r="AK390" s="579"/>
      <c r="AN390" s="579"/>
      <c r="AO390" s="579"/>
      <c r="AP390" s="579"/>
      <c r="AQ390" s="579"/>
      <c r="AR390" s="251"/>
      <c r="AT390" s="27">
        <f>AT372</f>
        <v>-4455</v>
      </c>
      <c r="AU390" s="27">
        <f>AU372+AT390</f>
        <v>-6275</v>
      </c>
      <c r="AV390" s="235">
        <f>AV372+AU390</f>
        <v>-7057</v>
      </c>
      <c r="AW390" s="158">
        <f>AW372+AV390</f>
        <v>-7857</v>
      </c>
      <c r="AZ390" s="27">
        <f>AZ372+AW390</f>
        <v>-9357</v>
      </c>
      <c r="BA390" s="27">
        <f>BA372+AZ390</f>
        <v>-10857</v>
      </c>
      <c r="BB390" s="27">
        <f t="shared" ref="BB390:BC390" si="4459">BB372+BA390</f>
        <v>-12357</v>
      </c>
      <c r="BC390" s="27">
        <f t="shared" si="4459"/>
        <v>-13857</v>
      </c>
      <c r="BF390" s="27">
        <f>BF372+BC390</f>
        <v>-15357</v>
      </c>
      <c r="BG390" s="27">
        <f>BG372+BF390</f>
        <v>-16857</v>
      </c>
      <c r="BH390" s="27">
        <f t="shared" ref="BH390:BI390" si="4460">BH372+BG390</f>
        <v>-18607</v>
      </c>
      <c r="BI390" s="27">
        <f t="shared" si="4460"/>
        <v>-20357</v>
      </c>
      <c r="BL390" s="27">
        <f>BL372+BI390</f>
        <v>-22107</v>
      </c>
      <c r="BM390" s="27">
        <f>BM372+BL390</f>
        <v>-23857</v>
      </c>
      <c r="BN390" s="27">
        <f t="shared" ref="BN390:BO390" si="4461">BN372+BM390</f>
        <v>-25607</v>
      </c>
      <c r="BO390" s="27">
        <f t="shared" si="4461"/>
        <v>-27357</v>
      </c>
      <c r="BR390" s="27">
        <f>BR372+BO390</f>
        <v>-29107</v>
      </c>
      <c r="BS390" s="27">
        <f>BS372+BR390</f>
        <v>-30857</v>
      </c>
      <c r="BT390" s="27">
        <f t="shared" ref="BT390:BU390" si="4462">BT372+BS390</f>
        <v>-32857</v>
      </c>
      <c r="BU390" s="27">
        <f t="shared" si="4462"/>
        <v>-34857</v>
      </c>
    </row>
    <row r="391" spans="2:92" ht="12.95" customHeight="1" x14ac:dyDescent="0.25">
      <c r="B391" s="10"/>
      <c r="AH391" s="579"/>
      <c r="AI391" s="579"/>
      <c r="AJ391" s="579"/>
      <c r="AK391" s="579"/>
      <c r="AN391" s="579"/>
      <c r="AO391" s="579"/>
      <c r="AP391" s="579"/>
      <c r="AQ391" s="579"/>
      <c r="AR391" s="251"/>
      <c r="AT391" s="579"/>
      <c r="AU391" s="579"/>
      <c r="AV391" s="589"/>
      <c r="AW391" s="585"/>
    </row>
    <row r="392" spans="2:92" ht="12.95" customHeight="1" x14ac:dyDescent="0.25">
      <c r="B392" s="10"/>
      <c r="AH392" s="579"/>
      <c r="AI392" s="579"/>
      <c r="AJ392" s="579"/>
      <c r="AK392" s="579"/>
      <c r="AN392" s="579"/>
      <c r="AO392" s="579"/>
      <c r="AP392" s="579"/>
      <c r="AQ392" s="579"/>
      <c r="AR392" s="251"/>
      <c r="AT392" s="579"/>
      <c r="AU392" s="579"/>
      <c r="AV392" s="589"/>
      <c r="AW392" s="585"/>
    </row>
    <row r="393" spans="2:92" ht="12.95" customHeight="1" x14ac:dyDescent="0.25">
      <c r="B393" s="10"/>
      <c r="AH393" s="579"/>
      <c r="AI393" s="579"/>
      <c r="AJ393" s="579"/>
      <c r="AK393" s="579"/>
      <c r="AN393" s="579"/>
      <c r="AO393" s="579"/>
      <c r="AP393" s="579"/>
      <c r="AQ393" s="579"/>
      <c r="AR393" s="251"/>
      <c r="AT393" s="579"/>
      <c r="AU393" s="579"/>
      <c r="AV393" s="589"/>
      <c r="AW393" s="585"/>
    </row>
    <row r="394" spans="2:92" ht="12.95" customHeight="1" x14ac:dyDescent="0.25">
      <c r="B394" s="29" t="s">
        <v>178</v>
      </c>
      <c r="AO394" s="251"/>
      <c r="AQ394" s="251"/>
      <c r="AR394" s="251"/>
      <c r="AU394" s="251"/>
      <c r="AV394" s="251"/>
      <c r="AW394" s="220"/>
    </row>
    <row r="395" spans="2:92" ht="12.95" customHeight="1" x14ac:dyDescent="0.25">
      <c r="B395" s="2" t="s">
        <v>179</v>
      </c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27"/>
      <c r="AH395" s="27"/>
      <c r="AI395" s="27"/>
      <c r="AJ395" s="27"/>
      <c r="AK395" s="74"/>
      <c r="AN395" s="74"/>
      <c r="AO395" s="248"/>
      <c r="AP395" s="74"/>
      <c r="AQ395" s="235"/>
      <c r="AR395" s="251"/>
      <c r="AT395" s="74"/>
      <c r="AU395" s="248"/>
      <c r="AV395" s="248"/>
      <c r="AW395" s="158"/>
      <c r="AZ395" s="27"/>
      <c r="BA395" s="27"/>
      <c r="BB395" s="27"/>
      <c r="BC395" s="27"/>
      <c r="BF395" s="27"/>
      <c r="BG395" s="27"/>
      <c r="BH395" s="27"/>
      <c r="BI395" s="27"/>
      <c r="BL395" s="27"/>
      <c r="BM395" s="27"/>
      <c r="BN395" s="27"/>
      <c r="BO395" s="27"/>
      <c r="BR395" s="27"/>
      <c r="BS395" s="27"/>
      <c r="BT395" s="27"/>
      <c r="BU395" s="27"/>
      <c r="BX395" s="27"/>
      <c r="BY395" s="27"/>
      <c r="BZ395" s="27"/>
      <c r="CA395" s="27"/>
      <c r="CD395" s="27"/>
      <c r="CE395" s="27"/>
      <c r="CF395" s="27"/>
      <c r="CG395" s="27"/>
      <c r="CJ395" s="27"/>
      <c r="CK395" s="27"/>
      <c r="CL395" s="27"/>
      <c r="CM395" s="27"/>
    </row>
    <row r="396" spans="2:92" ht="12.95" customHeight="1" x14ac:dyDescent="0.25">
      <c r="B396" s="2" t="s">
        <v>180</v>
      </c>
      <c r="V396" s="74"/>
      <c r="W396" s="74"/>
      <c r="X396" s="74"/>
      <c r="Y396" s="74"/>
      <c r="Z396" s="27"/>
      <c r="AA396" s="27"/>
      <c r="AB396" s="74"/>
      <c r="AC396" s="74"/>
      <c r="AD396" s="74"/>
      <c r="AE396" s="74"/>
      <c r="AF396" s="27"/>
      <c r="AH396" s="27"/>
      <c r="AI396" s="27"/>
      <c r="AJ396" s="27"/>
      <c r="AK396" s="74"/>
      <c r="AN396" s="74"/>
      <c r="AO396" s="248"/>
      <c r="AP396" s="74"/>
      <c r="AQ396" s="235"/>
      <c r="AR396" s="251"/>
      <c r="AT396" s="74"/>
      <c r="AU396" s="248"/>
      <c r="AV396" s="248"/>
      <c r="AW396" s="158"/>
      <c r="AZ396" s="27"/>
      <c r="BA396" s="27"/>
      <c r="BB396" s="27"/>
      <c r="BC396" s="27"/>
      <c r="BF396" s="27"/>
      <c r="BG396" s="27"/>
      <c r="BH396" s="27"/>
      <c r="BI396" s="27"/>
      <c r="BL396" s="27"/>
      <c r="BM396" s="27"/>
      <c r="BN396" s="27"/>
      <c r="BO396" s="27"/>
      <c r="BR396" s="27"/>
      <c r="BS396" s="27"/>
      <c r="BT396" s="27"/>
      <c r="BU396" s="27"/>
      <c r="BX396" s="27"/>
      <c r="BY396" s="27"/>
      <c r="BZ396" s="27"/>
      <c r="CA396" s="27"/>
      <c r="CD396" s="27"/>
      <c r="CE396" s="27"/>
      <c r="CF396" s="27"/>
      <c r="CG396" s="27"/>
      <c r="CJ396" s="27"/>
      <c r="CK396" s="27"/>
      <c r="CL396" s="27"/>
      <c r="CM396" s="27"/>
    </row>
    <row r="397" spans="2:92" ht="12.95" customHeight="1" x14ac:dyDescent="0.25">
      <c r="B397" s="4" t="s">
        <v>181</v>
      </c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4"/>
      <c r="AH397" s="72"/>
      <c r="AI397" s="72"/>
      <c r="AJ397" s="72"/>
      <c r="AK397" s="72"/>
      <c r="AL397" s="4"/>
      <c r="AM397" s="4"/>
      <c r="AN397" s="72"/>
      <c r="AO397" s="72"/>
      <c r="AP397" s="72"/>
      <c r="AQ397" s="72"/>
      <c r="AR397" s="4"/>
      <c r="AS397" s="4"/>
      <c r="AT397" s="72"/>
      <c r="AU397" s="72"/>
      <c r="AV397" s="72"/>
      <c r="AW397" s="361"/>
      <c r="AX397" s="4"/>
      <c r="AY397" s="4"/>
      <c r="AZ397" s="72"/>
      <c r="BA397" s="72"/>
      <c r="BB397" s="72"/>
      <c r="BC397" s="72"/>
      <c r="BD397" s="4"/>
      <c r="BE397" s="4"/>
      <c r="BF397" s="72"/>
      <c r="BG397" s="72"/>
      <c r="BH397" s="72"/>
      <c r="BI397" s="72"/>
      <c r="BJ397" s="4"/>
      <c r="BK397" s="4"/>
      <c r="BL397" s="72"/>
      <c r="BM397" s="72"/>
      <c r="BN397" s="72"/>
      <c r="BO397" s="72"/>
      <c r="BP397" s="4"/>
      <c r="BQ397" s="4"/>
      <c r="BR397" s="72"/>
      <c r="BS397" s="72"/>
      <c r="BT397" s="72"/>
      <c r="BU397" s="72"/>
      <c r="BV397" s="4"/>
      <c r="BW397" s="4"/>
      <c r="BX397" s="72"/>
      <c r="BY397" s="72"/>
      <c r="BZ397" s="72"/>
      <c r="CA397" s="72"/>
      <c r="CB397" s="4"/>
      <c r="CC397" s="4"/>
      <c r="CD397" s="72"/>
      <c r="CE397" s="72"/>
      <c r="CF397" s="72"/>
      <c r="CG397" s="72"/>
      <c r="CH397" s="4"/>
      <c r="CI397" s="4"/>
      <c r="CJ397" s="72"/>
      <c r="CK397" s="72"/>
      <c r="CL397" s="72"/>
      <c r="CM397" s="72"/>
      <c r="CN397" s="4"/>
    </row>
    <row r="398" spans="2:92" ht="12.95" customHeight="1" x14ac:dyDescent="0.25">
      <c r="B398" s="182"/>
      <c r="V398" s="27"/>
      <c r="W398" s="27"/>
      <c r="X398" s="27"/>
      <c r="Y398" s="27"/>
      <c r="Z398" s="27"/>
      <c r="AA398" s="27"/>
      <c r="AB398" s="27"/>
      <c r="AC398" s="27"/>
      <c r="AD398" s="27"/>
      <c r="AE398" s="45"/>
      <c r="AF398" s="27"/>
      <c r="AO398" s="251"/>
      <c r="AQ398" s="251"/>
      <c r="AR398" s="251"/>
      <c r="AU398" s="251"/>
      <c r="AV398" s="251"/>
      <c r="AW398" s="220"/>
    </row>
    <row r="399" spans="2:92" ht="12.95" customHeight="1" x14ac:dyDescent="0.25">
      <c r="B399" s="2" t="s">
        <v>182</v>
      </c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35"/>
      <c r="AP399" s="235"/>
      <c r="AQ399" s="235"/>
      <c r="AR399" s="235"/>
      <c r="AS399" s="27"/>
      <c r="AT399" s="27"/>
      <c r="AU399" s="235"/>
      <c r="AV399" s="235"/>
      <c r="AW399" s="158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</row>
    <row r="400" spans="2:92" ht="12.95" customHeight="1" x14ac:dyDescent="0.25">
      <c r="B400" s="2" t="s">
        <v>183</v>
      </c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35"/>
      <c r="AP400" s="27"/>
      <c r="AQ400" s="235"/>
      <c r="AR400" s="235"/>
      <c r="AS400" s="27"/>
      <c r="AT400" s="27"/>
      <c r="AU400" s="235"/>
      <c r="AV400" s="235"/>
      <c r="AW400" s="158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  <c r="BZ400" s="27"/>
      <c r="CA400" s="27"/>
      <c r="CB400" s="27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</row>
    <row r="401" spans="2:92" ht="12.95" customHeight="1" x14ac:dyDescent="0.25">
      <c r="B401" s="2" t="s">
        <v>184</v>
      </c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35"/>
      <c r="AR401" s="235"/>
      <c r="AS401" s="27"/>
      <c r="AT401" s="27"/>
      <c r="AU401" s="27"/>
      <c r="AV401" s="235"/>
      <c r="AW401" s="158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  <c r="BZ401" s="27"/>
      <c r="CA401" s="27"/>
      <c r="CB401" s="27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</row>
    <row r="402" spans="2:92" ht="12.95" customHeight="1" x14ac:dyDescent="0.25">
      <c r="B402" s="4" t="s">
        <v>185</v>
      </c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  <c r="AS402" s="72"/>
      <c r="AT402" s="72"/>
      <c r="AU402" s="72"/>
      <c r="AV402" s="72"/>
      <c r="AW402" s="361"/>
      <c r="AX402" s="72"/>
      <c r="AY402" s="72"/>
      <c r="AZ402" s="72"/>
      <c r="BA402" s="72"/>
      <c r="BB402" s="72"/>
      <c r="BC402" s="72"/>
      <c r="BD402" s="72"/>
      <c r="BE402" s="72"/>
      <c r="BF402" s="72"/>
      <c r="BG402" s="72"/>
      <c r="BH402" s="72"/>
      <c r="BI402" s="72"/>
      <c r="BJ402" s="72"/>
      <c r="BK402" s="72"/>
      <c r="BL402" s="72"/>
      <c r="BM402" s="72"/>
      <c r="BN402" s="72"/>
      <c r="BO402" s="72"/>
      <c r="BP402" s="72"/>
      <c r="BQ402" s="72"/>
      <c r="BR402" s="72"/>
      <c r="BS402" s="72"/>
      <c r="BT402" s="72"/>
      <c r="BU402" s="72"/>
      <c r="BV402" s="72"/>
      <c r="BW402" s="72"/>
      <c r="BX402" s="72"/>
      <c r="BY402" s="72"/>
      <c r="BZ402" s="72"/>
      <c r="CA402" s="72"/>
      <c r="CB402" s="72"/>
      <c r="CC402" s="72"/>
      <c r="CD402" s="72"/>
      <c r="CE402" s="72"/>
      <c r="CF402" s="72"/>
      <c r="CG402" s="72"/>
      <c r="CH402" s="72"/>
      <c r="CI402" s="72"/>
      <c r="CJ402" s="72"/>
      <c r="CK402" s="72"/>
      <c r="CL402" s="72"/>
      <c r="CM402" s="72"/>
      <c r="CN402" s="72"/>
    </row>
    <row r="403" spans="2:92" ht="12.95" customHeight="1" x14ac:dyDescent="0.25">
      <c r="B403" s="2" t="s">
        <v>186</v>
      </c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35"/>
      <c r="AP403" s="27"/>
      <c r="AQ403" s="235"/>
      <c r="AR403" s="235"/>
      <c r="AS403" s="27"/>
      <c r="AT403" s="27"/>
      <c r="AU403" s="235"/>
      <c r="AV403" s="235"/>
      <c r="AW403" s="158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7"/>
      <c r="CA403" s="27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</row>
    <row r="404" spans="2:92" ht="12.95" customHeight="1" x14ac:dyDescent="0.25">
      <c r="B404" s="2" t="s">
        <v>187</v>
      </c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35"/>
      <c r="AS404" s="27"/>
      <c r="AT404" s="27"/>
      <c r="AU404" s="27"/>
      <c r="AV404" s="235"/>
      <c r="AW404" s="158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  <c r="BZ404" s="27"/>
      <c r="CA404" s="27"/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</row>
    <row r="405" spans="2:92" ht="12.95" customHeight="1" x14ac:dyDescent="0.25">
      <c r="B405" s="2" t="s">
        <v>188</v>
      </c>
      <c r="V405" s="129"/>
      <c r="W405" s="129"/>
      <c r="X405" s="129"/>
      <c r="Y405" s="129"/>
      <c r="Z405" s="129"/>
      <c r="AA405" s="129"/>
      <c r="AB405" s="129"/>
      <c r="AC405" s="129"/>
      <c r="AD405" s="129"/>
      <c r="AE405" s="129"/>
      <c r="AF405" s="129"/>
      <c r="AG405" s="6"/>
      <c r="AH405" s="129"/>
      <c r="AI405" s="218"/>
      <c r="AJ405" s="224"/>
      <c r="AK405" s="129"/>
      <c r="AL405" s="6"/>
      <c r="AM405" s="6"/>
      <c r="AN405" s="129"/>
      <c r="AO405" s="129"/>
      <c r="AP405" s="129"/>
      <c r="AQ405" s="287"/>
      <c r="AR405" s="243"/>
      <c r="AS405" s="6"/>
      <c r="AT405" s="129"/>
      <c r="AU405" s="129"/>
      <c r="AV405" s="581"/>
      <c r="AW405" s="367"/>
      <c r="AX405" s="6"/>
      <c r="AY405" s="6"/>
      <c r="AZ405" s="128"/>
      <c r="BA405" s="128"/>
      <c r="BB405" s="128"/>
      <c r="BC405" s="128"/>
      <c r="BD405" s="6"/>
      <c r="BE405" s="6"/>
      <c r="BF405" s="128"/>
      <c r="BG405" s="128"/>
      <c r="BH405" s="128"/>
      <c r="BI405" s="128"/>
      <c r="BJ405" s="6"/>
      <c r="BK405" s="6"/>
      <c r="BL405" s="128"/>
      <c r="BM405" s="128"/>
      <c r="BN405" s="128"/>
      <c r="BO405" s="128"/>
      <c r="BP405" s="6"/>
      <c r="BQ405" s="6"/>
      <c r="BR405" s="128"/>
      <c r="BS405" s="128"/>
      <c r="BT405" s="128"/>
      <c r="BU405" s="128"/>
      <c r="BV405" s="6"/>
      <c r="BW405" s="6"/>
      <c r="BX405" s="128"/>
      <c r="BY405" s="128"/>
      <c r="BZ405" s="128"/>
      <c r="CA405" s="128"/>
      <c r="CB405" s="6"/>
      <c r="CC405" s="6"/>
      <c r="CD405" s="128"/>
      <c r="CE405" s="128"/>
      <c r="CF405" s="128"/>
      <c r="CG405" s="128"/>
      <c r="CH405" s="6"/>
      <c r="CI405" s="6"/>
      <c r="CJ405" s="128"/>
      <c r="CK405" s="128"/>
      <c r="CL405" s="128"/>
      <c r="CM405" s="128"/>
      <c r="CN405" s="6"/>
    </row>
    <row r="406" spans="2:92" ht="12.95" customHeight="1" x14ac:dyDescent="0.25">
      <c r="B406" s="2" t="s">
        <v>189</v>
      </c>
      <c r="V406" s="9"/>
      <c r="W406" s="9"/>
      <c r="X406" s="9"/>
      <c r="Y406" s="9"/>
      <c r="Z406" s="9"/>
      <c r="AB406" s="9"/>
      <c r="AC406" s="9"/>
      <c r="AD406" s="9"/>
      <c r="AE406" s="9"/>
      <c r="AF406" s="9"/>
      <c r="AH406" s="159"/>
      <c r="AI406" s="219"/>
      <c r="AJ406" s="216"/>
      <c r="AK406" s="9"/>
      <c r="AL406" s="9"/>
      <c r="AN406" s="9"/>
      <c r="AO406" s="9"/>
      <c r="AP406" s="9"/>
      <c r="AQ406" s="159"/>
      <c r="AR406" s="241"/>
      <c r="AT406" s="9"/>
      <c r="AU406" s="9"/>
      <c r="AV406" s="241"/>
      <c r="AW406" s="358"/>
      <c r="AX406" s="9"/>
      <c r="AZ406" s="11"/>
      <c r="BA406" s="11"/>
      <c r="BB406" s="11"/>
      <c r="BC406" s="11"/>
      <c r="BD406" s="9"/>
      <c r="BF406" s="11"/>
      <c r="BG406" s="11"/>
      <c r="BH406" s="11"/>
      <c r="BI406" s="11"/>
      <c r="BJ406" s="9"/>
      <c r="BL406" s="11"/>
      <c r="BM406" s="11"/>
      <c r="BN406" s="11"/>
      <c r="BO406" s="11"/>
      <c r="BP406" s="9"/>
      <c r="BR406" s="11"/>
      <c r="BS406" s="11"/>
      <c r="BT406" s="11"/>
      <c r="BU406" s="11"/>
      <c r="BV406" s="9"/>
      <c r="BX406" s="11"/>
      <c r="BY406" s="11"/>
      <c r="BZ406" s="11"/>
      <c r="CA406" s="11"/>
      <c r="CB406" s="9"/>
      <c r="CD406" s="11"/>
      <c r="CE406" s="11"/>
      <c r="CF406" s="11"/>
      <c r="CG406" s="11"/>
      <c r="CH406" s="9"/>
      <c r="CJ406" s="11"/>
      <c r="CK406" s="11"/>
      <c r="CL406" s="11"/>
      <c r="CM406" s="11"/>
      <c r="CN406" s="9"/>
    </row>
    <row r="407" spans="2:92" ht="12.95" customHeight="1" x14ac:dyDescent="0.25">
      <c r="AO407" s="251"/>
      <c r="AQ407" s="251"/>
      <c r="AR407" s="251"/>
      <c r="AU407" s="251"/>
      <c r="AV407" s="251"/>
    </row>
    <row r="408" spans="2:92" ht="12.95" customHeight="1" x14ac:dyDescent="0.25">
      <c r="AO408" s="251"/>
      <c r="AU408" s="251"/>
      <c r="AV408" s="251"/>
    </row>
    <row r="409" spans="2:92" ht="12.95" customHeight="1" x14ac:dyDescent="0.25">
      <c r="AO409" s="251"/>
      <c r="AU409" s="251"/>
      <c r="AV409" s="251"/>
    </row>
    <row r="410" spans="2:92" ht="12.95" customHeight="1" x14ac:dyDescent="0.25">
      <c r="AO410" s="251"/>
      <c r="AU410" s="251"/>
      <c r="AV410" s="251"/>
    </row>
    <row r="411" spans="2:92" ht="12.95" customHeight="1" x14ac:dyDescent="0.25">
      <c r="AO411" s="251"/>
      <c r="AU411" s="251"/>
      <c r="AV411" s="251"/>
    </row>
    <row r="412" spans="2:92" ht="12.95" customHeight="1" x14ac:dyDescent="0.25">
      <c r="AO412" s="251"/>
      <c r="AU412" s="251"/>
      <c r="AV412" s="251"/>
    </row>
    <row r="413" spans="2:92" ht="12.95" customHeight="1" x14ac:dyDescent="0.25">
      <c r="AO413" s="251"/>
      <c r="AU413" s="251"/>
      <c r="AV413" s="251"/>
    </row>
    <row r="414" spans="2:92" ht="12.95" customHeight="1" x14ac:dyDescent="0.25">
      <c r="AO414" s="251"/>
      <c r="AU414" s="251"/>
      <c r="AV414" s="251"/>
    </row>
    <row r="415" spans="2:92" ht="12.95" customHeight="1" x14ac:dyDescent="0.25">
      <c r="AO415" s="251"/>
      <c r="AU415" s="251"/>
      <c r="AV415" s="251"/>
    </row>
    <row r="416" spans="2:92" ht="12.95" customHeight="1" x14ac:dyDescent="0.25">
      <c r="AO416" s="251"/>
      <c r="AU416" s="251"/>
      <c r="AV416" s="251"/>
    </row>
    <row r="417" spans="41:48" ht="12.95" customHeight="1" x14ac:dyDescent="0.25">
      <c r="AO417" s="251"/>
      <c r="AU417" s="251"/>
      <c r="AV417" s="251"/>
    </row>
    <row r="418" spans="41:48" ht="12.95" customHeight="1" x14ac:dyDescent="0.25">
      <c r="AO418" s="251"/>
      <c r="AU418" s="251"/>
      <c r="AV418" s="251"/>
    </row>
    <row r="419" spans="41:48" ht="12.95" customHeight="1" x14ac:dyDescent="0.25">
      <c r="AO419" s="251"/>
      <c r="AU419" s="251"/>
      <c r="AV419" s="251"/>
    </row>
    <row r="420" spans="41:48" ht="12.95" customHeight="1" x14ac:dyDescent="0.25">
      <c r="AO420" s="251"/>
      <c r="AU420" s="251"/>
      <c r="AV420" s="251"/>
    </row>
    <row r="421" spans="41:48" ht="12.95" customHeight="1" x14ac:dyDescent="0.25">
      <c r="AO421" s="251"/>
      <c r="AU421" s="251"/>
      <c r="AV421" s="251"/>
    </row>
    <row r="422" spans="41:48" ht="12.95" customHeight="1" x14ac:dyDescent="0.25">
      <c r="AO422" s="251"/>
      <c r="AU422" s="251"/>
      <c r="AV422" s="251"/>
    </row>
    <row r="423" spans="41:48" ht="12.95" customHeight="1" x14ac:dyDescent="0.25">
      <c r="AO423" s="251"/>
      <c r="AU423" s="251"/>
      <c r="AV423" s="251"/>
    </row>
    <row r="424" spans="41:48" ht="12.95" customHeight="1" x14ac:dyDescent="0.25">
      <c r="AO424" s="251"/>
      <c r="AU424" s="251"/>
      <c r="AV424" s="251"/>
    </row>
    <row r="425" spans="41:48" ht="12.95" customHeight="1" x14ac:dyDescent="0.25">
      <c r="AO425" s="251"/>
      <c r="AV425" s="251"/>
    </row>
    <row r="426" spans="41:48" ht="12.95" customHeight="1" x14ac:dyDescent="0.25">
      <c r="AO426" s="251"/>
      <c r="AV426" s="251"/>
    </row>
    <row r="427" spans="41:48" ht="12.95" customHeight="1" x14ac:dyDescent="0.25">
      <c r="AO427" s="251"/>
      <c r="AV427" s="251"/>
    </row>
    <row r="428" spans="41:48" ht="12.95" customHeight="1" x14ac:dyDescent="0.25">
      <c r="AV428" s="251"/>
    </row>
    <row r="429" spans="41:48" ht="12.95" customHeight="1" x14ac:dyDescent="0.25">
      <c r="AV429" s="251"/>
    </row>
    <row r="430" spans="41:48" ht="12.95" customHeight="1" x14ac:dyDescent="0.25">
      <c r="AV430" s="251"/>
    </row>
    <row r="431" spans="41:48" ht="12.95" customHeight="1" x14ac:dyDescent="0.25">
      <c r="AV431" s="251"/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28CE3-B7BE-45E1-82F8-FA540C75929A}">
  <dimension ref="B1:AE124"/>
  <sheetViews>
    <sheetView showGridLines="0" zoomScaleNormal="10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9.140625" defaultRowHeight="18" customHeight="1" x14ac:dyDescent="0.25"/>
  <cols>
    <col min="1" max="2" width="3.7109375" style="2" customWidth="1"/>
    <col min="3" max="3" width="9.140625" style="2" customWidth="1"/>
    <col min="4" max="4" width="13.7109375" style="2" customWidth="1"/>
    <col min="5" max="8" width="9.140625" style="2"/>
    <col min="9" max="21" width="10.7109375" style="2" customWidth="1"/>
    <col min="22" max="22" width="12" style="2" customWidth="1"/>
    <col min="23" max="16384" width="9.140625" style="2"/>
  </cols>
  <sheetData>
    <row r="1" spans="2:23" ht="18" customHeight="1" x14ac:dyDescent="0.25">
      <c r="M1" s="251"/>
      <c r="N1" s="321"/>
    </row>
    <row r="2" spans="2:23" ht="18" customHeight="1" x14ac:dyDescent="0.25">
      <c r="B2" s="4"/>
      <c r="C2" s="4"/>
      <c r="D2" s="4"/>
      <c r="E2" s="4"/>
      <c r="F2" s="4"/>
      <c r="G2" s="418">
        <v>2017</v>
      </c>
      <c r="H2" s="66">
        <v>2018</v>
      </c>
      <c r="I2" s="66">
        <f>H2+1</f>
        <v>2019</v>
      </c>
      <c r="J2" s="66">
        <f t="shared" ref="J2:U2" si="0">I2+1</f>
        <v>2020</v>
      </c>
      <c r="K2" s="66">
        <f t="shared" si="0"/>
        <v>2021</v>
      </c>
      <c r="L2" s="66">
        <f t="shared" si="0"/>
        <v>2022</v>
      </c>
      <c r="M2" s="314">
        <f t="shared" si="0"/>
        <v>2023</v>
      </c>
      <c r="N2" s="322">
        <f t="shared" si="0"/>
        <v>2024</v>
      </c>
      <c r="O2" s="66">
        <f t="shared" si="0"/>
        <v>2025</v>
      </c>
      <c r="P2" s="66">
        <f t="shared" si="0"/>
        <v>2026</v>
      </c>
      <c r="Q2" s="66">
        <f t="shared" si="0"/>
        <v>2027</v>
      </c>
      <c r="R2" s="66">
        <f t="shared" si="0"/>
        <v>2028</v>
      </c>
      <c r="S2" s="66">
        <f t="shared" si="0"/>
        <v>2029</v>
      </c>
      <c r="T2" s="66">
        <f t="shared" si="0"/>
        <v>2030</v>
      </c>
      <c r="U2" s="66">
        <f t="shared" si="0"/>
        <v>2031</v>
      </c>
    </row>
    <row r="3" spans="2:23" ht="18" customHeight="1" x14ac:dyDescent="0.25">
      <c r="L3" s="251"/>
      <c r="M3" s="251"/>
      <c r="N3" s="321"/>
    </row>
    <row r="4" spans="2:23" ht="18" customHeight="1" x14ac:dyDescent="0.25">
      <c r="B4" s="3" t="s">
        <v>6</v>
      </c>
      <c r="L4" s="251"/>
      <c r="M4" s="251"/>
      <c r="N4" s="321"/>
    </row>
    <row r="5" spans="2:23" ht="18" customHeight="1" thickBot="1" x14ac:dyDescent="0.3">
      <c r="C5" s="2" t="str">
        <f>Model!B7</f>
        <v>ME&amp;T</v>
      </c>
      <c r="G5" s="27">
        <f>HLOOKUP(G2,Model!$D$4:$DD$377,4,FALSE)</f>
        <v>42676</v>
      </c>
      <c r="H5" s="27">
        <f>HLOOKUP(H2,Model!$D$4:$DD$377,4,FALSE)</f>
        <v>51822</v>
      </c>
      <c r="I5" s="27">
        <f>HLOOKUP(I2,Model!$D$4:$DD$377,4,FALSE)</f>
        <v>50755</v>
      </c>
      <c r="J5" s="27">
        <f>HLOOKUP(J2,Model!$D$4:$DD$377,4,FALSE)</f>
        <v>39022</v>
      </c>
      <c r="K5" s="27">
        <f>HLOOKUP(K2,Model!$D$4:$DD$377,4,FALSE)</f>
        <v>48188</v>
      </c>
      <c r="L5" s="235">
        <f>HLOOKUP(L2,Model!$D$4:$DD$377,4,FALSE)</f>
        <v>56574</v>
      </c>
      <c r="M5" s="235">
        <f>HLOOKUP(M2,Model!$D$4:$DD$377,4,FALSE)</f>
        <v>63869</v>
      </c>
      <c r="N5" s="323">
        <f>HLOOKUP(N2,Model!$D$4:$DD$377,4,FALSE)</f>
        <v>61843.6</v>
      </c>
      <c r="O5" s="27">
        <f>HLOOKUP(O2,Model!$D$4:$DD$377,4,FALSE)</f>
        <v>61368.192000000003</v>
      </c>
      <c r="P5" s="27">
        <f>HLOOKUP(P2,Model!$D$4:$DD$377,4,FALSE)</f>
        <v>64261.039080000002</v>
      </c>
      <c r="Q5" s="27">
        <f>HLOOKUP(Q2,Model!$D$4:$DD$377,4,FALSE)</f>
        <v>66899.459623200004</v>
      </c>
      <c r="R5" s="27">
        <f>HLOOKUP(R2,Model!$D$4:$DD$377,4,FALSE)</f>
        <v>69650.874365028023</v>
      </c>
      <c r="S5" s="27">
        <f>HLOOKUP(S2,Model!$D$4:$DD$377,4,FALSE)</f>
        <v>72520.286045997142</v>
      </c>
      <c r="T5" s="27">
        <f>HLOOKUP(T2,Model!$D$4:$DD$377,4,FALSE)</f>
        <v>75512.924734998829</v>
      </c>
      <c r="U5" s="27">
        <f>HLOOKUP(U2,Model!$D$4:$DD$377,4,FALSE)</f>
        <v>78634.258370820156</v>
      </c>
    </row>
    <row r="6" spans="2:23" ht="18" customHeight="1" thickBot="1" x14ac:dyDescent="0.3">
      <c r="C6" s="14" t="s">
        <v>100</v>
      </c>
      <c r="G6" s="9"/>
      <c r="H6" s="9">
        <f t="shared" ref="H6" si="1">H5/G5-1</f>
        <v>0.21431249414190656</v>
      </c>
      <c r="I6" s="9">
        <f t="shared" ref="I6" si="2">I5/H5-1</f>
        <v>-2.0589710933580307E-2</v>
      </c>
      <c r="J6" s="9">
        <f t="shared" ref="J6" si="3">J5/I5-1</f>
        <v>-0.23116934292187963</v>
      </c>
      <c r="K6" s="9">
        <f t="shared" ref="K6" si="4">K5/J5-1</f>
        <v>0.23489313720465388</v>
      </c>
      <c r="L6" s="241">
        <f t="shared" ref="L6" si="5">L5/K5-1</f>
        <v>0.17402672864613589</v>
      </c>
      <c r="M6" s="241">
        <f t="shared" ref="M6" si="6">M5/L5-1</f>
        <v>0.12894615901297413</v>
      </c>
      <c r="N6" s="324">
        <f t="shared" ref="N6" si="7">N5/M5-1</f>
        <v>-3.1711785060044795E-2</v>
      </c>
      <c r="O6" s="9">
        <f t="shared" ref="O6" si="8">O5/N5-1</f>
        <v>-7.6872627078630185E-3</v>
      </c>
      <c r="P6" s="9">
        <f t="shared" ref="P6" si="9">P5/O5-1</f>
        <v>4.7139193541827051E-2</v>
      </c>
      <c r="Q6" s="9">
        <f t="shared" ref="Q6" si="10">Q5/P5-1</f>
        <v>4.1057856844103791E-2</v>
      </c>
      <c r="R6" s="9">
        <f t="shared" ref="R6" si="11">R5/Q5-1</f>
        <v>4.1127607865966365E-2</v>
      </c>
      <c r="S6" s="9">
        <f t="shared" ref="S6" si="12">S5/R5-1</f>
        <v>4.1197066183706887E-2</v>
      </c>
      <c r="T6" s="9">
        <f t="shared" ref="T6" si="13">T5/S5-1</f>
        <v>4.1266228419225559E-2</v>
      </c>
      <c r="U6" s="9">
        <f t="shared" ref="U6" si="14">U5/T5-1</f>
        <v>4.1335091267821644E-2</v>
      </c>
      <c r="W6" s="134">
        <f>(Q5/L5)^0.2-1</f>
        <v>3.4096682191610217E-2</v>
      </c>
    </row>
    <row r="7" spans="2:23" ht="18" customHeight="1" thickBot="1" x14ac:dyDescent="0.3">
      <c r="C7" s="2" t="str">
        <f>Model!B8</f>
        <v>Financial Products</v>
      </c>
      <c r="G7" s="27">
        <f>HLOOKUP(G2,Model!$D$4:$DD$377,5,FALSE)</f>
        <v>2786</v>
      </c>
      <c r="H7" s="27">
        <f>HLOOKUP(H2,Model!$D$4:$DD$377,5,FALSE)</f>
        <v>2900</v>
      </c>
      <c r="I7" s="27">
        <f>HLOOKUP(I2,Model!$D$4:$DD$377,5,FALSE)</f>
        <v>3045</v>
      </c>
      <c r="J7" s="27">
        <f>HLOOKUP(J2,Model!$D$4:$DD$377,5,FALSE)</f>
        <v>2726</v>
      </c>
      <c r="K7" s="27">
        <f>HLOOKUP(K2,Model!$D$4:$DD$377,5,FALSE)</f>
        <v>2783</v>
      </c>
      <c r="L7" s="235">
        <f>HLOOKUP(L2,Model!$D$4:$DD$377,5,FALSE)</f>
        <v>2853</v>
      </c>
      <c r="M7" s="235">
        <f>HLOOKUP(M2,Model!$D$4:$DD$377,5,FALSE)</f>
        <v>3191</v>
      </c>
      <c r="N7" s="323">
        <f>HLOOKUP(N2,Model!$D$4:$DD$377,5,FALSE)</f>
        <v>3437.65</v>
      </c>
      <c r="O7" s="27">
        <f>HLOOKUP(O2,Model!$D$4:$DD$377,5,FALSE)</f>
        <v>3609.5325000000003</v>
      </c>
      <c r="P7" s="27">
        <f>HLOOKUP(P2,Model!$D$4:$DD$377,5,FALSE)</f>
        <v>3779.6892128027093</v>
      </c>
      <c r="Q7" s="27">
        <f>HLOOKUP(Q2,Model!$D$4:$DD$377,5,FALSE)</f>
        <v>3934.8630971586063</v>
      </c>
      <c r="R7" s="27">
        <f>HLOOKUP(R2,Model!$D$4:$DD$377,5,FALSE)</f>
        <v>4096.6819344464875</v>
      </c>
      <c r="S7" s="27">
        <f>HLOOKUP(S2,Model!$D$4:$DD$377,5,FALSE)</f>
        <v>4265.4398997016797</v>
      </c>
      <c r="T7" s="27">
        <f>HLOOKUP(T2,Model!$D$4:$DD$377,5,FALSE)</f>
        <v>4441.4445344497808</v>
      </c>
      <c r="U7" s="27">
        <f>HLOOKUP(U2,Model!$D$4:$DD$377,5,FALSE)</f>
        <v>4625.0173664866261</v>
      </c>
    </row>
    <row r="8" spans="2:23" ht="18" customHeight="1" thickBot="1" x14ac:dyDescent="0.3">
      <c r="C8" s="14" t="s">
        <v>100</v>
      </c>
      <c r="G8" s="127"/>
      <c r="H8" s="127">
        <f t="shared" ref="H8" si="15">H7/G7-1</f>
        <v>4.0918880114860112E-2</v>
      </c>
      <c r="I8" s="127">
        <f t="shared" ref="I8" si="16">I7/H7-1</f>
        <v>5.0000000000000044E-2</v>
      </c>
      <c r="J8" s="9">
        <f t="shared" ref="J8" si="17">J7/I7-1</f>
        <v>-0.10476190476190472</v>
      </c>
      <c r="K8" s="9">
        <f t="shared" ref="K8" si="18">K7/J7-1</f>
        <v>2.090975788701388E-2</v>
      </c>
      <c r="L8" s="241">
        <f t="shared" ref="L8" si="19">L7/K7-1</f>
        <v>2.5152712899748408E-2</v>
      </c>
      <c r="M8" s="241">
        <f t="shared" ref="M8" si="20">M7/L7-1</f>
        <v>0.11847178408692605</v>
      </c>
      <c r="N8" s="324">
        <f t="shared" ref="N8" si="21">N7/M7-1</f>
        <v>7.7295518646192551E-2</v>
      </c>
      <c r="O8" s="9">
        <f t="shared" ref="O8" si="22">O7/N7-1</f>
        <v>5.0000000000000044E-2</v>
      </c>
      <c r="P8" s="9">
        <f t="shared" ref="P8" si="23">P7/O7-1</f>
        <v>4.7140928306562913E-2</v>
      </c>
      <c r="Q8" s="9">
        <f t="shared" ref="Q8" si="24">Q7/P7-1</f>
        <v>4.1054667624598862E-2</v>
      </c>
      <c r="R8" s="9">
        <f t="shared" ref="R8" si="25">R7/Q7-1</f>
        <v>4.1124388140652668E-2</v>
      </c>
      <c r="S8" s="9">
        <f t="shared" ref="S8" si="26">S7/R7-1</f>
        <v>4.1193816838991149E-2</v>
      </c>
      <c r="T8" s="9">
        <f t="shared" ref="T8" si="27">T7/S7-1</f>
        <v>4.1262950337293658E-2</v>
      </c>
      <c r="U8" s="9">
        <f t="shared" ref="U8" si="28">U7/T7-1</f>
        <v>4.1331785326367276E-2</v>
      </c>
      <c r="W8" s="134">
        <f>(Q9/L9)^0.2-1</f>
        <v>3.574295464326438E-2</v>
      </c>
    </row>
    <row r="9" spans="2:23" ht="18" customHeight="1" x14ac:dyDescent="0.25">
      <c r="C9" s="13" t="s">
        <v>131</v>
      </c>
      <c r="D9" s="4"/>
      <c r="E9" s="4"/>
      <c r="F9" s="4"/>
      <c r="G9" s="46">
        <f>SUM(G7,G5)</f>
        <v>45462</v>
      </c>
      <c r="H9" s="46">
        <f t="shared" ref="H9:U9" si="29">SUM(H7,H5)</f>
        <v>54722</v>
      </c>
      <c r="I9" s="46">
        <f t="shared" si="29"/>
        <v>53800</v>
      </c>
      <c r="J9" s="46">
        <f t="shared" si="29"/>
        <v>41748</v>
      </c>
      <c r="K9" s="46">
        <f t="shared" si="29"/>
        <v>50971</v>
      </c>
      <c r="L9" s="46">
        <f t="shared" si="29"/>
        <v>59427</v>
      </c>
      <c r="M9" s="46">
        <f t="shared" si="29"/>
        <v>67060</v>
      </c>
      <c r="N9" s="326">
        <f t="shared" si="29"/>
        <v>65281.25</v>
      </c>
      <c r="O9" s="46">
        <f t="shared" si="29"/>
        <v>64977.724500000004</v>
      </c>
      <c r="P9" s="46">
        <f t="shared" si="29"/>
        <v>68040.728292802713</v>
      </c>
      <c r="Q9" s="46">
        <f t="shared" si="29"/>
        <v>70834.322720358614</v>
      </c>
      <c r="R9" s="46">
        <f t="shared" si="29"/>
        <v>73747.556299474512</v>
      </c>
      <c r="S9" s="46">
        <f t="shared" si="29"/>
        <v>76785.725945698825</v>
      </c>
      <c r="T9" s="46">
        <f t="shared" si="29"/>
        <v>79954.369269448609</v>
      </c>
      <c r="U9" s="46">
        <f t="shared" si="29"/>
        <v>83259.275737306787</v>
      </c>
    </row>
    <row r="10" spans="2:23" ht="18" customHeight="1" x14ac:dyDescent="0.25">
      <c r="C10" s="14" t="s">
        <v>100</v>
      </c>
      <c r="H10" s="9">
        <f>H9/G9-1</f>
        <v>0.20368659539835465</v>
      </c>
      <c r="I10" s="9">
        <f t="shared" ref="I10:M10" si="30">I9/H9-1</f>
        <v>-1.6848799385987379E-2</v>
      </c>
      <c r="J10" s="9">
        <f t="shared" si="30"/>
        <v>-0.22401486988847585</v>
      </c>
      <c r="K10" s="9">
        <f t="shared" si="30"/>
        <v>0.2209207626712657</v>
      </c>
      <c r="L10" s="9">
        <f t="shared" si="30"/>
        <v>0.16589825587098539</v>
      </c>
      <c r="M10" s="9">
        <f t="shared" si="30"/>
        <v>0.12844330018341821</v>
      </c>
      <c r="N10" s="324">
        <f t="shared" ref="N10" si="31">N9/M9-1</f>
        <v>-2.6524753951685076E-2</v>
      </c>
      <c r="O10" s="9">
        <f t="shared" ref="O10" si="32">O9/N9-1</f>
        <v>-4.6495050263283266E-3</v>
      </c>
      <c r="P10" s="9">
        <f t="shared" ref="P10" si="33">P9/O9-1</f>
        <v>4.7139289908539439E-2</v>
      </c>
      <c r="Q10" s="9">
        <f t="shared" ref="Q10" si="34">Q9/P9-1</f>
        <v>4.105767968170615E-2</v>
      </c>
      <c r="R10" s="9">
        <f t="shared" ref="R10" si="35">R9/Q9-1</f>
        <v>4.1127429009476524E-2</v>
      </c>
      <c r="S10" s="9">
        <f t="shared" ref="S10" si="36">S9/R9-1</f>
        <v>4.1196885682379669E-2</v>
      </c>
      <c r="T10" s="9">
        <f t="shared" ref="T10" si="37">T9/S9-1</f>
        <v>4.1266046322080419E-2</v>
      </c>
      <c r="U10" s="9">
        <f t="shared" ref="U10" si="38">U9/T9-1</f>
        <v>4.1334907623628903E-2</v>
      </c>
    </row>
    <row r="11" spans="2:23" ht="18" customHeight="1" x14ac:dyDescent="0.25">
      <c r="C11" s="14" t="s">
        <v>223</v>
      </c>
      <c r="H11" s="125">
        <f>H9-G9</f>
        <v>9260</v>
      </c>
      <c r="I11" s="125">
        <f t="shared" ref="I11:M11" si="39">I9-H9</f>
        <v>-922</v>
      </c>
      <c r="J11" s="125">
        <f t="shared" si="39"/>
        <v>-12052</v>
      </c>
      <c r="K11" s="125">
        <f t="shared" si="39"/>
        <v>9223</v>
      </c>
      <c r="L11" s="125">
        <f t="shared" si="39"/>
        <v>8456</v>
      </c>
      <c r="M11" s="125">
        <f t="shared" si="39"/>
        <v>7633</v>
      </c>
      <c r="N11" s="327">
        <f t="shared" ref="N11:U11" si="40">N9-M9</f>
        <v>-1778.75</v>
      </c>
      <c r="O11" s="125">
        <f t="shared" si="40"/>
        <v>-303.5254999999961</v>
      </c>
      <c r="P11" s="125">
        <f t="shared" si="40"/>
        <v>3063.0037928027086</v>
      </c>
      <c r="Q11" s="125">
        <f t="shared" si="40"/>
        <v>2793.5944275559013</v>
      </c>
      <c r="R11" s="125">
        <f t="shared" si="40"/>
        <v>2913.2335791158985</v>
      </c>
      <c r="S11" s="125">
        <f t="shared" si="40"/>
        <v>3038.1696462243126</v>
      </c>
      <c r="T11" s="125">
        <f t="shared" si="40"/>
        <v>3168.643323749784</v>
      </c>
      <c r="U11" s="125">
        <f t="shared" si="40"/>
        <v>3304.9064678581781</v>
      </c>
    </row>
    <row r="12" spans="2:23" ht="18" customHeight="1" x14ac:dyDescent="0.25">
      <c r="C12" s="2" t="s">
        <v>137</v>
      </c>
      <c r="G12" s="27">
        <f>HLOOKUP(G$2,Model!$D$4:$DD$377,21-3,FALSE)</f>
        <v>31260</v>
      </c>
      <c r="H12" s="27">
        <f>HLOOKUP(H$2,Model!$D$4:$DD$377,21-3,FALSE)</f>
        <v>36997</v>
      </c>
      <c r="I12" s="27">
        <f>HLOOKUP(I$2,Model!$D$4:$DD$377,21-3,FALSE)</f>
        <v>36630</v>
      </c>
      <c r="J12" s="27">
        <f>HLOOKUP(J$2,Model!$D$4:$DD$377,21-3,FALSE)</f>
        <v>29082</v>
      </c>
      <c r="K12" s="27">
        <f>HLOOKUP(K$2,Model!$D$4:$DD$377,21-3,FALSE)</f>
        <v>35513</v>
      </c>
      <c r="L12" s="235">
        <f>HLOOKUP(L$2,Model!$D$4:$DD$377,21-3,FALSE)</f>
        <v>41350</v>
      </c>
      <c r="M12" s="235">
        <f>HLOOKUP(M$2,Model!$D$4:$DD$377,21-3,FALSE)</f>
        <v>42767</v>
      </c>
      <c r="N12" s="323">
        <f>HLOOKUP(N$2,Model!$D$4:$DD$377,21-3,FALSE)</f>
        <v>40528.102412306769</v>
      </c>
      <c r="O12" s="27">
        <f>HLOOKUP(O$2,Model!$D$4:$DD$377,21-3,FALSE)</f>
        <v>40566.642474580061</v>
      </c>
      <c r="P12" s="27">
        <f>HLOOKUP(P$2,Model!$D$4:$DD$377,21-3,FALSE)</f>
        <v>41987.288589571508</v>
      </c>
      <c r="Q12" s="27">
        <f>HLOOKUP(Q$2,Model!$D$4:$DD$377,21-3,FALSE)</f>
        <v>43465.694032016239</v>
      </c>
      <c r="R12" s="27">
        <f>HLOOKUP(R$2,Model!$D$4:$DD$377,21-3,FALSE)</f>
        <v>44994.177453611665</v>
      </c>
      <c r="S12" s="27">
        <f>HLOOKUP(S$2,Model!$D$4:$DD$377,21-3,FALSE)</f>
        <v>46589.46615604619</v>
      </c>
      <c r="T12" s="27">
        <f>HLOOKUP(T$2,Model!$D$4:$DD$377,21-3,FALSE)</f>
        <v>48254.573930459876</v>
      </c>
      <c r="U12" s="27">
        <f>HLOOKUP(U$2,Model!$D$4:$DD$377,21-3,FALSE)</f>
        <v>49969.528773811224</v>
      </c>
    </row>
    <row r="13" spans="2:23" ht="18" customHeight="1" x14ac:dyDescent="0.25">
      <c r="C13" s="14" t="s">
        <v>142</v>
      </c>
      <c r="G13" s="9">
        <f>(1-G12/G9)</f>
        <v>0.31239276758611589</v>
      </c>
      <c r="H13" s="9">
        <f t="shared" ref="H13:U13" si="41">(1-H12/H9)</f>
        <v>0.32390994481195867</v>
      </c>
      <c r="I13" s="9">
        <f t="shared" si="41"/>
        <v>0.31914498141263936</v>
      </c>
      <c r="J13" s="9">
        <f t="shared" si="41"/>
        <v>0.30339177924691008</v>
      </c>
      <c r="K13" s="9">
        <f t="shared" si="41"/>
        <v>0.30327048713974614</v>
      </c>
      <c r="L13" s="241">
        <f t="shared" si="41"/>
        <v>0.30418833190300709</v>
      </c>
      <c r="M13" s="241">
        <f t="shared" si="41"/>
        <v>0.36225767968983003</v>
      </c>
      <c r="N13" s="324">
        <f t="shared" si="41"/>
        <v>0.3791769855462821</v>
      </c>
      <c r="O13" s="9">
        <f t="shared" si="41"/>
        <v>0.37568385494047185</v>
      </c>
      <c r="P13" s="9">
        <f t="shared" si="41"/>
        <v>0.38290947726359237</v>
      </c>
      <c r="Q13" s="9">
        <f t="shared" si="41"/>
        <v>0.38637524348738228</v>
      </c>
      <c r="R13" s="9">
        <f t="shared" si="41"/>
        <v>0.38988924228351318</v>
      </c>
      <c r="S13" s="9">
        <f t="shared" si="41"/>
        <v>0.39325355614931301</v>
      </c>
      <c r="T13" s="9">
        <f t="shared" si="41"/>
        <v>0.39647358397837495</v>
      </c>
      <c r="U13" s="9">
        <f t="shared" si="41"/>
        <v>0.3998322909813532</v>
      </c>
    </row>
    <row r="14" spans="2:23" ht="18" customHeight="1" collapsed="1" x14ac:dyDescent="0.25">
      <c r="C14" s="2" t="str">
        <f>Model!B25</f>
        <v>SG&amp;A ($mm)</v>
      </c>
      <c r="G14" s="27">
        <f>HLOOKUP(G$2,Model!$D$4:$DD$377,25-3,FALSE)</f>
        <v>4999</v>
      </c>
      <c r="H14" s="27">
        <f>HLOOKUP(H$2,Model!$D$4:$DD$377,25-3,FALSE)</f>
        <v>5478</v>
      </c>
      <c r="I14" s="27">
        <f>HLOOKUP(I$2,Model!$D$4:$DD$377,25-3,FALSE)</f>
        <v>5162</v>
      </c>
      <c r="J14" s="27">
        <f>HLOOKUP(J$2,Model!$D$4:$DD$377,25-3,FALSE)</f>
        <v>4642</v>
      </c>
      <c r="K14" s="27">
        <f>HLOOKUP(K$2,Model!$D$4:$DD$377,25-3,FALSE)</f>
        <v>5365</v>
      </c>
      <c r="L14" s="235">
        <f>HLOOKUP(L$2,Model!$D$4:$DD$377,25-3,FALSE)</f>
        <v>5651</v>
      </c>
      <c r="M14" s="235">
        <f>HLOOKUP(M$2,Model!$D$4:$DD$377,25-3,FALSE)</f>
        <v>6371</v>
      </c>
      <c r="N14" s="323">
        <f>HLOOKUP(N$2,Model!$D$4:$DD$377,25-3,FALSE)</f>
        <v>6566.7250000000004</v>
      </c>
      <c r="O14" s="27">
        <f>HLOOKUP(O$2,Model!$D$4:$DD$377,25-3,FALSE)</f>
        <v>6497.7724500000004</v>
      </c>
      <c r="P14" s="27">
        <f>HLOOKUP(P$2,Model!$D$4:$DD$377,25-3,FALSE)</f>
        <v>6804.0728292802714</v>
      </c>
      <c r="Q14" s="27">
        <f>HLOOKUP(Q$2,Model!$D$4:$DD$377,25-3,FALSE)</f>
        <v>7083.4322720358605</v>
      </c>
      <c r="R14" s="27">
        <f>HLOOKUP(R$2,Model!$D$4:$DD$377,25-3,FALSE)</f>
        <v>7374.75562994745</v>
      </c>
      <c r="S14" s="27">
        <f>HLOOKUP(S$2,Model!$D$4:$DD$377,25-3,FALSE)</f>
        <v>7678.5725945698823</v>
      </c>
      <c r="T14" s="27">
        <f>HLOOKUP(T$2,Model!$D$4:$DD$377,25-3,FALSE)</f>
        <v>7995.4369269448616</v>
      </c>
      <c r="U14" s="27">
        <f>HLOOKUP(U$2,Model!$D$4:$DD$377,25-3,FALSE)</f>
        <v>8325.927573730678</v>
      </c>
    </row>
    <row r="15" spans="2:23" ht="18" customHeight="1" x14ac:dyDescent="0.25">
      <c r="C15" s="14" t="s">
        <v>94</v>
      </c>
      <c r="G15" s="9">
        <f t="shared" ref="G15" si="42">G14/G$9</f>
        <v>0.10995996656548326</v>
      </c>
      <c r="H15" s="9">
        <f t="shared" ref="H15:U15" si="43">H14/H$9</f>
        <v>0.10010599027813311</v>
      </c>
      <c r="I15" s="9">
        <f t="shared" si="43"/>
        <v>9.5947955390334572E-2</v>
      </c>
      <c r="J15" s="9">
        <f t="shared" si="43"/>
        <v>0.11119095525534158</v>
      </c>
      <c r="K15" s="9">
        <f t="shared" si="43"/>
        <v>0.10525592984245943</v>
      </c>
      <c r="L15" s="241">
        <f t="shared" si="43"/>
        <v>9.5091456745250477E-2</v>
      </c>
      <c r="M15" s="241">
        <f t="shared" si="43"/>
        <v>9.5004473605726211E-2</v>
      </c>
      <c r="N15" s="324">
        <f t="shared" si="43"/>
        <v>0.10059128769746291</v>
      </c>
      <c r="O15" s="9">
        <f t="shared" si="43"/>
        <v>0.1</v>
      </c>
      <c r="P15" s="9">
        <f t="shared" si="43"/>
        <v>0.1</v>
      </c>
      <c r="Q15" s="9">
        <f t="shared" si="43"/>
        <v>9.9999999999999992E-2</v>
      </c>
      <c r="R15" s="9">
        <f t="shared" si="43"/>
        <v>9.9999999999999978E-2</v>
      </c>
      <c r="S15" s="9">
        <f t="shared" si="43"/>
        <v>9.9999999999999992E-2</v>
      </c>
      <c r="T15" s="9">
        <f t="shared" si="43"/>
        <v>0.1</v>
      </c>
      <c r="U15" s="9">
        <f t="shared" si="43"/>
        <v>9.9999999999999992E-2</v>
      </c>
    </row>
    <row r="16" spans="2:23" ht="18" customHeight="1" x14ac:dyDescent="0.25">
      <c r="C16" s="2" t="str">
        <f>Model!B27</f>
        <v>R&amp;D Expenses ($mm)</v>
      </c>
      <c r="G16" s="27">
        <f>HLOOKUP(G$2,Model!$D$4:$DD$377,27-3,FALSE)</f>
        <v>1842</v>
      </c>
      <c r="H16" s="27">
        <f>HLOOKUP(H$2,Model!$D$4:$DD$377,27-3,FALSE)</f>
        <v>1850</v>
      </c>
      <c r="I16" s="27">
        <f>HLOOKUP(I$2,Model!$D$4:$DD$377,27-3,FALSE)</f>
        <v>1693</v>
      </c>
      <c r="J16" s="27">
        <f>HLOOKUP(J$2,Model!$D$4:$DD$377,27-3,FALSE)</f>
        <v>1415</v>
      </c>
      <c r="K16" s="27">
        <f>HLOOKUP(K$2,Model!$D$4:$DD$377,27-3,FALSE)</f>
        <v>1686</v>
      </c>
      <c r="L16" s="235">
        <f>HLOOKUP(L$2,Model!$D$4:$DD$377,27-3,FALSE)</f>
        <v>1814</v>
      </c>
      <c r="M16" s="235">
        <f>HLOOKUP(M$2,Model!$D$4:$DD$377,27-3,FALSE)</f>
        <v>2108</v>
      </c>
      <c r="N16" s="323">
        <f>HLOOKUP(N$2,Model!$D$4:$DD$377,27-3,FALSE)</f>
        <v>2138.6792500000001</v>
      </c>
      <c r="O16" s="27">
        <f>HLOOKUP(O$2,Model!$D$4:$DD$377,27-3,FALSE)</f>
        <v>2115.9365428786095</v>
      </c>
      <c r="P16" s="27">
        <f>HLOOKUP(P$2,Model!$D$4:$DD$377,27-3,FALSE)</f>
        <v>2202.0702650707549</v>
      </c>
      <c r="Q16" s="27">
        <f>HLOOKUP(Q$2,Model!$D$4:$DD$377,27-3,FALSE)</f>
        <v>2278.3146471113982</v>
      </c>
      <c r="R16" s="27">
        <f>HLOOKUP(R$2,Model!$D$4:$DD$377,27-3,FALSE)</f>
        <v>2357.2657035616608</v>
      </c>
      <c r="S16" s="27">
        <f>HLOOKUP(S$2,Model!$D$4:$DD$377,27-3,FALSE)</f>
        <v>2439.0199007294968</v>
      </c>
      <c r="T16" s="27">
        <f>HLOOKUP(T$2,Model!$D$4:$DD$377,27-3,FALSE)</f>
        <v>2523.6770646232599</v>
      </c>
      <c r="U16" s="27">
        <f>HLOOKUP(U$2,Model!$D$4:$DD$377,27-3,FALSE)</f>
        <v>2611.3404903170804</v>
      </c>
    </row>
    <row r="17" spans="3:26" ht="18" customHeight="1" x14ac:dyDescent="0.25">
      <c r="C17" s="14" t="s">
        <v>94</v>
      </c>
      <c r="G17" s="127">
        <f t="shared" ref="G17" si="44">G16/G9</f>
        <v>4.0517355153754785E-2</v>
      </c>
      <c r="H17" s="127">
        <f t="shared" ref="H17" si="45">H16/H9</f>
        <v>3.3807243887284823E-2</v>
      </c>
      <c r="I17" s="127">
        <f t="shared" ref="I17" si="46">I16/I9</f>
        <v>3.1468401486988845E-2</v>
      </c>
      <c r="J17" s="127">
        <f t="shared" ref="J17" si="47">J16/J9</f>
        <v>3.3893839225831175E-2</v>
      </c>
      <c r="K17" s="127">
        <f t="shared" ref="K17" si="48">K16/K9</f>
        <v>3.3077632379196011E-2</v>
      </c>
      <c r="L17" s="247">
        <f t="shared" ref="L17" si="49">L16/L9</f>
        <v>3.0524845608898312E-2</v>
      </c>
      <c r="M17" s="247">
        <f t="shared" ref="M17" si="50">M16/M9</f>
        <v>3.143453623620638E-2</v>
      </c>
      <c r="N17" s="325">
        <f t="shared" ref="N17" si="51">N16/N9</f>
        <v>3.2761003350885595E-2</v>
      </c>
      <c r="O17" s="127">
        <f t="shared" ref="O17" si="52">O16/O9</f>
        <v>3.2564029583378368E-2</v>
      </c>
      <c r="P17" s="127">
        <f t="shared" ref="P17" si="53">P16/P9</f>
        <v>3.2364001978263481E-2</v>
      </c>
      <c r="Q17" s="127">
        <f t="shared" ref="Q17" si="54">Q16/Q9</f>
        <v>3.2163992816106705E-2</v>
      </c>
      <c r="R17" s="127">
        <f t="shared" ref="R17" si="55">R16/R9</f>
        <v>3.1963983918182483E-2</v>
      </c>
      <c r="S17" s="127">
        <f t="shared" ref="S17" si="56">S16/S9</f>
        <v>3.1763975279133494E-2</v>
      </c>
      <c r="T17" s="127">
        <f t="shared" ref="T17" si="57">T16/T9</f>
        <v>3.1563966893646461E-2</v>
      </c>
      <c r="U17" s="127">
        <f t="shared" ref="U17" si="58">U16/U9</f>
        <v>3.1363958756453508E-2</v>
      </c>
    </row>
    <row r="18" spans="3:26" ht="18" customHeight="1" collapsed="1" x14ac:dyDescent="0.25">
      <c r="C18" s="2" t="str">
        <f>Model!B29</f>
        <v>Interest expense of Financial Products ($mm)</v>
      </c>
      <c r="G18" s="27">
        <f>HLOOKUP(G$2,Model!$D$4:$DD$377,29-3,FALSE)</f>
        <v>646</v>
      </c>
      <c r="H18" s="27">
        <f>HLOOKUP(H$2,Model!$D$4:$DD$377,29-3,FALSE)</f>
        <v>722</v>
      </c>
      <c r="I18" s="27">
        <f>HLOOKUP(I$2,Model!$D$4:$DD$377,29-3,FALSE)</f>
        <v>754</v>
      </c>
      <c r="J18" s="27">
        <f>HLOOKUP(J$2,Model!$D$4:$DD$377,29-3,FALSE)</f>
        <v>589</v>
      </c>
      <c r="K18" s="27">
        <f>HLOOKUP(K$2,Model!$D$4:$DD$377,29-3,FALSE)</f>
        <v>455</v>
      </c>
      <c r="L18" s="235">
        <f>HLOOKUP(L$2,Model!$D$4:$DD$377,29-3,FALSE)</f>
        <v>565</v>
      </c>
      <c r="M18" s="235">
        <f>HLOOKUP(M$2,Model!$D$4:$DD$377,29-3,FALSE)</f>
        <v>1030</v>
      </c>
      <c r="N18" s="323">
        <f>HLOOKUP(N$2,Model!$D$4:$DD$377,29-3,FALSE)</f>
        <v>1298.4322500000001</v>
      </c>
      <c r="O18" s="27">
        <f>HLOOKUP(O$2,Model!$D$4:$DD$377,29-3,FALSE)</f>
        <v>1293.4397268127275</v>
      </c>
      <c r="P18" s="27">
        <f>HLOOKUP(P$2,Model!$D$4:$DD$377,29-3,FALSE)</f>
        <v>1354.4035208317391</v>
      </c>
      <c r="Q18" s="27">
        <f>HLOOKUP(Q$2,Model!$D$4:$DD$377,29-3,FALSE)</f>
        <v>1410.0165269387278</v>
      </c>
      <c r="R18" s="27">
        <f>HLOOKUP(R$2,Model!$D$4:$DD$377,29-3,FALSE)</f>
        <v>1468.0114910448942</v>
      </c>
      <c r="S18" s="27">
        <f>HLOOKUP(S$2,Model!$D$4:$DD$377,29-3,FALSE)</f>
        <v>1528.4938838888256</v>
      </c>
      <c r="T18" s="27">
        <f>HLOOKUP(T$2,Model!$D$4:$DD$377,29-3,FALSE)</f>
        <v>1591.5739693294345</v>
      </c>
      <c r="U18" s="27">
        <f>HLOOKUP(U$2,Model!$D$4:$DD$377,29-3,FALSE)</f>
        <v>1657.3670266264819</v>
      </c>
    </row>
    <row r="19" spans="3:26" ht="18" customHeight="1" x14ac:dyDescent="0.25">
      <c r="C19" s="14" t="s">
        <v>94</v>
      </c>
      <c r="G19" s="9">
        <f t="shared" ref="G19" si="59">G18/G9</f>
        <v>1.4209669614183273E-2</v>
      </c>
      <c r="H19" s="9">
        <f t="shared" ref="H19" si="60">H18/H9</f>
        <v>1.3193962208983589E-2</v>
      </c>
      <c r="I19" s="9">
        <f t="shared" ref="I19" si="61">I18/I9</f>
        <v>1.4014869888475837E-2</v>
      </c>
      <c r="J19" s="9">
        <f t="shared" ref="J19" si="62">J18/J9</f>
        <v>1.4108460285522659E-2</v>
      </c>
      <c r="K19" s="9">
        <f t="shared" ref="K19" si="63">K18/K9</f>
        <v>8.9266445625944164E-3</v>
      </c>
      <c r="L19" s="241">
        <f t="shared" ref="L19" si="64">L18/L9</f>
        <v>9.5074629377219118E-3</v>
      </c>
      <c r="M19" s="241">
        <f t="shared" ref="M19" si="65">M18/M9</f>
        <v>1.5359379660005964E-2</v>
      </c>
      <c r="N19" s="324">
        <f t="shared" ref="N19" si="66">N18/N9</f>
        <v>1.9889819052178077E-2</v>
      </c>
      <c r="O19" s="9">
        <f t="shared" ref="O19" si="67">O18/O9</f>
        <v>1.9905894470230754E-2</v>
      </c>
      <c r="P19" s="9">
        <f t="shared" ref="P19" si="68">P18/P9</f>
        <v>1.9905776360935965E-2</v>
      </c>
      <c r="Q19" s="9">
        <f t="shared" ref="Q19" si="69">Q18/Q9</f>
        <v>1.9905837633335238E-2</v>
      </c>
      <c r="R19" s="9">
        <f t="shared" ref="R19" si="70">R18/R9</f>
        <v>1.9905900136996873E-2</v>
      </c>
      <c r="S19" s="9">
        <f t="shared" ref="S19" si="71">S18/S9</f>
        <v>1.990596383720775E-2</v>
      </c>
      <c r="T19" s="9">
        <f t="shared" ref="T19" si="72">T18/T9</f>
        <v>1.9906028699517131E-2</v>
      </c>
      <c r="U19" s="9">
        <f t="shared" ref="U19" si="73">U18/U9</f>
        <v>1.9906094689745774E-2</v>
      </c>
    </row>
    <row r="20" spans="3:26" ht="18" customHeight="1" x14ac:dyDescent="0.25">
      <c r="C20" s="2" t="str">
        <f>Model!B31</f>
        <v>Goodwill impairment charge ($mm)</v>
      </c>
      <c r="G20" s="27">
        <f>HLOOKUP(G$2,Model!$D$4:$DD$377,31-3,FALSE)</f>
        <v>0</v>
      </c>
      <c r="H20" s="27">
        <f>HLOOKUP(H$2,Model!$D$4:$DD$377,31-3,FALSE)</f>
        <v>0</v>
      </c>
      <c r="I20" s="27">
        <f>HLOOKUP(I$2,Model!$D$4:$DD$377,31-3,FALSE)</f>
        <v>0</v>
      </c>
      <c r="J20" s="27">
        <f>HLOOKUP(J$2,Model!$D$4:$DD$377,31-3,FALSE)</f>
        <v>0</v>
      </c>
      <c r="K20" s="27">
        <f>HLOOKUP(K$2,Model!$D$4:$DD$377,31-3,FALSE)</f>
        <v>0</v>
      </c>
      <c r="L20" s="235">
        <f>HLOOKUP(L$2,Model!$D$4:$DD$377,31-3,FALSE)</f>
        <v>925</v>
      </c>
      <c r="M20" s="235">
        <f>HLOOKUP(M$2,Model!$D$4:$DD$377,31-3,FALSE)</f>
        <v>0</v>
      </c>
      <c r="N20" s="323">
        <f>HLOOKUP(N$2,Model!$D$4:$DD$377,31-3,FALSE)</f>
        <v>0</v>
      </c>
      <c r="O20" s="27">
        <f>HLOOKUP(O$2,Model!$D$4:$DD$377,31-3,FALSE)</f>
        <v>0</v>
      </c>
      <c r="P20" s="27">
        <f>HLOOKUP(P$2,Model!$D$4:$DD$377,31-3,FALSE)</f>
        <v>0</v>
      </c>
      <c r="Q20" s="27">
        <f>HLOOKUP(Q$2,Model!$D$4:$DD$377,31-3,FALSE)</f>
        <v>0</v>
      </c>
      <c r="R20" s="27">
        <f>HLOOKUP(R$2,Model!$D$4:$DD$377,31-3,FALSE)</f>
        <v>0</v>
      </c>
      <c r="S20" s="27">
        <f>HLOOKUP(S$2,Model!$D$4:$DD$377,31-3,FALSE)</f>
        <v>0</v>
      </c>
      <c r="T20" s="27">
        <f>HLOOKUP(T$2,Model!$D$4:$DD$377,31-3,FALSE)</f>
        <v>0</v>
      </c>
      <c r="U20" s="27">
        <f>HLOOKUP(U$2,Model!$D$4:$DD$377,31-3,FALSE)</f>
        <v>0</v>
      </c>
    </row>
    <row r="21" spans="3:26" ht="18" customHeight="1" x14ac:dyDescent="0.25">
      <c r="C21" s="14" t="s">
        <v>94</v>
      </c>
      <c r="G21" s="9">
        <f t="shared" ref="G21" si="74">G20/G9</f>
        <v>0</v>
      </c>
      <c r="H21" s="9">
        <f t="shared" ref="H21" si="75">H20/H9</f>
        <v>0</v>
      </c>
      <c r="I21" s="9">
        <f t="shared" ref="I21" si="76">I20/I9</f>
        <v>0</v>
      </c>
      <c r="J21" s="9">
        <f t="shared" ref="J21" si="77">J20/J9</f>
        <v>0</v>
      </c>
      <c r="K21" s="9">
        <f t="shared" ref="K21" si="78">K20/K9</f>
        <v>0</v>
      </c>
      <c r="L21" s="241">
        <f t="shared" ref="L21" si="79">L20/L9</f>
        <v>1.5565315429013748E-2</v>
      </c>
      <c r="M21" s="241">
        <f t="shared" ref="M21" si="80">M20/M9</f>
        <v>0</v>
      </c>
      <c r="N21" s="324">
        <f t="shared" ref="N21" si="81">N20/N9</f>
        <v>0</v>
      </c>
      <c r="O21" s="9">
        <f t="shared" ref="O21" si="82">O20/O9</f>
        <v>0</v>
      </c>
      <c r="P21" s="9">
        <f t="shared" ref="P21" si="83">P20/P9</f>
        <v>0</v>
      </c>
      <c r="Q21" s="9">
        <f t="shared" ref="Q21" si="84">Q20/Q9</f>
        <v>0</v>
      </c>
      <c r="R21" s="9">
        <f t="shared" ref="R21" si="85">R20/R9</f>
        <v>0</v>
      </c>
      <c r="S21" s="9">
        <f t="shared" ref="S21" si="86">S20/S9</f>
        <v>0</v>
      </c>
      <c r="T21" s="9">
        <f t="shared" ref="T21" si="87">T20/T9</f>
        <v>0</v>
      </c>
      <c r="U21" s="9">
        <f t="shared" ref="U21" si="88">U20/U9</f>
        <v>0</v>
      </c>
    </row>
    <row r="22" spans="3:26" ht="18" customHeight="1" collapsed="1" x14ac:dyDescent="0.25">
      <c r="C22" s="2" t="str">
        <f>Model!B33</f>
        <v>Other operating (income) expenses ($mm)</v>
      </c>
      <c r="G22" s="27">
        <f>HLOOKUP(G$2,Model!$D$4:$DD$377,33-3,FALSE)</f>
        <v>2255</v>
      </c>
      <c r="H22" s="27">
        <f>HLOOKUP(H$2,Model!$D$4:$DD$377,33-3,FALSE)</f>
        <v>1382</v>
      </c>
      <c r="I22" s="27">
        <f>HLOOKUP(I$2,Model!$D$4:$DD$377,33-3,FALSE)</f>
        <v>1271</v>
      </c>
      <c r="J22" s="27">
        <f>HLOOKUP(J$2,Model!$D$4:$DD$377,33-3,FALSE)</f>
        <v>1467</v>
      </c>
      <c r="K22" s="27">
        <f>HLOOKUP(K$2,Model!$D$4:$DD$377,33-3,FALSE)</f>
        <v>1074</v>
      </c>
      <c r="L22" s="235">
        <f>HLOOKUP(L$2,Model!$D$4:$DD$377,33-3,FALSE)</f>
        <v>1218</v>
      </c>
      <c r="M22" s="235">
        <f>HLOOKUP(M$2,Model!$D$4:$DD$377,33-3,FALSE)</f>
        <v>1818</v>
      </c>
      <c r="N22" s="323">
        <f>HLOOKUP(N$2,Model!$D$4:$DD$377,33-3,FALSE)</f>
        <v>1501.1195</v>
      </c>
      <c r="O22" s="27">
        <f>HLOOKUP(O$2,Model!$D$4:$DD$377,33-3,FALSE)</f>
        <v>1494.9134531844581</v>
      </c>
      <c r="P22" s="27">
        <f>HLOOKUP(P$2,Model!$D$4:$DD$377,33-3,FALSE)</f>
        <v>1565.3882601747359</v>
      </c>
      <c r="Q22" s="27">
        <f>HLOOKUP(Q$2,Model!$D$4:$DD$377,33-3,FALSE)</f>
        <v>1629.6911878999363</v>
      </c>
      <c r="R22" s="27">
        <f>HLOOKUP(R$2,Model!$D$4:$DD$377,33-3,FALSE)</f>
        <v>1696.749140823197</v>
      </c>
      <c r="S22" s="27">
        <f>HLOOKUP(S$2,Model!$D$4:$DD$377,33-3,FALSE)</f>
        <v>1766.6841393714149</v>
      </c>
      <c r="T22" s="27">
        <f>HLOOKUP(T$2,Model!$D$4:$DD$377,33-3,FALSE)</f>
        <v>1839.6237503373038</v>
      </c>
      <c r="U22" s="27">
        <f>HLOOKUP(U$2,Model!$D$4:$DD$377,33-3,FALSE)</f>
        <v>1915.701344135945</v>
      </c>
      <c r="W22" s="27"/>
      <c r="X22" s="27"/>
      <c r="Y22" s="27"/>
      <c r="Z22" s="27"/>
    </row>
    <row r="23" spans="3:26" ht="18" customHeight="1" x14ac:dyDescent="0.25">
      <c r="C23" s="504" t="s">
        <v>94</v>
      </c>
      <c r="D23" s="26"/>
      <c r="E23" s="26"/>
      <c r="F23" s="26"/>
      <c r="G23" s="505">
        <f t="shared" ref="G23" si="89">G22/G$9</f>
        <v>4.9601865294091767E-2</v>
      </c>
      <c r="H23" s="505">
        <f t="shared" ref="H23:U23" si="90">H22/H$9</f>
        <v>2.5254924893096012E-2</v>
      </c>
      <c r="I23" s="505">
        <f t="shared" si="90"/>
        <v>2.3624535315985129E-2</v>
      </c>
      <c r="J23" s="505">
        <f t="shared" si="90"/>
        <v>3.5139407875826388E-2</v>
      </c>
      <c r="K23" s="505">
        <f t="shared" si="90"/>
        <v>2.1070804967530558E-2</v>
      </c>
      <c r="L23" s="505">
        <f t="shared" si="90"/>
        <v>2.0495734262204048E-2</v>
      </c>
      <c r="M23" s="505">
        <f t="shared" si="90"/>
        <v>2.7110050700864897E-2</v>
      </c>
      <c r="N23" s="506">
        <f t="shared" si="90"/>
        <v>2.2994650071804693E-2</v>
      </c>
      <c r="O23" s="505">
        <f t="shared" si="90"/>
        <v>2.3006552856193942E-2</v>
      </c>
      <c r="P23" s="505">
        <f t="shared" si="90"/>
        <v>2.3006635870185435E-2</v>
      </c>
      <c r="Q23" s="505">
        <f t="shared" si="90"/>
        <v>2.3007083646916043E-2</v>
      </c>
      <c r="R23" s="505">
        <f t="shared" si="90"/>
        <v>2.3007530363894746E-2</v>
      </c>
      <c r="S23" s="505">
        <f t="shared" si="90"/>
        <v>2.3007975995704918E-2</v>
      </c>
      <c r="T23" s="505">
        <f t="shared" si="90"/>
        <v>2.3008420517179204E-2</v>
      </c>
      <c r="U23" s="505">
        <f t="shared" si="90"/>
        <v>2.3008863903407201E-2</v>
      </c>
    </row>
    <row r="24" spans="3:26" ht="18" customHeight="1" x14ac:dyDescent="0.25">
      <c r="C24" s="13" t="s">
        <v>127</v>
      </c>
      <c r="D24" s="13"/>
      <c r="E24" s="13"/>
      <c r="F24" s="13"/>
      <c r="G24" s="46">
        <f>HLOOKUP(G$2,Model!$D$4:$DD$377,35-3,FALSE)</f>
        <v>4460</v>
      </c>
      <c r="H24" s="46">
        <f>HLOOKUP(H$2,Model!$D$4:$DD$377,35-3,FALSE)</f>
        <v>8293</v>
      </c>
      <c r="I24" s="46">
        <f>HLOOKUP(I$2,Model!$D$4:$DD$377,35-3,FALSE)</f>
        <v>8290</v>
      </c>
      <c r="J24" s="46">
        <f>HLOOKUP(J$2,Model!$D$4:$DD$377,35-3,FALSE)</f>
        <v>4553</v>
      </c>
      <c r="K24" s="46">
        <f>HLOOKUP(K$2,Model!$D$4:$DD$377,35-3,FALSE)</f>
        <v>6878</v>
      </c>
      <c r="L24" s="46">
        <f>HLOOKUP(L$2,Model!$D$4:$DD$377,35-3,FALSE)</f>
        <v>7904</v>
      </c>
      <c r="M24" s="46">
        <f>HLOOKUP(M$2,Model!$D$4:$DD$377,35-3,FALSE)</f>
        <v>12966</v>
      </c>
      <c r="N24" s="326">
        <f>HLOOKUP(N$2,Model!$D$4:$DD$377,35-3,FALSE)</f>
        <v>13248.191587693231</v>
      </c>
      <c r="O24" s="46">
        <f>HLOOKUP(O$2,Model!$D$4:$DD$377,35-3,FALSE)</f>
        <v>13009.019852544148</v>
      </c>
      <c r="P24" s="46">
        <f>HLOOKUP(P$2,Model!$D$4:$DD$377,35-3,FALSE)</f>
        <v>14127.504827873705</v>
      </c>
      <c r="Q24" s="46">
        <f>HLOOKUP(Q$2,Model!$D$4:$DD$377,35-3,FALSE)</f>
        <v>14967.17405435645</v>
      </c>
      <c r="R24" s="46">
        <f>HLOOKUP(R$2,Model!$D$4:$DD$377,35-3,FALSE)</f>
        <v>15856.596880485647</v>
      </c>
      <c r="S24" s="46">
        <f>HLOOKUP(S$2,Model!$D$4:$DD$377,35-3,FALSE)</f>
        <v>16783.489271093014</v>
      </c>
      <c r="T24" s="46">
        <f>HLOOKUP(T$2,Model!$D$4:$DD$377,35-3,FALSE)</f>
        <v>17749.483627753874</v>
      </c>
      <c r="U24" s="46">
        <f>HLOOKUP(U$2,Model!$D$4:$DD$377,35-3,FALSE)</f>
        <v>18779.410528685377</v>
      </c>
    </row>
    <row r="25" spans="3:26" ht="18" customHeight="1" x14ac:dyDescent="0.25">
      <c r="C25" s="136" t="s">
        <v>117</v>
      </c>
      <c r="D25" s="137"/>
      <c r="E25" s="137"/>
      <c r="F25" s="137"/>
      <c r="G25" s="138">
        <f t="shared" ref="G25" si="91">G24/G9</f>
        <v>9.8103910958602783E-2</v>
      </c>
      <c r="H25" s="138">
        <f t="shared" ref="H25" si="92">H24/H9</f>
        <v>0.15154782354446109</v>
      </c>
      <c r="I25" s="127">
        <f t="shared" ref="I25" si="93">I24/I9</f>
        <v>0.15408921933085501</v>
      </c>
      <c r="J25" s="127">
        <f t="shared" ref="J25" si="94">J24/J9</f>
        <v>0.10905911660438823</v>
      </c>
      <c r="K25" s="127">
        <f t="shared" ref="K25" si="95">K24/K9</f>
        <v>0.13493947538796572</v>
      </c>
      <c r="L25" s="247">
        <f t="shared" ref="L25" si="96">L24/L9</f>
        <v>0.13300351691991855</v>
      </c>
      <c r="M25" s="247">
        <f t="shared" ref="M25" si="97">M24/M9</f>
        <v>0.19334923948702654</v>
      </c>
      <c r="N25" s="325">
        <f t="shared" ref="N25" si="98">N24/N9</f>
        <v>0.20294022537395087</v>
      </c>
      <c r="O25" s="127">
        <f t="shared" ref="O25" si="99">O24/O9</f>
        <v>0.20020737803066876</v>
      </c>
      <c r="P25" s="127">
        <f t="shared" ref="P25" si="100">P24/P9</f>
        <v>0.20763306305420748</v>
      </c>
      <c r="Q25" s="127">
        <f t="shared" ref="Q25" si="101">Q24/Q9</f>
        <v>0.2112983293910243</v>
      </c>
      <c r="R25" s="127">
        <f t="shared" ref="R25" si="102">R24/R9</f>
        <v>0.21501182786443912</v>
      </c>
      <c r="S25" s="127">
        <f t="shared" ref="S25" si="103">S24/S9</f>
        <v>0.21857564103726684</v>
      </c>
      <c r="T25" s="127">
        <f t="shared" ref="T25" si="104">T24/T9</f>
        <v>0.22199516786803214</v>
      </c>
      <c r="U25" s="127">
        <f t="shared" ref="U25" si="105">U24/U9</f>
        <v>0.22555337363174666</v>
      </c>
    </row>
    <row r="26" spans="3:26" ht="18" customHeight="1" x14ac:dyDescent="0.25">
      <c r="C26" s="136" t="s">
        <v>522</v>
      </c>
      <c r="D26" s="137"/>
      <c r="E26" s="137"/>
      <c r="F26" s="137"/>
      <c r="G26" s="127" t="e">
        <f t="shared" ref="G26" si="106">G24/F24-1</f>
        <v>#DIV/0!</v>
      </c>
      <c r="H26" s="127">
        <f t="shared" ref="H26" si="107">H24/G24-1</f>
        <v>0.85941704035874444</v>
      </c>
      <c r="I26" s="127">
        <f t="shared" ref="I26" si="108">I24/H24-1</f>
        <v>-3.6175087423129249E-4</v>
      </c>
      <c r="J26" s="127">
        <f t="shared" ref="J26" si="109">J24/I24-1</f>
        <v>-0.45078407720144753</v>
      </c>
      <c r="K26" s="127">
        <f t="shared" ref="K26" si="110">K24/J24-1</f>
        <v>0.5106523171535251</v>
      </c>
      <c r="L26" s="247">
        <f t="shared" ref="L26" si="111">L24/K24-1</f>
        <v>0.149171270718232</v>
      </c>
      <c r="M26" s="247">
        <f t="shared" ref="M26" si="112">M24/L24-1</f>
        <v>0.64043522267206487</v>
      </c>
      <c r="N26" s="325">
        <f t="shared" ref="N26" si="113">N24/M24-1</f>
        <v>2.1763966349932939E-2</v>
      </c>
      <c r="O26" s="127">
        <f t="shared" ref="O26" si="114">O24/N24-1</f>
        <v>-1.80531609590594E-2</v>
      </c>
      <c r="P26" s="127">
        <f t="shared" ref="P26" si="115">P24/O24-1</f>
        <v>8.5977651506990105E-2</v>
      </c>
      <c r="Q26" s="127">
        <f t="shared" ref="Q26" si="116">Q24/P24-1</f>
        <v>5.9435069158572773E-2</v>
      </c>
      <c r="R26" s="127">
        <f t="shared" ref="R26" si="117">R24/Q24-1</f>
        <v>5.9424900311780382E-2</v>
      </c>
      <c r="S26" s="127">
        <f t="shared" ref="S26" si="118">S24/R24-1</f>
        <v>5.8454685932520123E-2</v>
      </c>
      <c r="T26" s="127">
        <f t="shared" ref="T26" si="119">T24/S24-1</f>
        <v>5.7556229283301397E-2</v>
      </c>
      <c r="U26" s="127">
        <f t="shared" ref="U26" si="120">U24/T24-1</f>
        <v>5.8025738806342764E-2</v>
      </c>
    </row>
    <row r="27" spans="3:26" ht="18" customHeight="1" x14ac:dyDescent="0.25">
      <c r="C27" s="2" t="s">
        <v>123</v>
      </c>
      <c r="G27" s="27">
        <f>HLOOKUP(G$2,Model!$D$4:$DD$377,44-3,FALSE)</f>
        <v>2877</v>
      </c>
      <c r="H27" s="27">
        <f>HLOOKUP(H$2,Model!$D$4:$DD$377,44-3,FALSE)</f>
        <v>2766</v>
      </c>
      <c r="I27" s="27">
        <f>HLOOKUP(I$2,Model!$D$4:$DD$377,44-3,FALSE)</f>
        <v>2577</v>
      </c>
      <c r="J27" s="27">
        <f>HLOOKUP(J$2,Model!$D$4:$DD$377,44-3,FALSE)</f>
        <v>2432</v>
      </c>
      <c r="K27" s="27">
        <f>HLOOKUP(K$2,Model!$D$4:$DD$377,44-3,FALSE)</f>
        <v>2352</v>
      </c>
      <c r="L27" s="235">
        <f>HLOOKUP(L$2,Model!$D$4:$DD$377,44-3,FALSE)</f>
        <v>2219</v>
      </c>
      <c r="M27" s="235">
        <f>HLOOKUP(M$2,Model!$D$4:$DD$377,44-3,FALSE)</f>
        <v>2144</v>
      </c>
      <c r="N27" s="323">
        <f>HLOOKUP(N$2,Model!$D$4:$DD$377,44-3,FALSE)</f>
        <v>2189.1999999999998</v>
      </c>
      <c r="O27" s="27">
        <f>HLOOKUP(O$2,Model!$D$4:$DD$377,44-3,FALSE)</f>
        <v>2265.8220000000001</v>
      </c>
      <c r="P27" s="27">
        <f>HLOOKUP(P$2,Model!$D$4:$DD$377,44-3,FALSE)</f>
        <v>2345.61834</v>
      </c>
      <c r="Q27" s="27">
        <f>HLOOKUP(Q$2,Model!$D$4:$DD$377,44-3,FALSE)</f>
        <v>2409.1872768000003</v>
      </c>
      <c r="R27" s="27">
        <f>HLOOKUP(R$2,Model!$D$4:$DD$377,44-3,FALSE)</f>
        <v>2457.3710223360004</v>
      </c>
      <c r="S27" s="27">
        <f>HLOOKUP(S$2,Model!$D$4:$DD$377,44-3,FALSE)</f>
        <v>2506.5184427827203</v>
      </c>
      <c r="T27" s="27">
        <f>HLOOKUP(T$2,Model!$D$4:$DD$377,44-3,FALSE)</f>
        <v>2556.6488116383748</v>
      </c>
      <c r="U27" s="27">
        <f>HLOOKUP(U$2,Model!$D$4:$DD$377,44-3,FALSE)</f>
        <v>2607.7817878711421</v>
      </c>
    </row>
    <row r="28" spans="3:26" ht="18" customHeight="1" x14ac:dyDescent="0.25">
      <c r="C28" s="14" t="s">
        <v>94</v>
      </c>
      <c r="G28" s="9">
        <f>G27/G9</f>
        <v>6.3283621486076289E-2</v>
      </c>
      <c r="H28" s="9">
        <f t="shared" ref="H28:U28" si="121">H27/H9</f>
        <v>5.0546398157962059E-2</v>
      </c>
      <c r="I28" s="9">
        <f t="shared" si="121"/>
        <v>4.7899628252788103E-2</v>
      </c>
      <c r="J28" s="9">
        <f t="shared" si="121"/>
        <v>5.8254287630545173E-2</v>
      </c>
      <c r="K28" s="9">
        <f t="shared" si="121"/>
        <v>4.6143885738949598E-2</v>
      </c>
      <c r="L28" s="241">
        <f t="shared" si="121"/>
        <v>3.7339929661601629E-2</v>
      </c>
      <c r="M28" s="241">
        <f t="shared" si="121"/>
        <v>3.1971368923352221E-2</v>
      </c>
      <c r="N28" s="324">
        <f t="shared" si="121"/>
        <v>3.3534897079942554E-2</v>
      </c>
      <c r="O28" s="9">
        <f t="shared" si="121"/>
        <v>3.4870750206095626E-2</v>
      </c>
      <c r="P28" s="9">
        <f t="shared" si="121"/>
        <v>3.4473739462428966E-2</v>
      </c>
      <c r="Q28" s="9">
        <f t="shared" si="121"/>
        <v>3.4011580604942686E-2</v>
      </c>
      <c r="R28" s="9">
        <f t="shared" si="121"/>
        <v>3.3321389150266806E-2</v>
      </c>
      <c r="S28" s="9">
        <f t="shared" si="121"/>
        <v>3.2643025925876833E-2</v>
      </c>
      <c r="T28" s="9">
        <f t="shared" si="121"/>
        <v>3.19763489475152E-2</v>
      </c>
      <c r="U28" s="9">
        <f t="shared" si="121"/>
        <v>3.1321216342296961E-2</v>
      </c>
      <c r="W28" s="27"/>
      <c r="X28" s="27"/>
      <c r="Y28" s="27"/>
      <c r="Z28" s="27"/>
    </row>
    <row r="29" spans="3:26" ht="18" customHeight="1" collapsed="1" x14ac:dyDescent="0.25">
      <c r="C29" s="13" t="s">
        <v>7</v>
      </c>
      <c r="D29" s="13"/>
      <c r="E29" s="13"/>
      <c r="F29" s="13"/>
      <c r="G29" s="46">
        <f>HLOOKUP(G$2,Model!$D$4:$DD$377,45-3,FALSE)</f>
        <v>7337</v>
      </c>
      <c r="H29" s="46">
        <f>HLOOKUP(H$2,Model!$D$4:$DD$377,45-3,FALSE)</f>
        <v>11059</v>
      </c>
      <c r="I29" s="46">
        <f>HLOOKUP(I$2,Model!$D$4:$DD$377,45-3,FALSE)</f>
        <v>10867</v>
      </c>
      <c r="J29" s="46">
        <f>HLOOKUP(J$2,Model!$D$4:$DD$377,45-3,FALSE)</f>
        <v>6985</v>
      </c>
      <c r="K29" s="46">
        <f>HLOOKUP(K$2,Model!$D$4:$DD$377,45-3,FALSE)</f>
        <v>9230</v>
      </c>
      <c r="L29" s="46">
        <f>HLOOKUP(L$2,Model!$D$4:$DD$377,45-3,FALSE)</f>
        <v>10123</v>
      </c>
      <c r="M29" s="46">
        <f>HLOOKUP(M$2,Model!$D$4:$DD$377,45-3,FALSE)</f>
        <v>15110</v>
      </c>
      <c r="N29" s="326">
        <f>HLOOKUP(N$2,Model!$D$4:$DD$377,45-3,FALSE)</f>
        <v>15437.39158769323</v>
      </c>
      <c r="O29" s="46">
        <f>HLOOKUP(O$2,Model!$D$4:$DD$377,45-3,FALSE)</f>
        <v>15274.841852544148</v>
      </c>
      <c r="P29" s="46">
        <f>HLOOKUP(P$2,Model!$D$4:$DD$377,45-3,FALSE)</f>
        <v>16473.123167873706</v>
      </c>
      <c r="Q29" s="46">
        <f>HLOOKUP(Q$2,Model!$D$4:$DD$377,45-3,FALSE)</f>
        <v>17376.361331156451</v>
      </c>
      <c r="R29" s="46">
        <f>HLOOKUP(R$2,Model!$D$4:$DD$377,45-3,FALSE)</f>
        <v>18313.967902821649</v>
      </c>
      <c r="S29" s="46">
        <f>HLOOKUP(S$2,Model!$D$4:$DD$377,45-3,FALSE)</f>
        <v>19290.007713875733</v>
      </c>
      <c r="T29" s="46">
        <f>HLOOKUP(T$2,Model!$D$4:$DD$377,45-3,FALSE)</f>
        <v>20306.132439392248</v>
      </c>
      <c r="U29" s="46">
        <f>HLOOKUP(U$2,Model!$D$4:$DD$377,45-3,FALSE)</f>
        <v>21387.19231655652</v>
      </c>
      <c r="W29" s="27"/>
      <c r="X29" s="27"/>
      <c r="Y29" s="27"/>
      <c r="Z29" s="27"/>
    </row>
    <row r="30" spans="3:26" ht="18" customHeight="1" x14ac:dyDescent="0.25">
      <c r="C30" s="136" t="s">
        <v>8</v>
      </c>
      <c r="D30" s="137"/>
      <c r="E30" s="137"/>
      <c r="F30" s="137"/>
      <c r="G30" s="127">
        <f t="shared" ref="G30" si="122">G29/G9</f>
        <v>0.16138753244467907</v>
      </c>
      <c r="H30" s="127">
        <f t="shared" ref="H30" si="123">H29/H9</f>
        <v>0.20209422170242317</v>
      </c>
      <c r="I30" s="127">
        <f t="shared" ref="I30" si="124">I29/I9</f>
        <v>0.20198884758364313</v>
      </c>
      <c r="J30" s="127">
        <f t="shared" ref="J30" si="125">J29/J9</f>
        <v>0.1673134042349334</v>
      </c>
      <c r="K30" s="127">
        <f t="shared" ref="K30" si="126">K29/K9</f>
        <v>0.18108336112691531</v>
      </c>
      <c r="L30" s="247">
        <f t="shared" ref="L30" si="127">L29/L9</f>
        <v>0.17034344658152017</v>
      </c>
      <c r="M30" s="247">
        <f t="shared" ref="M30" si="128">M29/M9</f>
        <v>0.22532060841037876</v>
      </c>
      <c r="N30" s="325">
        <f t="shared" ref="N30" si="129">N29/N9</f>
        <v>0.2364751224538934</v>
      </c>
      <c r="O30" s="127">
        <f t="shared" ref="O30" si="130">O29/O9</f>
        <v>0.23507812823676438</v>
      </c>
      <c r="P30" s="127">
        <f t="shared" ref="P30" si="131">P29/P9</f>
        <v>0.24210680251663647</v>
      </c>
      <c r="Q30" s="127">
        <f t="shared" ref="Q30" si="132">Q29/Q9</f>
        <v>0.245309909995967</v>
      </c>
      <c r="R30" s="127">
        <f t="shared" ref="R30" si="133">R29/R9</f>
        <v>0.24833321701470595</v>
      </c>
      <c r="S30" s="127">
        <f t="shared" ref="S30" si="134">S29/S9</f>
        <v>0.25121866696314366</v>
      </c>
      <c r="T30" s="127">
        <f t="shared" ref="T30" si="135">T29/T9</f>
        <v>0.2539715168155473</v>
      </c>
      <c r="U30" s="127">
        <f t="shared" ref="U30" si="136">U29/U9</f>
        <v>0.25687458997404361</v>
      </c>
    </row>
    <row r="31" spans="3:26" ht="18" customHeight="1" x14ac:dyDescent="0.25">
      <c r="C31" s="136" t="s">
        <v>9</v>
      </c>
      <c r="D31" s="137"/>
      <c r="E31" s="137"/>
      <c r="F31" s="137"/>
      <c r="G31" s="127" t="e">
        <f t="shared" ref="G31" si="137">G29/F29-1</f>
        <v>#DIV/0!</v>
      </c>
      <c r="H31" s="127">
        <f t="shared" ref="H31" si="138">H29/G29-1</f>
        <v>0.50729180864113399</v>
      </c>
      <c r="I31" s="127">
        <f t="shared" ref="I31" si="139">I29/H29-1</f>
        <v>-1.7361425083642246E-2</v>
      </c>
      <c r="J31" s="127">
        <f t="shared" ref="J31" si="140">J29/I29-1</f>
        <v>-0.35722830588018772</v>
      </c>
      <c r="K31" s="127">
        <f t="shared" ref="K31" si="141">K29/J29-1</f>
        <v>0.32140300644237652</v>
      </c>
      <c r="L31" s="247">
        <f t="shared" ref="L31" si="142">L29/K29-1</f>
        <v>9.6749729144095298E-2</v>
      </c>
      <c r="M31" s="247">
        <f t="shared" ref="M31" si="143">M29/L29-1</f>
        <v>0.49264052158451044</v>
      </c>
      <c r="N31" s="325">
        <f t="shared" ref="N31" si="144">N29/M29-1</f>
        <v>2.1667212951239634E-2</v>
      </c>
      <c r="O31" s="127">
        <f t="shared" ref="O31" si="145">O29/N29-1</f>
        <v>-1.0529611445411979E-2</v>
      </c>
      <c r="P31" s="127">
        <f t="shared" ref="P31" si="146">P29/O29-1</f>
        <v>7.8448034152967194E-2</v>
      </c>
      <c r="Q31" s="127">
        <f t="shared" ref="Q31" si="147">Q29/P29-1</f>
        <v>5.483102105642379E-2</v>
      </c>
      <c r="R31" s="127">
        <f t="shared" ref="R31" si="148">R29/Q29-1</f>
        <v>5.3958740486366175E-2</v>
      </c>
      <c r="S31" s="127">
        <f t="shared" ref="S31" si="149">S29/R29-1</f>
        <v>5.3294830275622873E-2</v>
      </c>
      <c r="T31" s="127">
        <f t="shared" ref="T31" si="150">T29/S29-1</f>
        <v>5.2676221834042858E-2</v>
      </c>
      <c r="U31" s="127">
        <f t="shared" ref="U31" si="151">U29/T29-1</f>
        <v>5.3238098411448664E-2</v>
      </c>
    </row>
    <row r="32" spans="3:26" ht="18" customHeight="1" x14ac:dyDescent="0.25">
      <c r="C32" s="136" t="s">
        <v>151</v>
      </c>
      <c r="D32" s="137"/>
      <c r="E32" s="137"/>
      <c r="F32" s="137"/>
      <c r="G32" s="139">
        <f>(G12+G16+G18+G22+G14)-(F12+F16+F18+F22+F14)-G27+F27</f>
        <v>38125</v>
      </c>
      <c r="H32" s="139">
        <f t="shared" ref="H32:U32" si="152">(H12+H16+H18+H22+H14)-(G12+G16+G18+G22+G14)-H27+G27</f>
        <v>5538</v>
      </c>
      <c r="I32" s="139">
        <f t="shared" si="152"/>
        <v>-730</v>
      </c>
      <c r="J32" s="139">
        <f t="shared" si="152"/>
        <v>-8170</v>
      </c>
      <c r="K32" s="139">
        <f t="shared" si="152"/>
        <v>6978</v>
      </c>
      <c r="L32" s="268">
        <f t="shared" si="152"/>
        <v>6638</v>
      </c>
      <c r="M32" s="268">
        <f t="shared" si="152"/>
        <v>3571</v>
      </c>
      <c r="N32" s="329">
        <f t="shared" si="152"/>
        <v>-2106.1415876932324</v>
      </c>
      <c r="O32" s="139">
        <f t="shared" si="152"/>
        <v>-140.97576485090849</v>
      </c>
      <c r="P32" s="139">
        <f t="shared" si="152"/>
        <v>1864.7224774731521</v>
      </c>
      <c r="Q32" s="139">
        <f t="shared" si="152"/>
        <v>1890.3562642731576</v>
      </c>
      <c r="R32" s="139">
        <f t="shared" si="152"/>
        <v>1975.6270074506974</v>
      </c>
      <c r="S32" s="139">
        <f t="shared" si="152"/>
        <v>2062.1298351702167</v>
      </c>
      <c r="T32" s="139">
        <f t="shared" si="152"/>
        <v>2152.5185982332805</v>
      </c>
      <c r="U32" s="139">
        <f t="shared" si="152"/>
        <v>2223.8465906939077</v>
      </c>
    </row>
    <row r="33" spans="3:23" ht="18" customHeight="1" x14ac:dyDescent="0.25">
      <c r="C33" s="13" t="s">
        <v>125</v>
      </c>
      <c r="D33" s="13"/>
      <c r="E33" s="13"/>
      <c r="F33" s="13"/>
      <c r="G33" s="46">
        <f>HLOOKUP(G$2,Model!$D$4:$DD$377,50-3,FALSE)</f>
        <v>8508</v>
      </c>
      <c r="H33" s="46">
        <f>HLOOKUP(H$2,Model!$D$4:$DD$377,50-3,FALSE)</f>
        <v>11445</v>
      </c>
      <c r="I33" s="46">
        <f>HLOOKUP(I$2,Model!$D$4:$DD$377,50-3,FALSE)</f>
        <v>11103</v>
      </c>
      <c r="J33" s="46">
        <f>HLOOKUP(J$2,Model!$D$4:$DD$377,50-3,FALSE)</f>
        <v>7339</v>
      </c>
      <c r="K33" s="46">
        <f>HLOOKUP(K$2,Model!$D$4:$DD$377,50-3,FALSE)</f>
        <v>9320</v>
      </c>
      <c r="L33" s="46">
        <f>HLOOKUP(L$2,Model!$D$4:$DD$377,50-3,FALSE)</f>
        <v>11347</v>
      </c>
      <c r="M33" s="46">
        <f>HLOOKUP(M$2,Model!$D$4:$DD$377,50-3,FALSE)</f>
        <v>15890</v>
      </c>
      <c r="N33" s="326">
        <f>HLOOKUP(N$2,Model!$D$4:$DD$377,50-3,FALSE)</f>
        <v>15839.39158769323</v>
      </c>
      <c r="O33" s="46">
        <f>HLOOKUP(O$2,Model!$D$4:$DD$377,50-3,FALSE)</f>
        <v>15274.841852544148</v>
      </c>
      <c r="P33" s="46">
        <f>HLOOKUP(P$2,Model!$D$4:$DD$377,50-3,FALSE)</f>
        <v>16473.123167873706</v>
      </c>
      <c r="Q33" s="46">
        <f>HLOOKUP(Q$2,Model!$D$4:$DD$377,50-3,FALSE)</f>
        <v>17376.361331156451</v>
      </c>
      <c r="R33" s="46">
        <f>HLOOKUP(R$2,Model!$D$4:$DD$377,50-3,FALSE)</f>
        <v>18313.967902821649</v>
      </c>
      <c r="S33" s="46">
        <f>HLOOKUP(S$2,Model!$D$4:$DD$377,50-3,FALSE)</f>
        <v>19290.007713875733</v>
      </c>
      <c r="T33" s="46">
        <f>HLOOKUP(T$2,Model!$D$4:$DD$377,50-3,FALSE)</f>
        <v>20306.132439392248</v>
      </c>
      <c r="U33" s="46">
        <f>HLOOKUP(U$2,Model!$D$4:$DD$377,50-3,FALSE)</f>
        <v>21387.19231655652</v>
      </c>
    </row>
    <row r="34" spans="3:23" ht="18" customHeight="1" x14ac:dyDescent="0.25">
      <c r="C34" s="516" t="s">
        <v>8</v>
      </c>
      <c r="D34" s="517"/>
      <c r="E34" s="517"/>
      <c r="F34" s="517"/>
      <c r="G34" s="518">
        <f t="shared" ref="G34" si="153">G33/G9</f>
        <v>0.18714530816946021</v>
      </c>
      <c r="H34" s="518">
        <f t="shared" ref="H34" si="154">H33/H9</f>
        <v>0.20914805745404041</v>
      </c>
      <c r="I34" s="518">
        <f t="shared" ref="I34" si="155">I33/I9</f>
        <v>0.20637546468401488</v>
      </c>
      <c r="J34" s="518">
        <f t="shared" ref="J34" si="156">J33/J9</f>
        <v>0.17579285235220848</v>
      </c>
      <c r="K34" s="518">
        <f t="shared" ref="K34" si="157">K33/K9</f>
        <v>0.18284907104039552</v>
      </c>
      <c r="L34" s="519">
        <f t="shared" ref="L34" si="158">L33/L9</f>
        <v>0.19094014505191242</v>
      </c>
      <c r="M34" s="519">
        <f t="shared" ref="M34" si="159">M33/M9</f>
        <v>0.23695198329853862</v>
      </c>
      <c r="N34" s="520">
        <f t="shared" ref="N34" si="160">N33/N9</f>
        <v>0.24263309277462103</v>
      </c>
      <c r="O34" s="518">
        <f t="shared" ref="O34" si="161">O33/O9</f>
        <v>0.23507812823676438</v>
      </c>
      <c r="P34" s="518">
        <f t="shared" ref="P34" si="162">P33/P9</f>
        <v>0.24210680251663647</v>
      </c>
      <c r="Q34" s="518">
        <f t="shared" ref="Q34" si="163">Q33/Q9</f>
        <v>0.245309909995967</v>
      </c>
      <c r="R34" s="518">
        <f t="shared" ref="R34" si="164">R33/R9</f>
        <v>0.24833321701470595</v>
      </c>
      <c r="S34" s="518">
        <f t="shared" ref="S34" si="165">S33/S9</f>
        <v>0.25121866696314366</v>
      </c>
      <c r="T34" s="518">
        <f t="shared" ref="T34" si="166">T33/T9</f>
        <v>0.2539715168155473</v>
      </c>
      <c r="U34" s="518">
        <f t="shared" ref="U34" si="167">U33/U9</f>
        <v>0.25687458997404361</v>
      </c>
    </row>
    <row r="35" spans="3:23" ht="18" customHeight="1" x14ac:dyDescent="0.25">
      <c r="C35" s="516"/>
      <c r="D35" s="517"/>
      <c r="E35" s="517"/>
      <c r="F35" s="517"/>
      <c r="G35" s="518"/>
      <c r="H35" s="518"/>
      <c r="I35" s="518"/>
      <c r="J35" s="518"/>
      <c r="K35" s="518"/>
      <c r="L35" s="519"/>
      <c r="M35" s="519"/>
      <c r="N35" s="520"/>
      <c r="O35" s="518"/>
      <c r="P35" s="518"/>
      <c r="Q35" s="518"/>
      <c r="R35" s="518"/>
      <c r="S35" s="518"/>
      <c r="T35" s="518"/>
      <c r="U35" s="518"/>
    </row>
    <row r="36" spans="3:23" ht="18" customHeight="1" x14ac:dyDescent="0.25">
      <c r="C36" s="458" t="s">
        <v>7</v>
      </c>
      <c r="D36" s="517"/>
      <c r="E36" s="517"/>
      <c r="F36" s="517"/>
      <c r="G36" s="76">
        <f>G29</f>
        <v>7337</v>
      </c>
      <c r="H36" s="76">
        <f t="shared" ref="H36:U36" si="168">H29</f>
        <v>11059</v>
      </c>
      <c r="I36" s="76">
        <f t="shared" si="168"/>
        <v>10867</v>
      </c>
      <c r="J36" s="76">
        <f t="shared" si="168"/>
        <v>6985</v>
      </c>
      <c r="K36" s="76">
        <f t="shared" si="168"/>
        <v>9230</v>
      </c>
      <c r="L36" s="76">
        <f t="shared" si="168"/>
        <v>10123</v>
      </c>
      <c r="M36" s="76">
        <f t="shared" si="168"/>
        <v>15110</v>
      </c>
      <c r="N36" s="572">
        <f t="shared" si="168"/>
        <v>15437.39158769323</v>
      </c>
      <c r="O36" s="76">
        <f t="shared" si="168"/>
        <v>15274.841852544148</v>
      </c>
      <c r="P36" s="76">
        <f t="shared" si="168"/>
        <v>16473.123167873706</v>
      </c>
      <c r="Q36" s="76">
        <f t="shared" si="168"/>
        <v>17376.361331156451</v>
      </c>
      <c r="R36" s="76">
        <f t="shared" si="168"/>
        <v>18313.967902821649</v>
      </c>
      <c r="S36" s="76">
        <f t="shared" si="168"/>
        <v>19290.007713875733</v>
      </c>
      <c r="T36" s="76">
        <f t="shared" si="168"/>
        <v>20306.132439392248</v>
      </c>
      <c r="U36" s="76">
        <f t="shared" si="168"/>
        <v>21387.19231655652</v>
      </c>
    </row>
    <row r="37" spans="3:23" ht="18" customHeight="1" x14ac:dyDescent="0.25">
      <c r="C37" s="2" t="s">
        <v>121</v>
      </c>
      <c r="G37" s="27">
        <f>HLOOKUP(G$2,Model!$D$4:$DD$377,147-3,FALSE)</f>
        <v>-531</v>
      </c>
      <c r="H37" s="27">
        <f>HLOOKUP(H$2,Model!$D$4:$DD$377,147-3,FALSE)</f>
        <v>-404</v>
      </c>
      <c r="I37" s="27">
        <f>HLOOKUP(I$2,Model!$D$4:$DD$377,147-3,FALSE)</f>
        <v>-421</v>
      </c>
      <c r="J37" s="27">
        <f>HLOOKUP(J$2,Model!$D$4:$DD$377,147-3,FALSE)</f>
        <v>-514</v>
      </c>
      <c r="K37" s="27">
        <f>HLOOKUP(K$2,Model!$D$4:$DD$377,147-3,FALSE)</f>
        <v>-488</v>
      </c>
      <c r="L37" s="235">
        <f>HLOOKUP(L$2,Model!$D$4:$DD$377,147-3,FALSE)</f>
        <v>-443</v>
      </c>
      <c r="M37" s="235">
        <f>HLOOKUP(M$2,Model!$D$4:$DD$377,147-3,FALSE)</f>
        <v>-511</v>
      </c>
      <c r="N37" s="323">
        <f>HLOOKUP(N$2,Model!$D$4:$DD$377,147-3,FALSE)</f>
        <v>-530</v>
      </c>
      <c r="O37" s="27">
        <f>HLOOKUP(O$2,Model!$D$4:$DD$377,147-3,FALSE)</f>
        <v>-497.93658925318761</v>
      </c>
      <c r="P37" s="27">
        <f>HLOOKUP(P$2,Model!$D$4:$DD$377,147-3,FALSE)</f>
        <v>-497.93658925318761</v>
      </c>
      <c r="Q37" s="27">
        <f>HLOOKUP(Q$2,Model!$D$4:$DD$377,147-3,FALSE)</f>
        <v>-497.93658925318761</v>
      </c>
      <c r="R37" s="27">
        <f>HLOOKUP(R$2,Model!$D$4:$DD$377,147-3,FALSE)</f>
        <v>-497.93658925318761</v>
      </c>
      <c r="S37" s="27">
        <f>HLOOKUP(S$2,Model!$D$4:$DD$377,147-3,FALSE)</f>
        <v>-488.34690175318764</v>
      </c>
      <c r="T37" s="27">
        <f>HLOOKUP(T$2,Model!$D$4:$DD$377,147-3,FALSE)</f>
        <v>-485.15033925318761</v>
      </c>
      <c r="U37" s="27">
        <f>HLOOKUP(U$2,Model!$D$4:$DD$377,147-3,FALSE)</f>
        <v>-462.55058925318764</v>
      </c>
    </row>
    <row r="38" spans="3:23" ht="18" customHeight="1" x14ac:dyDescent="0.25">
      <c r="C38" s="2" t="s">
        <v>548</v>
      </c>
      <c r="G38" s="27">
        <f>HLOOKUP(G$2,Model!$D$4:$DD$377,143-3,FALSE)</f>
        <v>-2126</v>
      </c>
      <c r="H38" s="27">
        <f>HLOOKUP(H$2,Model!$D$4:$DD$377,143-3,FALSE)</f>
        <v>-1478</v>
      </c>
      <c r="I38" s="27">
        <f>HLOOKUP(I$2,Model!$D$4:$DD$377,143-3,FALSE)</f>
        <v>-1718</v>
      </c>
      <c r="J38" s="27">
        <f>HLOOKUP(J$2,Model!$D$4:$DD$377,143-3,FALSE)</f>
        <v>-1080</v>
      </c>
      <c r="K38" s="27">
        <f>HLOOKUP(K$2,Model!$D$4:$DD$377,143-3,FALSE)</f>
        <v>-2125</v>
      </c>
      <c r="L38" s="235">
        <f>HLOOKUP(L$2,Model!$D$4:$DD$377,143-3,FALSE)</f>
        <v>-2444</v>
      </c>
      <c r="M38" s="235">
        <f>HLOOKUP(M$2,Model!$D$4:$DD$377,143-3,FALSE)</f>
        <v>-3373</v>
      </c>
      <c r="N38" s="323">
        <f>HLOOKUP(N$2,Model!$D$4:$DD$377,143-3,FALSE)</f>
        <v>-3186.9181072309761</v>
      </c>
      <c r="O38" s="27">
        <f>HLOOKUP(O$2,Model!$D$4:$DD$377,143-3,FALSE)</f>
        <v>-2904.9937342404664</v>
      </c>
      <c r="P38" s="27">
        <f>HLOOKUP(P$2,Model!$D$4:$DD$377,143-3,FALSE)</f>
        <v>-3156.6528536896158</v>
      </c>
      <c r="Q38" s="27">
        <f>HLOOKUP(Q$2,Model!$D$4:$DD$377,143-3,FALSE)</f>
        <v>-3345.5784296482361</v>
      </c>
      <c r="R38" s="27">
        <f>HLOOKUP(R$2,Model!$D$4:$DD$377,143-3,FALSE)</f>
        <v>-3545.6985655273038</v>
      </c>
      <c r="S38" s="27">
        <f>HLOOKUP(S$2,Model!$D$4:$DD$377,143-3,FALSE)</f>
        <v>-3756.4070331014618</v>
      </c>
      <c r="T38" s="27">
        <f>HLOOKUP(T$2,Model!$D$4:$DD$377,143-3,FALSE)</f>
        <v>-3974.4749899126541</v>
      </c>
      <c r="U38" s="27">
        <f>HLOOKUP(U$2,Model!$D$4:$DD$377,143-3,FALSE)</f>
        <v>-4211.293486372243</v>
      </c>
    </row>
    <row r="39" spans="3:23" ht="18" customHeight="1" x14ac:dyDescent="0.25">
      <c r="C39" s="2" t="s">
        <v>565</v>
      </c>
      <c r="G39" s="27">
        <f>HLOOKUP(G$2,Model!$D$4:$DD$377,144-3,FALSE)+HLOOKUP(G$2,Model!$D$4:$DD$377,145-3,FALSE)+HLOOKUP(G$2,Model!$D$4:$DD$377,146-3,FALSE)</f>
        <v>301</v>
      </c>
      <c r="H39" s="27">
        <f>HLOOKUP(H$2,Model!$D$4:$DD$377,144-3,FALSE)+HLOOKUP(H$2,Model!$D$4:$DD$377,145-3,FALSE)+HLOOKUP(H$2,Model!$D$4:$DD$377,146-3,FALSE)</f>
        <v>495</v>
      </c>
      <c r="I39" s="27">
        <f>HLOOKUP(I$2,Model!$D$4:$DD$377,144-3,FALSE)+HLOOKUP(I$2,Model!$D$4:$DD$377,145-3,FALSE)+HLOOKUP(I$2,Model!$D$4:$DD$377,146-3,FALSE)</f>
        <v>468</v>
      </c>
      <c r="J39" s="27">
        <f>HLOOKUP(J$2,Model!$D$4:$DD$377,144-3,FALSE)+HLOOKUP(J$2,Model!$D$4:$DD$377,145-3,FALSE)+HLOOKUP(J$2,Model!$D$4:$DD$377,146-3,FALSE)</f>
        <v>383</v>
      </c>
      <c r="K39" s="27">
        <f>HLOOKUP(K$2,Model!$D$4:$DD$377,144-3,FALSE)+HLOOKUP(K$2,Model!$D$4:$DD$377,145-3,FALSE)+HLOOKUP(K$2,Model!$D$4:$DD$377,146-3,FALSE)</f>
        <v>-833</v>
      </c>
      <c r="L39" s="235">
        <f>HLOOKUP(L$2,Model!$D$4:$DD$377,144-3,FALSE)+HLOOKUP(L$2,Model!$D$4:$DD$377,145-3,FALSE)+HLOOKUP(L$2,Model!$D$4:$DD$377,146-3,FALSE)</f>
        <v>319</v>
      </c>
      <c r="M39" s="235">
        <f>HLOOKUP(M$2,Model!$D$4:$DD$377,144-3,FALSE)+HLOOKUP(M$2,Model!$D$4:$DD$377,145-3,FALSE)+HLOOKUP(M$2,Model!$D$4:$DD$377,146-3,FALSE)</f>
        <v>475</v>
      </c>
      <c r="N39" s="323">
        <f>HLOOKUP(N$2,Model!$D$4:$DD$377,144-3,FALSE)+HLOOKUP(N$2,Model!$D$4:$DD$377,145-3,FALSE)+HLOOKUP(N$2,Model!$D$4:$DD$377,146-3,FALSE)</f>
        <v>164</v>
      </c>
      <c r="O39" s="27">
        <f>HLOOKUP(O$2,Model!$D$4:$DD$377,144-3,FALSE)+HLOOKUP(O$2,Model!$D$4:$DD$377,145-3,FALSE)+HLOOKUP(O$2,Model!$D$4:$DD$377,146-3,FALSE)</f>
        <v>0</v>
      </c>
      <c r="P39" s="27">
        <f>HLOOKUP(P$2,Model!$D$4:$DD$377,144-3,FALSE)+HLOOKUP(P$2,Model!$D$4:$DD$377,145-3,FALSE)+HLOOKUP(P$2,Model!$D$4:$DD$377,146-3,FALSE)</f>
        <v>0</v>
      </c>
      <c r="Q39" s="27">
        <f>HLOOKUP(Q$2,Model!$D$4:$DD$377,144-3,FALSE)+HLOOKUP(Q$2,Model!$D$4:$DD$377,145-3,FALSE)+HLOOKUP(Q$2,Model!$D$4:$DD$377,146-3,FALSE)</f>
        <v>0</v>
      </c>
      <c r="R39" s="27">
        <f>HLOOKUP(R$2,Model!$D$4:$DD$377,144-3,FALSE)+HLOOKUP(R$2,Model!$D$4:$DD$377,145-3,FALSE)+HLOOKUP(R$2,Model!$D$4:$DD$377,146-3,FALSE)</f>
        <v>0</v>
      </c>
      <c r="S39" s="27">
        <f>HLOOKUP(S$2,Model!$D$4:$DD$377,144-3,FALSE)+HLOOKUP(S$2,Model!$D$4:$DD$377,145-3,FALSE)+HLOOKUP(S$2,Model!$D$4:$DD$377,146-3,FALSE)</f>
        <v>0</v>
      </c>
      <c r="T39" s="27">
        <f>HLOOKUP(T$2,Model!$D$4:$DD$377,144-3,FALSE)+HLOOKUP(T$2,Model!$D$4:$DD$377,145-3,FALSE)+HLOOKUP(T$2,Model!$D$4:$DD$377,146-3,FALSE)</f>
        <v>0</v>
      </c>
      <c r="U39" s="27">
        <f>HLOOKUP(U$2,Model!$D$4:$DD$377,144-3,FALSE)+HLOOKUP(U$2,Model!$D$4:$DD$377,145-3,FALSE)+HLOOKUP(U$2,Model!$D$4:$DD$377,146-3,FALSE)</f>
        <v>0</v>
      </c>
    </row>
    <row r="40" spans="3:23" ht="18" customHeight="1" x14ac:dyDescent="0.25">
      <c r="C40" s="2" t="s">
        <v>524</v>
      </c>
      <c r="G40" s="27">
        <f>HLOOKUP(G$2,Model!$D$4:$DD$377,148-3,FALSE)</f>
        <v>153</v>
      </c>
      <c r="H40" s="27">
        <f>HLOOKUP(H$2,Model!$D$4:$DD$377,148-3,FALSE)</f>
        <v>-67</v>
      </c>
      <c r="I40" s="27">
        <f>HLOOKUP(I$2,Model!$D$4:$DD$377,148-3,FALSE)</f>
        <v>-57</v>
      </c>
      <c r="J40" s="27">
        <f>HLOOKUP(J$2,Model!$D$4:$DD$377,148-3,FALSE)</f>
        <v>-44</v>
      </c>
      <c r="K40" s="27">
        <f>HLOOKUP(K$2,Model!$D$4:$DD$377,148-3,FALSE)</f>
        <v>1814</v>
      </c>
      <c r="L40" s="235">
        <f>HLOOKUP(L$2,Model!$D$4:$DD$377,148-3,FALSE)</f>
        <v>1291</v>
      </c>
      <c r="M40" s="235">
        <f>HLOOKUP(M$2,Model!$D$4:$DD$377,148-3,FALSE)</f>
        <v>595</v>
      </c>
      <c r="N40" s="323">
        <f>HLOOKUP(N$2,Model!$D$4:$DD$377,148-3,FALSE)</f>
        <v>487</v>
      </c>
      <c r="O40" s="27">
        <f>HLOOKUP(O$2,Model!$D$4:$DD$377,148-3,FALSE)</f>
        <v>400</v>
      </c>
      <c r="P40" s="27">
        <f>HLOOKUP(P$2,Model!$D$4:$DD$377,148-3,FALSE)</f>
        <v>400</v>
      </c>
      <c r="Q40" s="27">
        <f>HLOOKUP(Q$2,Model!$D$4:$DD$377,148-3,FALSE)</f>
        <v>400</v>
      </c>
      <c r="R40" s="27">
        <f>HLOOKUP(R$2,Model!$D$4:$DD$377,148-3,FALSE)</f>
        <v>400</v>
      </c>
      <c r="S40" s="27">
        <f>HLOOKUP(S$2,Model!$D$4:$DD$377,148-3,FALSE)</f>
        <v>400</v>
      </c>
      <c r="T40" s="27">
        <f>HLOOKUP(T$2,Model!$D$4:$DD$377,148-3,FALSE)</f>
        <v>400</v>
      </c>
      <c r="U40" s="27">
        <f>HLOOKUP(U$2,Model!$D$4:$DD$377,148-3,FALSE)</f>
        <v>400</v>
      </c>
    </row>
    <row r="41" spans="3:23" ht="18" customHeight="1" x14ac:dyDescent="0.25">
      <c r="C41" s="2" t="s">
        <v>523</v>
      </c>
      <c r="G41" s="27">
        <f>HLOOKUP(G$2,Model!$D$4:$DD$377,149-3,FALSE)</f>
        <v>16</v>
      </c>
      <c r="H41" s="27">
        <f>HLOOKUP(H$2,Model!$D$4:$DD$377,149-3,FALSE)</f>
        <v>24</v>
      </c>
      <c r="I41" s="27">
        <f>HLOOKUP(I$2,Model!$D$4:$DD$377,149-3,FALSE)</f>
        <v>28</v>
      </c>
      <c r="J41" s="27">
        <f>HLOOKUP(J$2,Model!$D$4:$DD$377,149-3,FALSE)</f>
        <v>14</v>
      </c>
      <c r="K41" s="27">
        <f>HLOOKUP(K$2,Model!$D$4:$DD$377,149-3,FALSE)</f>
        <v>31</v>
      </c>
      <c r="L41" s="235">
        <f>HLOOKUP(L$2,Model!$D$4:$DD$377,149-3,FALSE)</f>
        <v>19</v>
      </c>
      <c r="M41" s="235">
        <f>HLOOKUP(M$2,Model!$D$4:$DD$377,149-3,FALSE)</f>
        <v>63</v>
      </c>
      <c r="N41" s="323">
        <f>HLOOKUP(N$2,Model!$D$4:$DD$377,149-3,FALSE)</f>
        <v>44</v>
      </c>
      <c r="O41" s="27">
        <f>HLOOKUP(O$2,Model!$D$4:$DD$377,149-3,FALSE)</f>
        <v>40</v>
      </c>
      <c r="P41" s="27">
        <f>HLOOKUP(P$2,Model!$D$4:$DD$377,149-3,FALSE)</f>
        <v>40</v>
      </c>
      <c r="Q41" s="27">
        <f>HLOOKUP(Q$2,Model!$D$4:$DD$377,149-3,FALSE)</f>
        <v>40</v>
      </c>
      <c r="R41" s="27">
        <f>HLOOKUP(R$2,Model!$D$4:$DD$377,149-3,FALSE)</f>
        <v>40</v>
      </c>
      <c r="S41" s="27">
        <f>HLOOKUP(S$2,Model!$D$4:$DD$377,149-3,FALSE)</f>
        <v>40</v>
      </c>
      <c r="T41" s="27">
        <f>HLOOKUP(T$2,Model!$D$4:$DD$377,149-3,FALSE)</f>
        <v>40</v>
      </c>
      <c r="U41" s="27">
        <f>HLOOKUP(U$2,Model!$D$4:$DD$377,149-3,FALSE)</f>
        <v>40</v>
      </c>
    </row>
    <row r="42" spans="3:23" ht="18" customHeight="1" x14ac:dyDescent="0.25">
      <c r="C42" s="2" t="s">
        <v>525</v>
      </c>
      <c r="G42" s="27">
        <f>HLOOKUP(G$2,Model!$D$4:$DD$377,150-3,FALSE)</f>
        <v>750</v>
      </c>
      <c r="H42" s="27">
        <f>HLOOKUP(H$2,Model!$D$4:$DD$377,150-3,FALSE)</f>
        <v>1006</v>
      </c>
      <c r="I42" s="27">
        <f>HLOOKUP(I$2,Model!$D$4:$DD$377,150-3,FALSE)</f>
        <v>675</v>
      </c>
      <c r="J42" s="27">
        <f>HLOOKUP(J$2,Model!$D$4:$DD$377,150-3,FALSE)</f>
        <v>1000</v>
      </c>
      <c r="K42" s="27">
        <f>HLOOKUP(K$2,Model!$D$4:$DD$377,150-3,FALSE)</f>
        <v>216</v>
      </c>
      <c r="L42" s="235">
        <f>HLOOKUP(L$2,Model!$D$4:$DD$377,150-3,FALSE)</f>
        <v>701</v>
      </c>
      <c r="M42" s="235">
        <f>HLOOKUP(M$2,Model!$D$4:$DD$377,150-3,FALSE)</f>
        <v>375</v>
      </c>
      <c r="N42" s="323">
        <f>HLOOKUP(N$2,Model!$D$4:$DD$377,150-3,FALSE)</f>
        <v>221</v>
      </c>
      <c r="O42" s="27">
        <f>HLOOKUP(O$2,Model!$D$4:$DD$377,150-3,FALSE)</f>
        <v>0</v>
      </c>
      <c r="P42" s="27">
        <f>HLOOKUP(P$2,Model!$D$4:$DD$377,150-3,FALSE)</f>
        <v>0</v>
      </c>
      <c r="Q42" s="27">
        <f>HLOOKUP(Q$2,Model!$D$4:$DD$377,150-3,FALSE)</f>
        <v>0</v>
      </c>
      <c r="R42" s="27">
        <f>HLOOKUP(R$2,Model!$D$4:$DD$377,150-3,FALSE)</f>
        <v>0</v>
      </c>
      <c r="S42" s="27">
        <f>HLOOKUP(S$2,Model!$D$4:$DD$377,150-3,FALSE)</f>
        <v>0</v>
      </c>
      <c r="T42" s="27">
        <f>HLOOKUP(T$2,Model!$D$4:$DD$377,150-3,FALSE)</f>
        <v>0</v>
      </c>
      <c r="U42" s="27">
        <f>HLOOKUP(U$2,Model!$D$4:$DD$377,150-3,FALSE)</f>
        <v>0</v>
      </c>
    </row>
    <row r="43" spans="3:23" ht="18" customHeight="1" x14ac:dyDescent="0.25">
      <c r="C43" s="2" t="s">
        <v>526</v>
      </c>
      <c r="G43" s="27">
        <f>HLOOKUP(G$2,Model!$D$4:$DD$377,160-3,FALSE)</f>
        <v>-194</v>
      </c>
      <c r="H43" s="27">
        <f>HLOOKUP(H$2,Model!$D$4:$DD$377,160-3,FALSE)</f>
        <v>-2617</v>
      </c>
      <c r="I43" s="27">
        <f>HLOOKUP(I$2,Model!$D$4:$DD$377,160-3,FALSE)</f>
        <v>-2035</v>
      </c>
      <c r="J43" s="27">
        <f>HLOOKUP(J$2,Model!$D$4:$DD$377,160-3,FALSE)</f>
        <v>-51</v>
      </c>
      <c r="K43" s="27">
        <f>HLOOKUP(K$2,Model!$D$4:$DD$377,160-3,FALSE)</f>
        <v>-614</v>
      </c>
      <c r="L43" s="235">
        <f>HLOOKUP(L$2,Model!$D$4:$DD$377,160-3,FALSE)</f>
        <v>-998</v>
      </c>
      <c r="M43" s="235">
        <f>HLOOKUP(M$2,Model!$D$4:$DD$377,160-3,FALSE)</f>
        <v>-345</v>
      </c>
      <c r="N43" s="323">
        <f>HLOOKUP(N$2,Model!$D$4:$DD$377,160-3,FALSE)</f>
        <v>219.96986832613038</v>
      </c>
      <c r="O43" s="27">
        <f>HLOOKUP(O$2,Model!$D$4:$DD$377,160-3,FALSE)</f>
        <v>-131.02615497681472</v>
      </c>
      <c r="P43" s="27">
        <f>HLOOKUP(P$2,Model!$D$4:$DD$377,160-3,FALSE)</f>
        <v>-374.8467230875483</v>
      </c>
      <c r="Q43" s="27">
        <f>HLOOKUP(Q$2,Model!$D$4:$DD$377,160-3,FALSE)</f>
        <v>-383.12312876767305</v>
      </c>
      <c r="R43" s="27">
        <f>HLOOKUP(R$2,Model!$D$4:$DD$377,160-3,FALSE)</f>
        <v>-396.98818742640105</v>
      </c>
      <c r="S43" s="27">
        <f>HLOOKUP(S$2,Model!$D$4:$DD$377,160-3,FALSE)</f>
        <v>-414.35986131978507</v>
      </c>
      <c r="T43" s="27">
        <f>HLOOKUP(T$2,Model!$D$4:$DD$377,160-3,FALSE)</f>
        <v>-432.51653733350895</v>
      </c>
      <c r="U43" s="27">
        <f>HLOOKUP(U$2,Model!$D$4:$DD$377,160-3,FALSE)</f>
        <v>-446.86663904734451</v>
      </c>
    </row>
    <row r="44" spans="3:23" ht="18" customHeight="1" collapsed="1" x14ac:dyDescent="0.25">
      <c r="C44" s="10" t="s">
        <v>527</v>
      </c>
      <c r="D44" s="10"/>
      <c r="E44" s="10"/>
      <c r="F44" s="10"/>
      <c r="G44" s="125">
        <f t="shared" ref="G44:L44" si="169">G45-SUM(G36,G37:G43)</f>
        <v>-0.28000000000065484</v>
      </c>
      <c r="H44" s="125">
        <f t="shared" si="169"/>
        <v>-1460</v>
      </c>
      <c r="I44" s="125">
        <f t="shared" si="169"/>
        <v>-895</v>
      </c>
      <c r="J44" s="125">
        <f t="shared" si="169"/>
        <v>-366</v>
      </c>
      <c r="K44" s="125">
        <f t="shared" si="169"/>
        <v>-33</v>
      </c>
      <c r="L44" s="242">
        <f t="shared" si="169"/>
        <v>-802</v>
      </c>
      <c r="M44" s="242">
        <f>M45-SUM(M36,M37:M43)</f>
        <v>496</v>
      </c>
      <c r="N44" s="327">
        <f t="shared" ref="N44:U44" si="170">N45-SUM(N36,N37:N43)</f>
        <v>1.999999999998181</v>
      </c>
      <c r="O44" s="125">
        <f t="shared" si="170"/>
        <v>0</v>
      </c>
      <c r="P44" s="125">
        <f t="shared" si="170"/>
        <v>0</v>
      </c>
      <c r="Q44" s="125">
        <f t="shared" si="170"/>
        <v>0</v>
      </c>
      <c r="R44" s="125">
        <f t="shared" si="170"/>
        <v>0</v>
      </c>
      <c r="S44" s="125">
        <f t="shared" si="170"/>
        <v>0</v>
      </c>
      <c r="T44" s="125">
        <f t="shared" si="170"/>
        <v>0</v>
      </c>
      <c r="U44" s="125">
        <f t="shared" si="170"/>
        <v>0</v>
      </c>
    </row>
    <row r="45" spans="3:23" ht="18" customHeight="1" x14ac:dyDescent="0.25">
      <c r="C45" s="19" t="s">
        <v>177</v>
      </c>
      <c r="D45" s="19"/>
      <c r="E45" s="19"/>
      <c r="F45" s="19"/>
      <c r="G45" s="77">
        <f>HLOOKUP(G$2,Model!$D$4:$DD$377,162-3,FALSE)</f>
        <v>5705.7199999999993</v>
      </c>
      <c r="H45" s="77">
        <f>HLOOKUP(H$2,Model!$D$4:$DD$377,162-3,FALSE)</f>
        <v>6558</v>
      </c>
      <c r="I45" s="77">
        <f>HLOOKUP(I$2,Model!$D$4:$DD$377,162-3,FALSE)</f>
        <v>6912</v>
      </c>
      <c r="J45" s="77">
        <f>HLOOKUP(J$2,Model!$D$4:$DD$377,162-3,FALSE)</f>
        <v>6327</v>
      </c>
      <c r="K45" s="77">
        <f>HLOOKUP(K$2,Model!$D$4:$DD$377,162-3,FALSE)</f>
        <v>7198</v>
      </c>
      <c r="L45" s="77">
        <f>HLOOKUP(L$2,Model!$D$4:$DD$377,162-3,FALSE)</f>
        <v>7766</v>
      </c>
      <c r="M45" s="77">
        <f>HLOOKUP(M$2,Model!$D$4:$DD$377,162-3,FALSE)</f>
        <v>12885</v>
      </c>
      <c r="N45" s="330">
        <f>HLOOKUP(N$2,Model!$D$4:$DD$377,162-3,FALSE)</f>
        <v>12858.443348788382</v>
      </c>
      <c r="O45" s="77">
        <f>HLOOKUP(O$2,Model!$D$4:$DD$377,162-3,FALSE)</f>
        <v>12180.885374073681</v>
      </c>
      <c r="P45" s="77">
        <f>HLOOKUP(P$2,Model!$D$4:$DD$377,162-3,FALSE)</f>
        <v>12883.687001843353</v>
      </c>
      <c r="Q45" s="77">
        <f>HLOOKUP(Q$2,Model!$D$4:$DD$377,162-3,FALSE)</f>
        <v>13589.723183487362</v>
      </c>
      <c r="R45" s="77">
        <f>HLOOKUP(R$2,Model!$D$4:$DD$377,162-3,FALSE)</f>
        <v>14313.344560614758</v>
      </c>
      <c r="S45" s="77">
        <f>HLOOKUP(S$2,Model!$D$4:$DD$377,162-3,FALSE)</f>
        <v>15070.893917701304</v>
      </c>
      <c r="T45" s="77">
        <f>HLOOKUP(T$2,Model!$D$4:$DD$377,162-3,FALSE)</f>
        <v>15853.990572892897</v>
      </c>
      <c r="U45" s="77">
        <f>HLOOKUP(U$2,Model!$D$4:$DD$377,162-3,FALSE)</f>
        <v>16706.481601883745</v>
      </c>
    </row>
    <row r="46" spans="3:23" ht="18" customHeight="1" x14ac:dyDescent="0.25">
      <c r="C46" s="377" t="s">
        <v>122</v>
      </c>
      <c r="D46" s="508"/>
      <c r="E46" s="508"/>
      <c r="F46" s="508"/>
      <c r="G46" s="509" t="e">
        <f t="shared" ref="G46" si="171">G45/F45-1</f>
        <v>#DIV/0!</v>
      </c>
      <c r="H46" s="509">
        <f t="shared" ref="H46" si="172">H45/G45-1</f>
        <v>0.1493729099920782</v>
      </c>
      <c r="I46" s="509">
        <f t="shared" ref="I46" si="173">I45/H45-1</f>
        <v>5.3979871912168242E-2</v>
      </c>
      <c r="J46" s="509">
        <f t="shared" ref="J46" si="174">J45/I45-1</f>
        <v>-8.463541666666663E-2</v>
      </c>
      <c r="K46" s="509">
        <f t="shared" ref="K46" si="175">K45/J45-1</f>
        <v>0.13766397976924294</v>
      </c>
      <c r="L46" s="510">
        <f t="shared" ref="L46" si="176">L45/K45-1</f>
        <v>7.8910808557932866E-2</v>
      </c>
      <c r="M46" s="510">
        <f t="shared" ref="M46" si="177">M45/L45-1</f>
        <v>0.65915529229976833</v>
      </c>
      <c r="N46" s="511">
        <f t="shared" ref="N46" si="178">N45/M45-1</f>
        <v>-2.0610517044329368E-3</v>
      </c>
      <c r="O46" s="509">
        <f t="shared" ref="O46" si="179">O45/N45-1</f>
        <v>-5.2693623663127576E-2</v>
      </c>
      <c r="P46" s="509">
        <f t="shared" ref="P46" si="180">P45/O45-1</f>
        <v>5.7697089019944636E-2</v>
      </c>
      <c r="Q46" s="509">
        <f t="shared" ref="Q46" si="181">Q45/P45-1</f>
        <v>5.4800786571653992E-2</v>
      </c>
      <c r="R46" s="509">
        <f t="shared" ref="R46" si="182">R45/Q45-1</f>
        <v>5.3247690726081487E-2</v>
      </c>
      <c r="S46" s="509">
        <f t="shared" ref="S46" si="183">S45/R45-1</f>
        <v>5.2926089627650885E-2</v>
      </c>
      <c r="T46" s="509">
        <f t="shared" ref="T46" si="184">T45/S45-1</f>
        <v>5.1960863069430596E-2</v>
      </c>
      <c r="U46" s="509">
        <f t="shared" ref="U46" si="185">U45/T45-1</f>
        <v>5.3771384880752615E-2</v>
      </c>
    </row>
    <row r="47" spans="3:23" ht="18" customHeight="1" x14ac:dyDescent="0.25">
      <c r="C47" s="2" t="s">
        <v>528</v>
      </c>
      <c r="D47" s="17"/>
      <c r="E47" s="17"/>
      <c r="F47" s="17"/>
      <c r="G47" s="27">
        <f>HLOOKUP(G$2,Model!$D$4:$DD$377,165-3,FALSE)</f>
        <v>-898</v>
      </c>
      <c r="H47" s="27">
        <f>HLOOKUP(H$2,Model!$D$4:$DD$377,165-3,FALSE)</f>
        <v>-1276</v>
      </c>
      <c r="I47" s="27">
        <f>HLOOKUP(I$2,Model!$D$4:$DD$377,165-3,FALSE)</f>
        <v>-1056</v>
      </c>
      <c r="J47" s="27">
        <f>HLOOKUP(J$2,Model!$D$4:$DD$377,165-3,FALSE)</f>
        <v>-978</v>
      </c>
      <c r="K47" s="27">
        <f>HLOOKUP(K$2,Model!$D$4:$DD$377,165-3,FALSE)</f>
        <v>-1093</v>
      </c>
      <c r="L47" s="235">
        <f>HLOOKUP(L$2,Model!$D$4:$DD$377,165-3,FALSE)</f>
        <v>-1296</v>
      </c>
      <c r="M47" s="235">
        <f>HLOOKUP(M$2,Model!$D$4:$DD$377,165-3,FALSE)</f>
        <v>-1597</v>
      </c>
      <c r="N47" s="323">
        <f>HLOOKUP(N$2,Model!$D$4:$DD$377,165-3,FALSE)</f>
        <v>-1932.8</v>
      </c>
      <c r="O47" s="27">
        <f>HLOOKUP(O$2,Model!$D$4:$DD$377,165-3,FALSE)</f>
        <v>-2127.7260000000001</v>
      </c>
      <c r="P47" s="27">
        <f>HLOOKUP(P$2,Model!$D$4:$DD$377,165-3,FALSE)</f>
        <v>-2331.5530200000003</v>
      </c>
      <c r="Q47" s="27">
        <f>HLOOKUP(Q$2,Model!$D$4:$DD$377,165-3,FALSE)</f>
        <v>-2504.2368879000005</v>
      </c>
      <c r="R47" s="27">
        <f>HLOOKUP(R$2,Model!$D$4:$DD$377,165-3,FALSE)</f>
        <v>-2658.5416256580002</v>
      </c>
      <c r="S47" s="27">
        <f>HLOOKUP(S$2,Model!$D$4:$DD$377,165-3,FALSE)</f>
        <v>-2735.9324581711608</v>
      </c>
      <c r="T47" s="27">
        <f>HLOOKUP(T$2,Model!$D$4:$DD$377,165-3,FALSE)</f>
        <v>-2814.8711073345839</v>
      </c>
      <c r="U47" s="27">
        <f>HLOOKUP(U$2,Model!$D$4:$DD$377,165-3,FALSE)</f>
        <v>-2895.3885294812758</v>
      </c>
      <c r="W47" s="69" t="s">
        <v>626</v>
      </c>
    </row>
    <row r="48" spans="3:23" ht="18" customHeight="1" x14ac:dyDescent="0.25">
      <c r="C48" s="10" t="s">
        <v>622</v>
      </c>
      <c r="D48" s="17"/>
      <c r="E48" s="17"/>
      <c r="F48" s="17"/>
      <c r="G48" s="125">
        <f>HLOOKUP(G$2,Model!$D$4:$DD$377,171-3,FALSE)+HLOOKUP(G$2,Model!$D$4:$DD$377,172-3,FALSE)</f>
        <v>41</v>
      </c>
      <c r="H48" s="125">
        <f>HLOOKUP(H$2,Model!$D$4:$DD$377,171-3,FALSE)+HLOOKUP(H$2,Model!$D$4:$DD$377,172-3,FALSE)</f>
        <v>-376</v>
      </c>
      <c r="I48" s="125">
        <f>HLOOKUP(I$2,Model!$D$4:$DD$377,171-3,FALSE)+HLOOKUP(I$2,Model!$D$4:$DD$377,172-3,FALSE)</f>
        <v>-6</v>
      </c>
      <c r="J48" s="125">
        <f>HLOOKUP(J$2,Model!$D$4:$DD$377,171-3,FALSE)+HLOOKUP(J$2,Model!$D$4:$DD$377,172-3,FALSE)</f>
        <v>-86</v>
      </c>
      <c r="K48" s="125">
        <f>HLOOKUP(K$2,Model!$D$4:$DD$377,171-3,FALSE)+HLOOKUP(K$2,Model!$D$4:$DD$377,172-3,FALSE)</f>
        <v>-454</v>
      </c>
      <c r="L48" s="242">
        <f>HLOOKUP(L$2,Model!$D$4:$DD$377,171-3,FALSE)+HLOOKUP(L$2,Model!$D$4:$DD$377,172-3,FALSE)</f>
        <v>-87</v>
      </c>
      <c r="M48" s="242">
        <f>HLOOKUP(M$2,Model!$D$4:$DD$377,171-3,FALSE)+HLOOKUP(M$2,Model!$D$4:$DD$377,172-3,FALSE)</f>
        <v>-79</v>
      </c>
      <c r="N48" s="327">
        <f>HLOOKUP(N$2,Model!$D$4:$DD$377,171-3,FALSE)+HLOOKUP(N$2,Model!$D$4:$DD$377,172-3,FALSE)</f>
        <v>-99</v>
      </c>
      <c r="O48" s="125">
        <f>HLOOKUP(O$2,Model!$D$4:$DD$377,171-3,FALSE)+HLOOKUP(O$2,Model!$D$4:$DD$377,172-3,FALSE)</f>
        <v>0</v>
      </c>
      <c r="P48" s="125">
        <f>HLOOKUP(P$2,Model!$D$4:$DD$377,171-3,FALSE)+HLOOKUP(P$2,Model!$D$4:$DD$377,172-3,FALSE)</f>
        <v>0</v>
      </c>
      <c r="Q48" s="125">
        <f>HLOOKUP(Q$2,Model!$D$4:$DD$377,171-3,FALSE)+HLOOKUP(Q$2,Model!$D$4:$DD$377,172-3,FALSE)</f>
        <v>0</v>
      </c>
      <c r="R48" s="125">
        <f>HLOOKUP(R$2,Model!$D$4:$DD$377,171-3,FALSE)+HLOOKUP(R$2,Model!$D$4:$DD$377,172-3,FALSE)</f>
        <v>0</v>
      </c>
      <c r="S48" s="125">
        <f>HLOOKUP(S$2,Model!$D$4:$DD$377,171-3,FALSE)+HLOOKUP(S$2,Model!$D$4:$DD$377,172-3,FALSE)</f>
        <v>0</v>
      </c>
      <c r="T48" s="125">
        <f>HLOOKUP(T$2,Model!$D$4:$DD$377,171-3,FALSE)+HLOOKUP(T$2,Model!$D$4:$DD$377,172-3,FALSE)</f>
        <v>0</v>
      </c>
      <c r="U48" s="125">
        <f>HLOOKUP(U$2,Model!$D$4:$DD$377,171-3,FALSE)+HLOOKUP(U$2,Model!$D$4:$DD$377,172-3,FALSE)</f>
        <v>0</v>
      </c>
    </row>
    <row r="49" spans="3:30" ht="18" customHeight="1" x14ac:dyDescent="0.25">
      <c r="C49" s="65" t="s">
        <v>529</v>
      </c>
      <c r="D49" s="65"/>
      <c r="E49" s="65"/>
      <c r="F49" s="65"/>
      <c r="G49" s="81">
        <f t="shared" ref="G49" si="186">G45+G47</f>
        <v>4807.7199999999993</v>
      </c>
      <c r="H49" s="81">
        <f t="shared" ref="H49:U49" si="187">H45+H47</f>
        <v>5282</v>
      </c>
      <c r="I49" s="81">
        <f t="shared" si="187"/>
        <v>5856</v>
      </c>
      <c r="J49" s="81">
        <f t="shared" si="187"/>
        <v>5349</v>
      </c>
      <c r="K49" s="81">
        <f t="shared" si="187"/>
        <v>6105</v>
      </c>
      <c r="L49" s="81">
        <f t="shared" si="187"/>
        <v>6470</v>
      </c>
      <c r="M49" s="81">
        <f t="shared" si="187"/>
        <v>11288</v>
      </c>
      <c r="N49" s="331">
        <f t="shared" si="187"/>
        <v>10925.643348788382</v>
      </c>
      <c r="O49" s="81">
        <f t="shared" si="187"/>
        <v>10053.159374073681</v>
      </c>
      <c r="P49" s="81">
        <f t="shared" si="187"/>
        <v>10552.133981843352</v>
      </c>
      <c r="Q49" s="81">
        <f t="shared" si="187"/>
        <v>11085.486295587361</v>
      </c>
      <c r="R49" s="81">
        <f t="shared" si="187"/>
        <v>11654.802934956759</v>
      </c>
      <c r="S49" s="81">
        <f t="shared" si="187"/>
        <v>12334.961459530143</v>
      </c>
      <c r="T49" s="81">
        <f t="shared" si="187"/>
        <v>13039.119465558313</v>
      </c>
      <c r="U49" s="81">
        <f t="shared" si="187"/>
        <v>13811.093072402469</v>
      </c>
    </row>
    <row r="50" spans="3:30" ht="18" customHeight="1" x14ac:dyDescent="0.25">
      <c r="C50" s="377" t="s">
        <v>101</v>
      </c>
      <c r="D50" s="508"/>
      <c r="E50" s="508"/>
      <c r="F50" s="508"/>
      <c r="G50" s="509">
        <f t="shared" ref="G50" si="188">G49/G59</f>
        <v>8.4709305415128652E-2</v>
      </c>
      <c r="H50" s="509">
        <f t="shared" ref="H50:U50" si="189">H49/H59</f>
        <v>7.0591332715447583E-2</v>
      </c>
      <c r="I50" s="509">
        <f t="shared" si="189"/>
        <v>8.7724829142188238E-2</v>
      </c>
      <c r="J50" s="509">
        <f t="shared" si="189"/>
        <v>7.6596517062503006E-2</v>
      </c>
      <c r="K50" s="509">
        <f t="shared" si="189"/>
        <v>5.6258541717456111E-2</v>
      </c>
      <c r="L50" s="510">
        <f t="shared" si="189"/>
        <v>6.2344324304064835E-2</v>
      </c>
      <c r="M50" s="510">
        <f t="shared" si="189"/>
        <v>9.0455407879925731E-2</v>
      </c>
      <c r="N50" s="511">
        <f t="shared" si="189"/>
        <v>6.1541572817833727E-2</v>
      </c>
      <c r="O50" s="509">
        <f t="shared" si="189"/>
        <v>5.8458658393723439E-2</v>
      </c>
      <c r="P50" s="509">
        <f t="shared" si="189"/>
        <v>6.3668530988347891E-2</v>
      </c>
      <c r="Q50" s="509">
        <f t="shared" si="189"/>
        <v>6.9832129532298448E-2</v>
      </c>
      <c r="R50" s="509">
        <f t="shared" si="189"/>
        <v>7.6928285608965488E-2</v>
      </c>
      <c r="S50" s="509">
        <f t="shared" si="189"/>
        <v>8.5955628227179753E-2</v>
      </c>
      <c r="T50" s="509">
        <f t="shared" si="189"/>
        <v>9.6539861846706362E-2</v>
      </c>
      <c r="U50" s="509">
        <f t="shared" si="189"/>
        <v>0.11038815124222932</v>
      </c>
    </row>
    <row r="51" spans="3:30" ht="18" customHeight="1" x14ac:dyDescent="0.25">
      <c r="C51" s="377" t="s">
        <v>170</v>
      </c>
      <c r="D51" s="508"/>
      <c r="E51" s="508"/>
      <c r="F51" s="508"/>
      <c r="G51" s="512">
        <f t="shared" ref="G51" si="190">G49/G58</f>
        <v>8.0507723866538274</v>
      </c>
      <c r="H51" s="512">
        <f t="shared" ref="H51:U51" si="191">H49/H58</f>
        <v>8.8062687562520843</v>
      </c>
      <c r="I51" s="512">
        <f t="shared" si="191"/>
        <v>10.322580645161288</v>
      </c>
      <c r="J51" s="512">
        <f t="shared" si="191"/>
        <v>9.7377152141560046</v>
      </c>
      <c r="K51" s="512">
        <f t="shared" si="191"/>
        <v>11.131877649633042</v>
      </c>
      <c r="L51" s="513">
        <f t="shared" si="191"/>
        <v>12.202654596034609</v>
      </c>
      <c r="M51" s="513">
        <f t="shared" si="191"/>
        <v>21.982473222979554</v>
      </c>
      <c r="N51" s="514">
        <f t="shared" si="191"/>
        <v>22.324820955397364</v>
      </c>
      <c r="O51" s="512">
        <f t="shared" si="191"/>
        <v>21.206462918907114</v>
      </c>
      <c r="P51" s="515">
        <f t="shared" si="191"/>
        <v>23.09639630133308</v>
      </c>
      <c r="Q51" s="512">
        <f t="shared" si="191"/>
        <v>25.332303309136584</v>
      </c>
      <c r="R51" s="512">
        <f t="shared" si="191"/>
        <v>27.906504887508319</v>
      </c>
      <c r="S51" s="512">
        <f t="shared" si="191"/>
        <v>31.181263695691726</v>
      </c>
      <c r="T51" s="512">
        <f t="shared" si="191"/>
        <v>35.0208002835112</v>
      </c>
      <c r="U51" s="512">
        <f t="shared" si="191"/>
        <v>40.044405744631106</v>
      </c>
      <c r="W51" s="141"/>
      <c r="Y51" s="9"/>
    </row>
    <row r="52" spans="3:30" ht="18" customHeight="1" x14ac:dyDescent="0.25">
      <c r="C52" s="2" t="s">
        <v>174</v>
      </c>
      <c r="D52" s="17"/>
      <c r="E52" s="17"/>
      <c r="F52" s="17"/>
      <c r="G52" s="27">
        <f>HLOOKUP(G$2,Model!$D$4:$DD$377,179-3,FALSE)</f>
        <v>-1831</v>
      </c>
      <c r="H52" s="27">
        <f>HLOOKUP(H$2,Model!$D$4:$DD$377,179-3,FALSE)</f>
        <v>-1951</v>
      </c>
      <c r="I52" s="27">
        <f>HLOOKUP(I$2,Model!$D$4:$DD$377,179-3,FALSE)</f>
        <v>-2132</v>
      </c>
      <c r="J52" s="27">
        <f>HLOOKUP(J$2,Model!$D$4:$DD$377,179-3,FALSE)</f>
        <v>-2243</v>
      </c>
      <c r="K52" s="27">
        <f>HLOOKUP(K$2,Model!$D$4:$DD$377,179-3,FALSE)</f>
        <v>-2332</v>
      </c>
      <c r="L52" s="235">
        <f>HLOOKUP(L$2,Model!$D$4:$DD$377,179-3,FALSE)</f>
        <v>-2440</v>
      </c>
      <c r="M52" s="235">
        <f>HLOOKUP(M$2,Model!$D$4:$DD$377,179-3,FALSE)</f>
        <v>-2563</v>
      </c>
      <c r="N52" s="323">
        <f>HLOOKUP(N$2,Model!$D$4:$DD$377,179-3,FALSE)</f>
        <v>-2645.5886666666665</v>
      </c>
      <c r="O52" s="27">
        <f>HLOOKUP(O$2,Model!$D$4:$DD$377,179-3,FALSE)</f>
        <v>-2765.0488533333328</v>
      </c>
      <c r="P52" s="27">
        <f>HLOOKUP(P$2,Model!$D$4:$DD$377,179-3,FALSE)</f>
        <v>-2877.245661599999</v>
      </c>
      <c r="Q52" s="27">
        <f>HLOOKUP(Q$2,Model!$D$4:$DD$377,179-3,FALSE)</f>
        <v>-2975.5356065280002</v>
      </c>
      <c r="R52" s="27">
        <f>HLOOKUP(R$2,Model!$D$4:$DD$377,179-3,FALSE)</f>
        <v>-3065.907666090241</v>
      </c>
      <c r="S52" s="27">
        <f>HLOOKUP(S$2,Model!$D$4:$DD$377,179-3,FALSE)</f>
        <v>-3135.1772238446611</v>
      </c>
      <c r="T52" s="27">
        <f>HLOOKUP(T$2,Model!$D$4:$DD$377,179-3,FALSE)</f>
        <v>-3185.1464980543142</v>
      </c>
      <c r="U52" s="27">
        <f>HLOOKUP(U$2,Model!$D$4:$DD$377,179-3,FALSE)</f>
        <v>-3184.5111237627489</v>
      </c>
      <c r="W52" s="141"/>
      <c r="Y52" s="9"/>
    </row>
    <row r="53" spans="3:30" ht="18" customHeight="1" x14ac:dyDescent="0.25">
      <c r="C53" s="2" t="s">
        <v>175</v>
      </c>
      <c r="D53" s="17"/>
      <c r="E53" s="17"/>
      <c r="F53" s="17"/>
      <c r="G53" s="27">
        <f>HLOOKUP(G$2,Model!$D$4:$DD$377,372-3,FALSE)</f>
        <v>0</v>
      </c>
      <c r="H53" s="27">
        <f>HLOOKUP(H$2,Model!$D$4:$DD$377,372-3,FALSE)</f>
        <v>-3798</v>
      </c>
      <c r="I53" s="27">
        <f>HLOOKUP(I$2,Model!$D$4:$DD$377,372-3,FALSE)</f>
        <v>-4047</v>
      </c>
      <c r="J53" s="27">
        <f>HLOOKUP(J$2,Model!$D$4:$DD$377,372-3,FALSE)</f>
        <v>-1130</v>
      </c>
      <c r="K53" s="27">
        <f>HLOOKUP(K$2,Model!$D$4:$DD$377,372-3,FALSE)</f>
        <v>-2668</v>
      </c>
      <c r="L53" s="235">
        <f>HLOOKUP(L$2,Model!$D$4:$DD$377,372-3,FALSE)</f>
        <v>-4230</v>
      </c>
      <c r="M53" s="235">
        <f>HLOOKUP(M$2,Model!$D$4:$DD$377,372-3,FALSE)</f>
        <v>-4975</v>
      </c>
      <c r="N53" s="323">
        <f>HLOOKUP(N$2,Model!$D$4:$DD$377,372-3,FALSE)</f>
        <v>-7857</v>
      </c>
      <c r="O53" s="27">
        <f>HLOOKUP(O$2,Model!$D$4:$DD$377,372-3,FALSE)</f>
        <v>-6000</v>
      </c>
      <c r="P53" s="27">
        <f>HLOOKUP(P$2,Model!$D$4:$DD$377,372-3,FALSE)</f>
        <v>-6500</v>
      </c>
      <c r="Q53" s="27">
        <f>HLOOKUP(Q$2,Model!$D$4:$DD$377,372-3,FALSE)</f>
        <v>-7000</v>
      </c>
      <c r="R53" s="27">
        <f>HLOOKUP(R$2,Model!$D$4:$DD$377,372-3,FALSE)</f>
        <v>-7500</v>
      </c>
      <c r="S53" s="27">
        <f>HLOOKUP(S$2,Model!$D$4:$DD$377,372-3,FALSE)</f>
        <v>-8000</v>
      </c>
      <c r="T53" s="27">
        <f>HLOOKUP(T$2,Model!$D$4:$DD$377,372-3,FALSE)</f>
        <v>-9000</v>
      </c>
      <c r="U53" s="27">
        <f>HLOOKUP(U$2,Model!$D$4:$DD$377,372-3,FALSE)</f>
        <v>-10000</v>
      </c>
      <c r="W53" s="141"/>
      <c r="Y53" s="9"/>
    </row>
    <row r="54" spans="3:30" ht="18" customHeight="1" x14ac:dyDescent="0.25">
      <c r="C54" s="2" t="s">
        <v>190</v>
      </c>
      <c r="D54" s="17"/>
      <c r="E54" s="17"/>
      <c r="F54" s="17"/>
      <c r="G54" s="27">
        <f>HLOOKUP(G$2,Model!$D$4:$DD$377,186-3,FALSE)</f>
        <v>-2383</v>
      </c>
      <c r="H54" s="27">
        <f>HLOOKUP(H$2,Model!$D$4:$DD$377,186-3,FALSE)</f>
        <v>1840</v>
      </c>
      <c r="I54" s="27">
        <f>HLOOKUP(I$2,Model!$D$4:$DD$377,186-3,FALSE)</f>
        <v>1406</v>
      </c>
      <c r="J54" s="27">
        <f>HLOOKUP(J$2,Model!$D$4:$DD$377,186-3,FALSE)</f>
        <v>-610</v>
      </c>
      <c r="K54" s="27">
        <f>HLOOKUP(K$2,Model!$D$4:$DD$377,186-3,FALSE)</f>
        <v>681</v>
      </c>
      <c r="L54" s="235">
        <f>HLOOKUP(L$2,Model!$D$4:$DD$377,186-3,FALSE)</f>
        <v>-652</v>
      </c>
      <c r="M54" s="235">
        <f>HLOOKUP(M$2,Model!$D$4:$DD$377,186-3,FALSE)</f>
        <v>594</v>
      </c>
      <c r="N54" s="323">
        <f>HLOOKUP(N$2,Model!$D$4:$DD$377,186-3,FALSE)</f>
        <v>-131</v>
      </c>
      <c r="O54" s="27">
        <f>HLOOKUP(O$2,Model!$D$4:$DD$377,186-3,FALSE)</f>
        <v>-145</v>
      </c>
      <c r="P54" s="27">
        <f>HLOOKUP(P$2,Model!$D$4:$DD$377,186-3,FALSE)</f>
        <v>0</v>
      </c>
      <c r="Q54" s="27">
        <f>HLOOKUP(Q$2,Model!$D$4:$DD$377,186-3,FALSE)</f>
        <v>0</v>
      </c>
      <c r="R54" s="27">
        <f>HLOOKUP(R$2,Model!$D$4:$DD$377,186-3,FALSE)</f>
        <v>0</v>
      </c>
      <c r="S54" s="27">
        <f>HLOOKUP(S$2,Model!$D$4:$DD$377,186-3,FALSE)</f>
        <v>-193</v>
      </c>
      <c r="T54" s="27">
        <f>HLOOKUP(T$2,Model!$D$4:$DD$377,186-3,FALSE)</f>
        <v>0</v>
      </c>
      <c r="U54" s="27">
        <f>HLOOKUP(U$2,Model!$D$4:$DD$377,186-3,FALSE)</f>
        <v>-736</v>
      </c>
      <c r="W54" s="141"/>
      <c r="Y54" s="9"/>
    </row>
    <row r="55" spans="3:30" ht="18" customHeight="1" x14ac:dyDescent="0.25">
      <c r="C55" s="65" t="s">
        <v>176</v>
      </c>
      <c r="D55" s="65"/>
      <c r="E55" s="65"/>
      <c r="F55" s="65"/>
      <c r="G55" s="65"/>
      <c r="H55" s="65"/>
      <c r="I55" s="81"/>
      <c r="J55" s="81">
        <f>J49+J52+J53+J54</f>
        <v>1366</v>
      </c>
      <c r="K55" s="81">
        <f t="shared" ref="K55:M55" si="192">K49+K52+K53+K54</f>
        <v>1786</v>
      </c>
      <c r="L55" s="81">
        <f t="shared" si="192"/>
        <v>-852</v>
      </c>
      <c r="M55" s="81">
        <f t="shared" si="192"/>
        <v>4344</v>
      </c>
      <c r="N55" s="331">
        <f t="shared" ref="N55:U55" si="193">N49+N52+N53+N54</f>
        <v>292.05468212171581</v>
      </c>
      <c r="O55" s="81">
        <f t="shared" si="193"/>
        <v>1143.110520740348</v>
      </c>
      <c r="P55" s="81">
        <f t="shared" si="193"/>
        <v>1174.8883202433526</v>
      </c>
      <c r="Q55" s="81">
        <f t="shared" si="193"/>
        <v>1109.9506890593611</v>
      </c>
      <c r="R55" s="81">
        <f t="shared" si="193"/>
        <v>1088.8952688665177</v>
      </c>
      <c r="S55" s="81">
        <f t="shared" si="193"/>
        <v>1006.7842356854817</v>
      </c>
      <c r="T55" s="81">
        <f t="shared" si="193"/>
        <v>853.97296750399983</v>
      </c>
      <c r="U55" s="81">
        <f t="shared" si="193"/>
        <v>-109.41805136028051</v>
      </c>
      <c r="W55" s="141"/>
      <c r="Y55" s="9"/>
    </row>
    <row r="56" spans="3:30" ht="18" customHeight="1" x14ac:dyDescent="0.25">
      <c r="C56" s="54"/>
      <c r="D56" s="17"/>
      <c r="E56" s="17"/>
      <c r="F56" s="17"/>
      <c r="G56" s="17"/>
      <c r="H56" s="17"/>
      <c r="I56" s="36"/>
      <c r="J56" s="36"/>
      <c r="K56" s="140"/>
      <c r="L56" s="269"/>
      <c r="M56" s="269"/>
      <c r="N56" s="332"/>
      <c r="O56" s="140"/>
      <c r="P56" s="162"/>
      <c r="Q56" s="140"/>
      <c r="R56" s="140"/>
      <c r="S56" s="140"/>
      <c r="T56" s="140"/>
      <c r="U56" s="140"/>
      <c r="W56" s="141"/>
      <c r="Y56" s="9"/>
    </row>
    <row r="57" spans="3:30" ht="18" customHeight="1" x14ac:dyDescent="0.25">
      <c r="C57" s="2" t="s">
        <v>95</v>
      </c>
      <c r="G57" s="168">
        <v>95.04</v>
      </c>
      <c r="H57" s="168">
        <v>124.75</v>
      </c>
      <c r="I57" s="168">
        <v>117.67</v>
      </c>
      <c r="J57" s="168">
        <v>127.13</v>
      </c>
      <c r="K57" s="168">
        <v>197.87</v>
      </c>
      <c r="L57" s="270">
        <v>195.73</v>
      </c>
      <c r="M57" s="270">
        <v>243.02</v>
      </c>
      <c r="N57" s="521">
        <v>362.76</v>
      </c>
      <c r="O57" s="7">
        <f t="shared" ref="O57:P57" si="194">N57</f>
        <v>362.76</v>
      </c>
      <c r="P57" s="7">
        <f t="shared" si="194"/>
        <v>362.76</v>
      </c>
      <c r="Q57" s="7">
        <f t="shared" ref="Q57" si="195">P57</f>
        <v>362.76</v>
      </c>
      <c r="R57" s="7">
        <f t="shared" ref="R57" si="196">Q57</f>
        <v>362.76</v>
      </c>
      <c r="S57" s="7">
        <f t="shared" ref="S57" si="197">R57</f>
        <v>362.76</v>
      </c>
      <c r="T57" s="7">
        <f t="shared" ref="T57" si="198">S57</f>
        <v>362.76</v>
      </c>
      <c r="U57" s="7">
        <f t="shared" ref="U57" si="199">T57</f>
        <v>362.76</v>
      </c>
    </row>
    <row r="58" spans="3:30" ht="18" customHeight="1" x14ac:dyDescent="0.25">
      <c r="C58" s="2" t="s">
        <v>10</v>
      </c>
      <c r="G58" s="6">
        <f>HLOOKUP(G$2,Model!$D$4:$DD$377,81-3,FALSE)</f>
        <v>597.17499999999995</v>
      </c>
      <c r="H58" s="6">
        <f>HLOOKUP(H$2,Model!$D$4:$DD$377,81-3,FALSE)</f>
        <v>599.79999999999995</v>
      </c>
      <c r="I58" s="6">
        <f>HLOOKUP(I$2,Model!$D$4:$DD$377,81-3,FALSE)</f>
        <v>567.30000000000007</v>
      </c>
      <c r="J58" s="6">
        <f>HLOOKUP(J$2,Model!$D$4:$DD$377,81-3,FALSE)</f>
        <v>549.3075</v>
      </c>
      <c r="K58" s="6">
        <f>HLOOKUP(K$2,Model!$D$4:$DD$377,81-3,FALSE)</f>
        <v>548.42499999999995</v>
      </c>
      <c r="L58" s="243">
        <f>HLOOKUP(L$2,Model!$D$4:$DD$377,81-3,FALSE)</f>
        <v>530.21249999999998</v>
      </c>
      <c r="M58" s="243">
        <f>HLOOKUP(M$2,Model!$D$4:$DD$377,81-3,FALSE)</f>
        <v>513.5</v>
      </c>
      <c r="N58" s="334">
        <f>HLOOKUP(N$2,Model!$D$4:$DD$377,81-3,FALSE)</f>
        <v>489.39444444444439</v>
      </c>
      <c r="O58" s="6">
        <f>HLOOKUP(O$2,Model!$D$4:$DD$377,81-3,FALSE)</f>
        <v>474.06111111111102</v>
      </c>
      <c r="P58" s="6">
        <f>HLOOKUP(P$2,Model!$D$4:$DD$377,81-3,FALSE)</f>
        <v>456.87361111111102</v>
      </c>
      <c r="Q58" s="6">
        <f>HLOOKUP(Q$2,Model!$D$4:$DD$377,81-3,FALSE)</f>
        <v>437.60277777777776</v>
      </c>
      <c r="R58" s="6">
        <f>HLOOKUP(R$2,Model!$D$4:$DD$377,81-3,FALSE)</f>
        <v>417.6375000000001</v>
      </c>
      <c r="S58" s="6">
        <f>HLOOKUP(S$2,Model!$D$4:$DD$377,81-3,FALSE)</f>
        <v>395.58888888888902</v>
      </c>
      <c r="T58" s="6">
        <f>HLOOKUP(T$2,Model!$D$4:$DD$377,81-3,FALSE)</f>
        <v>372.32500000000016</v>
      </c>
      <c r="U58" s="6">
        <f>HLOOKUP(U$2,Model!$D$4:$DD$377,81-3,FALSE)</f>
        <v>344.89444444444456</v>
      </c>
    </row>
    <row r="59" spans="3:30" ht="18" customHeight="1" x14ac:dyDescent="0.25">
      <c r="C59" s="161" t="s">
        <v>29</v>
      </c>
      <c r="D59" s="161"/>
      <c r="E59" s="161"/>
      <c r="F59" s="161"/>
      <c r="G59" s="77">
        <f t="shared" ref="G59:I59" si="200">G57*G58</f>
        <v>56755.512000000002</v>
      </c>
      <c r="H59" s="77">
        <f t="shared" si="200"/>
        <v>74825.049999999988</v>
      </c>
      <c r="I59" s="77">
        <f t="shared" si="200"/>
        <v>66754.191000000006</v>
      </c>
      <c r="J59" s="77">
        <f t="shared" ref="J59:N59" si="201">J57*J58</f>
        <v>69833.462474999993</v>
      </c>
      <c r="K59" s="77">
        <f t="shared" si="201"/>
        <v>108516.85475</v>
      </c>
      <c r="L59" s="77">
        <f t="shared" si="201"/>
        <v>103778.49262499998</v>
      </c>
      <c r="M59" s="77">
        <f t="shared" si="201"/>
        <v>124790.77</v>
      </c>
      <c r="N59" s="330">
        <f t="shared" si="201"/>
        <v>177532.72866666663</v>
      </c>
      <c r="O59" s="77">
        <f t="shared" ref="O59:P59" si="202">O57*O58</f>
        <v>171970.40866666663</v>
      </c>
      <c r="P59" s="77">
        <f t="shared" si="202"/>
        <v>165735.47116666663</v>
      </c>
      <c r="Q59" s="77">
        <f t="shared" ref="Q59:S59" si="203">Q57*Q58</f>
        <v>158744.78366666666</v>
      </c>
      <c r="R59" s="77">
        <f t="shared" si="203"/>
        <v>151502.17950000003</v>
      </c>
      <c r="S59" s="77">
        <f t="shared" si="203"/>
        <v>143503.82533333337</v>
      </c>
      <c r="T59" s="77">
        <f t="shared" ref="T59:U59" si="204">T57*T58</f>
        <v>135064.61700000006</v>
      </c>
      <c r="U59" s="77">
        <f t="shared" si="204"/>
        <v>125113.9086666667</v>
      </c>
    </row>
    <row r="60" spans="3:30" ht="18" customHeight="1" x14ac:dyDescent="0.25">
      <c r="C60" s="2" t="s">
        <v>96</v>
      </c>
      <c r="G60" s="27">
        <f>HLOOKUP(G$2,Model!$D$4:$DD$377,113-3,FALSE)+HLOOKUP(G$2,Model!$D$4:$DD$377,120-3,FALSE)+HLOOKUP(G$2,Model!$D$4:$DD$377,122-3,FALSE)</f>
        <v>34878</v>
      </c>
      <c r="H60" s="27">
        <f>HLOOKUP(H$2,Model!$D$4:$DD$377,113-3,FALSE)+HLOOKUP(H$2,Model!$D$4:$DD$377,120-3,FALSE)+HLOOKUP(H$2,Model!$D$4:$DD$377,122-3,FALSE)</f>
        <v>36553</v>
      </c>
      <c r="I60" s="27">
        <f>HLOOKUP(I$2,Model!$D$4:$DD$377,113-3,FALSE)+HLOOKUP(I$2,Model!$D$4:$DD$377,120-3,FALSE)+HLOOKUP(I$2,Model!$D$4:$DD$377,122-3,FALSE)</f>
        <v>37657</v>
      </c>
      <c r="J60" s="27">
        <f>HLOOKUP(J$2,Model!$D$4:$DD$377,113-3,FALSE)+HLOOKUP(J$2,Model!$D$4:$DD$377,120-3,FALSE)+HLOOKUP(J$2,Model!$D$4:$DD$377,122-3,FALSE)</f>
        <v>37163</v>
      </c>
      <c r="K60" s="27">
        <f>HLOOKUP(K$2,Model!$D$4:$DD$377,113-3,FALSE)+HLOOKUP(K$2,Model!$D$4:$DD$377,120-3,FALSE)+HLOOKUP(K$2,Model!$D$4:$DD$377,122-3,FALSE)</f>
        <v>37789</v>
      </c>
      <c r="L60" s="235">
        <f>HLOOKUP(L$2,Model!$D$4:$DD$377,113-3,FALSE)+HLOOKUP(L$2,Model!$D$4:$DD$377,120-3,FALSE)+HLOOKUP(L$2,Model!$D$4:$DD$377,122-3,FALSE)</f>
        <v>36993</v>
      </c>
      <c r="M60" s="235">
        <f>HLOOKUP(M$2,Model!$D$4:$DD$377,113-3,FALSE)+HLOOKUP(M$2,Model!$D$4:$DD$377,120-3,FALSE)+HLOOKUP(M$2,Model!$D$4:$DD$377,122-3,FALSE)</f>
        <v>37878</v>
      </c>
      <c r="N60" s="323">
        <f>HLOOKUP(N$2,Model!$D$4:$DD$377,113-3,FALSE)+HLOOKUP(N$2,Model!$D$4:$DD$377,120-3,FALSE)+HLOOKUP(N$2,Model!$D$4:$DD$377,122-3,FALSE)</f>
        <v>37901</v>
      </c>
      <c r="O60" s="27">
        <f>HLOOKUP(O$2,Model!$D$4:$DD$377,113-3,FALSE)+HLOOKUP(O$2,Model!$D$4:$DD$377,120-3,FALSE)+HLOOKUP(O$2,Model!$D$4:$DD$377,122-3,FALSE)</f>
        <v>37756</v>
      </c>
      <c r="P60" s="27">
        <f>HLOOKUP(P$2,Model!$D$4:$DD$377,113-3,FALSE)+HLOOKUP(P$2,Model!$D$4:$DD$377,120-3,FALSE)+HLOOKUP(P$2,Model!$D$4:$DD$377,122-3,FALSE)</f>
        <v>37756</v>
      </c>
      <c r="Q60" s="27">
        <f>HLOOKUP(Q$2,Model!$D$4:$DD$377,113-3,FALSE)+HLOOKUP(Q$2,Model!$D$4:$DD$377,120-3,FALSE)+HLOOKUP(Q$2,Model!$D$4:$DD$377,122-3,FALSE)</f>
        <v>37756</v>
      </c>
      <c r="R60" s="27">
        <f>HLOOKUP(R$2,Model!$D$4:$DD$377,113-3,FALSE)+HLOOKUP(R$2,Model!$D$4:$DD$377,120-3,FALSE)+HLOOKUP(R$2,Model!$D$4:$DD$377,122-3,FALSE)</f>
        <v>37756</v>
      </c>
      <c r="S60" s="27">
        <f>HLOOKUP(S$2,Model!$D$4:$DD$377,113-3,FALSE)+HLOOKUP(S$2,Model!$D$4:$DD$377,120-3,FALSE)+HLOOKUP(S$2,Model!$D$4:$DD$377,122-3,FALSE)</f>
        <v>37563</v>
      </c>
      <c r="T60" s="27">
        <f>HLOOKUP(T$2,Model!$D$4:$DD$377,113-3,FALSE)+HLOOKUP(T$2,Model!$D$4:$DD$377,120-3,FALSE)+HLOOKUP(T$2,Model!$D$4:$DD$377,122-3,FALSE)</f>
        <v>37563</v>
      </c>
      <c r="U60" s="27">
        <f>HLOOKUP(U$2,Model!$D$4:$DD$377,113-3,FALSE)+HLOOKUP(U$2,Model!$D$4:$DD$377,120-3,FALSE)+HLOOKUP(U$2,Model!$D$4:$DD$377,122-3,FALSE)</f>
        <v>36827</v>
      </c>
      <c r="V60" s="675" t="s">
        <v>631</v>
      </c>
      <c r="W60" s="676"/>
      <c r="X60" s="676"/>
      <c r="Y60" s="676"/>
      <c r="Z60" s="676"/>
      <c r="AA60" s="676"/>
      <c r="AB60" s="676"/>
    </row>
    <row r="61" spans="3:30" ht="18" customHeight="1" x14ac:dyDescent="0.25">
      <c r="C61" s="2" t="s">
        <v>173</v>
      </c>
      <c r="G61" s="27">
        <f>HLOOKUP(G$2,Model!$D$4:$DD$377,123-3,FALSE)</f>
        <v>8365</v>
      </c>
      <c r="H61" s="27">
        <f>HLOOKUP(H$2,Model!$D$4:$DD$377,123-3,FALSE)</f>
        <v>7455</v>
      </c>
      <c r="I61" s="27">
        <f>HLOOKUP(I$2,Model!$D$4:$DD$377,123-3,FALSE)</f>
        <v>6599</v>
      </c>
      <c r="J61" s="27">
        <f>HLOOKUP(J$2,Model!$D$4:$DD$377,123-3,FALSE)</f>
        <v>6872</v>
      </c>
      <c r="K61" s="27">
        <f>HLOOKUP(K$2,Model!$D$4:$DD$377,123-3,FALSE)</f>
        <v>5592</v>
      </c>
      <c r="L61" s="235">
        <f>HLOOKUP(L$2,Model!$D$4:$DD$377,123-3,FALSE)</f>
        <v>4203</v>
      </c>
      <c r="M61" s="235">
        <f>HLOOKUP(M$2,Model!$D$4:$DD$377,123-3,FALSE)</f>
        <v>4098</v>
      </c>
      <c r="N61" s="323">
        <f>HLOOKUP(N$2,Model!$D$4:$DD$377,123-3,FALSE)</f>
        <v>4029</v>
      </c>
      <c r="O61" s="27">
        <f>HLOOKUP(O$2,Model!$D$4:$DD$377,123-3,FALSE)</f>
        <v>4029</v>
      </c>
      <c r="P61" s="27">
        <f>HLOOKUP(P$2,Model!$D$4:$DD$377,123-3,FALSE)</f>
        <v>4029</v>
      </c>
      <c r="Q61" s="27">
        <f>HLOOKUP(Q$2,Model!$D$4:$DD$377,123-3,FALSE)</f>
        <v>4029</v>
      </c>
      <c r="R61" s="27">
        <f>HLOOKUP(R$2,Model!$D$4:$DD$377,123-3,FALSE)</f>
        <v>4029</v>
      </c>
      <c r="S61" s="27">
        <f>HLOOKUP(S$2,Model!$D$4:$DD$377,123-3,FALSE)</f>
        <v>4029</v>
      </c>
      <c r="T61" s="27">
        <f>HLOOKUP(T$2,Model!$D$4:$DD$377,123-3,FALSE)</f>
        <v>4029</v>
      </c>
      <c r="U61" s="27">
        <f>HLOOKUP(U$2,Model!$D$4:$DD$377,123-3,FALSE)</f>
        <v>4029</v>
      </c>
    </row>
    <row r="62" spans="3:30" ht="18" customHeight="1" x14ac:dyDescent="0.25">
      <c r="C62" s="2" t="s">
        <v>15</v>
      </c>
      <c r="G62" s="27">
        <f>-HLOOKUP(G$2,Model!$D$4:$DD$377,99-3,FALSE)</f>
        <v>-8261</v>
      </c>
      <c r="H62" s="27">
        <f>-HLOOKUP(H$2,Model!$D$4:$DD$377,99-3,FALSE)</f>
        <v>-7857</v>
      </c>
      <c r="I62" s="27">
        <f>-HLOOKUP(I$2,Model!$D$4:$DD$377,99-3,FALSE)</f>
        <v>-8284</v>
      </c>
      <c r="J62" s="27">
        <f>-HLOOKUP(J$2,Model!$D$4:$DD$377,99-3,FALSE)</f>
        <v>-9352</v>
      </c>
      <c r="K62" s="27">
        <f>-HLOOKUP(K$2,Model!$D$4:$DD$377,99-3,FALSE)</f>
        <v>-9254</v>
      </c>
      <c r="L62" s="235">
        <f>-HLOOKUP(L$2,Model!$D$4:$DD$377,99-3,FALSE)</f>
        <v>-7004</v>
      </c>
      <c r="M62" s="235">
        <f>-HLOOKUP(M$2,Model!$D$4:$DD$377,99-3,FALSE)</f>
        <v>-6978</v>
      </c>
      <c r="N62" s="323">
        <f>-HLOOKUP(N$2,Model!$D$4:$DD$377,99-3,FALSE)</f>
        <v>-7627.0546821217149</v>
      </c>
      <c r="O62" s="27">
        <f>-HLOOKUP(O$2,Model!$D$4:$DD$377,99-3,FALSE)</f>
        <v>-8318.1652028620629</v>
      </c>
      <c r="P62" s="27">
        <f>-HLOOKUP(P$2,Model!$D$4:$DD$377,99-3,FALSE)</f>
        <v>-9041.0535231054164</v>
      </c>
      <c r="Q62" s="27">
        <f>-HLOOKUP(Q$2,Model!$D$4:$DD$377,99-3,FALSE)</f>
        <v>-9699.0042121647766</v>
      </c>
      <c r="R62" s="27">
        <f>-HLOOKUP(R$2,Model!$D$4:$DD$377,99-3,FALSE)</f>
        <v>-10335.899481031291</v>
      </c>
      <c r="S62" s="27">
        <f>-HLOOKUP(S$2,Model!$D$4:$DD$377,99-3,FALSE)</f>
        <v>-10890.683716716772</v>
      </c>
      <c r="T62" s="27">
        <f>-HLOOKUP(T$2,Model!$D$4:$DD$377,99-3,FALSE)</f>
        <v>-11292.65668422077</v>
      </c>
      <c r="U62" s="27">
        <f>-HLOOKUP(U$2,Model!$D$4:$DD$377,99-3,FALSE)</f>
        <v>-10731.23863286049</v>
      </c>
      <c r="W62" s="27"/>
      <c r="X62" s="27"/>
      <c r="Y62" s="27"/>
      <c r="Z62" s="27"/>
      <c r="AA62" s="27"/>
      <c r="AB62" s="27"/>
      <c r="AC62" s="27"/>
      <c r="AD62" s="27"/>
    </row>
    <row r="63" spans="3:30" ht="18" customHeight="1" x14ac:dyDescent="0.25">
      <c r="C63" s="16" t="s">
        <v>27</v>
      </c>
      <c r="D63" s="16"/>
      <c r="E63" s="16"/>
      <c r="F63" s="16"/>
      <c r="G63" s="45">
        <f t="shared" ref="G63:J63" si="205">G60+G62+G61</f>
        <v>34982</v>
      </c>
      <c r="H63" s="45">
        <f t="shared" si="205"/>
        <v>36151</v>
      </c>
      <c r="I63" s="45">
        <f t="shared" si="205"/>
        <v>35972</v>
      </c>
      <c r="J63" s="45">
        <f t="shared" si="205"/>
        <v>34683</v>
      </c>
      <c r="K63" s="45">
        <f>K60+K62+K61</f>
        <v>34127</v>
      </c>
      <c r="L63" s="45">
        <f t="shared" ref="L63:U63" si="206">L60+L62+L61</f>
        <v>34192</v>
      </c>
      <c r="M63" s="45">
        <f t="shared" si="206"/>
        <v>34998</v>
      </c>
      <c r="N63" s="335">
        <f t="shared" si="206"/>
        <v>34302.945317878286</v>
      </c>
      <c r="O63" s="45">
        <f t="shared" si="206"/>
        <v>33466.834797137941</v>
      </c>
      <c r="P63" s="45">
        <f t="shared" si="206"/>
        <v>32743.946476894584</v>
      </c>
      <c r="Q63" s="45">
        <f t="shared" si="206"/>
        <v>32085.995787835222</v>
      </c>
      <c r="R63" s="45">
        <f t="shared" si="206"/>
        <v>31449.100518968709</v>
      </c>
      <c r="S63" s="45">
        <f t="shared" si="206"/>
        <v>30701.316283283228</v>
      </c>
      <c r="T63" s="45">
        <f t="shared" si="206"/>
        <v>30299.343315779231</v>
      </c>
      <c r="U63" s="45">
        <f t="shared" si="206"/>
        <v>30124.761367139508</v>
      </c>
      <c r="W63" s="27"/>
      <c r="X63" s="27"/>
      <c r="Y63" s="27"/>
      <c r="Z63" s="27"/>
      <c r="AA63" s="27"/>
      <c r="AB63" s="27"/>
      <c r="AC63" s="27"/>
      <c r="AD63" s="27"/>
    </row>
    <row r="64" spans="3:30" ht="18" customHeight="1" x14ac:dyDescent="0.25">
      <c r="C64" s="2" t="s">
        <v>530</v>
      </c>
      <c r="G64" s="27">
        <f>HLOOKUP(G$2,Model!$D$4:$DD$377,131-3,FALSE)</f>
        <v>69</v>
      </c>
      <c r="H64" s="27">
        <f>HLOOKUP(H$2,Model!$D$4:$DD$377,131-3,FALSE)</f>
        <v>41</v>
      </c>
      <c r="I64" s="27">
        <f>HLOOKUP(I$2,Model!$D$4:$DD$377,131-3,FALSE)</f>
        <v>41</v>
      </c>
      <c r="J64" s="27">
        <f>HLOOKUP(J$2,Model!$D$4:$DD$377,131-3,FALSE)</f>
        <v>47</v>
      </c>
      <c r="K64" s="27">
        <f>HLOOKUP(K$2,Model!$D$4:$DD$377,131-3,FALSE)</f>
        <v>32</v>
      </c>
      <c r="L64" s="235">
        <f>HLOOKUP(L$2,Model!$D$4:$DD$377,131-3,FALSE)</f>
        <v>22</v>
      </c>
      <c r="M64" s="235">
        <f>HLOOKUP(M$2,Model!$D$4:$DD$377,131-3,FALSE)</f>
        <v>9</v>
      </c>
      <c r="N64" s="323">
        <f>HLOOKUP(N$2,Model!$D$4:$DD$377,131-3,FALSE)</f>
        <v>6</v>
      </c>
      <c r="O64" s="27">
        <f>HLOOKUP(O$2,Model!$D$4:$DD$377,131-3,FALSE)</f>
        <v>6</v>
      </c>
      <c r="P64" s="27">
        <f>HLOOKUP(P$2,Model!$D$4:$DD$377,131-3,FALSE)</f>
        <v>6</v>
      </c>
      <c r="Q64" s="27">
        <f>HLOOKUP(Q$2,Model!$D$4:$DD$377,131-3,FALSE)</f>
        <v>6</v>
      </c>
      <c r="R64" s="27">
        <f>HLOOKUP(R$2,Model!$D$4:$DD$377,131-3,FALSE)</f>
        <v>6</v>
      </c>
      <c r="S64" s="27">
        <f>HLOOKUP(S$2,Model!$D$4:$DD$377,131-3,FALSE)</f>
        <v>6</v>
      </c>
      <c r="T64" s="27">
        <f>HLOOKUP(T$2,Model!$D$4:$DD$377,131-3,FALSE)</f>
        <v>6</v>
      </c>
      <c r="U64" s="27">
        <f>HLOOKUP(U$2,Model!$D$4:$DD$377,131-3,FALSE)</f>
        <v>6</v>
      </c>
    </row>
    <row r="65" spans="3:31" ht="18" customHeight="1" x14ac:dyDescent="0.25">
      <c r="C65" s="13" t="s">
        <v>30</v>
      </c>
      <c r="D65" s="13"/>
      <c r="E65" s="13"/>
      <c r="F65" s="13"/>
      <c r="G65" s="46">
        <f t="shared" ref="G65:U65" si="207">G63+G64+G59</f>
        <v>91806.512000000002</v>
      </c>
      <c r="H65" s="46">
        <f t="shared" si="207"/>
        <v>111017.04999999999</v>
      </c>
      <c r="I65" s="46">
        <f t="shared" si="207"/>
        <v>102767.19100000001</v>
      </c>
      <c r="J65" s="46">
        <f t="shared" si="207"/>
        <v>104563.46247499999</v>
      </c>
      <c r="K65" s="46">
        <f t="shared" si="207"/>
        <v>142675.85475</v>
      </c>
      <c r="L65" s="46">
        <f t="shared" si="207"/>
        <v>137992.49262499998</v>
      </c>
      <c r="M65" s="46">
        <f t="shared" si="207"/>
        <v>159797.77000000002</v>
      </c>
      <c r="N65" s="326">
        <f t="shared" si="207"/>
        <v>211841.67398454493</v>
      </c>
      <c r="O65" s="46">
        <f t="shared" si="207"/>
        <v>205443.24346380457</v>
      </c>
      <c r="P65" s="46">
        <f t="shared" si="207"/>
        <v>198485.4176435612</v>
      </c>
      <c r="Q65" s="46">
        <f t="shared" si="207"/>
        <v>190836.77945450187</v>
      </c>
      <c r="R65" s="46">
        <f t="shared" si="207"/>
        <v>182957.28001896874</v>
      </c>
      <c r="S65" s="46">
        <f t="shared" si="207"/>
        <v>174211.1416166166</v>
      </c>
      <c r="T65" s="46">
        <f t="shared" si="207"/>
        <v>165369.96031577929</v>
      </c>
      <c r="U65" s="46">
        <f t="shared" si="207"/>
        <v>155244.67003380621</v>
      </c>
    </row>
    <row r="66" spans="3:31" ht="18" customHeight="1" thickBot="1" x14ac:dyDescent="0.3">
      <c r="K66" s="16"/>
      <c r="L66" s="251"/>
      <c r="M66" s="251"/>
      <c r="N66" s="321"/>
    </row>
    <row r="67" spans="3:31" ht="18" customHeight="1" x14ac:dyDescent="0.25">
      <c r="C67" s="47" t="s">
        <v>97</v>
      </c>
      <c r="D67" s="47"/>
      <c r="E67" s="47"/>
      <c r="F67" s="47"/>
      <c r="G67" s="48">
        <f t="shared" ref="G67:H67" si="208">G65/G29</f>
        <v>12.512813411476081</v>
      </c>
      <c r="H67" s="48">
        <f t="shared" si="208"/>
        <v>10.038615607197757</v>
      </c>
      <c r="I67" s="48">
        <f t="shared" ref="I67:U67" si="209">I65/I29</f>
        <v>9.456813379957671</v>
      </c>
      <c r="J67" s="48">
        <f t="shared" si="209"/>
        <v>14.969715458124552</v>
      </c>
      <c r="K67" s="48">
        <f t="shared" si="209"/>
        <v>15.457839084507041</v>
      </c>
      <c r="L67" s="48">
        <f t="shared" si="209"/>
        <v>13.631580818433269</v>
      </c>
      <c r="M67" s="48">
        <f t="shared" si="209"/>
        <v>10.575630046326937</v>
      </c>
      <c r="N67" s="336">
        <f t="shared" si="209"/>
        <v>13.722633955429766</v>
      </c>
      <c r="O67" s="316">
        <f t="shared" si="209"/>
        <v>13.44977875692941</v>
      </c>
      <c r="P67" s="344">
        <f t="shared" si="209"/>
        <v>12.049045928986459</v>
      </c>
      <c r="Q67" s="48">
        <f t="shared" si="209"/>
        <v>10.98255128433158</v>
      </c>
      <c r="R67" s="48">
        <f t="shared" si="209"/>
        <v>9.990040442889514</v>
      </c>
      <c r="S67" s="48">
        <f t="shared" si="209"/>
        <v>9.0311597693816701</v>
      </c>
      <c r="T67" s="157">
        <f t="shared" si="209"/>
        <v>8.1438432852419993</v>
      </c>
      <c r="U67" s="48">
        <f t="shared" si="209"/>
        <v>7.2587681326279681</v>
      </c>
      <c r="Y67" s="24">
        <v>2022</v>
      </c>
      <c r="Z67" s="24">
        <v>2023</v>
      </c>
      <c r="AA67" s="24">
        <v>2024</v>
      </c>
      <c r="AB67" s="24">
        <v>2025</v>
      </c>
      <c r="AC67" s="24">
        <v>2026</v>
      </c>
      <c r="AD67" s="24">
        <v>2027</v>
      </c>
      <c r="AE67" s="24">
        <v>2028</v>
      </c>
    </row>
    <row r="68" spans="3:31" ht="18" customHeight="1" x14ac:dyDescent="0.25">
      <c r="C68" s="49" t="s">
        <v>171</v>
      </c>
      <c r="D68" s="49"/>
      <c r="E68" s="49"/>
      <c r="F68" s="49"/>
      <c r="G68" s="50">
        <f t="shared" ref="G68:H68" si="210">G65/G33</f>
        <v>10.790610249177245</v>
      </c>
      <c r="H68" s="50">
        <f t="shared" si="210"/>
        <v>9.7000480559196145</v>
      </c>
      <c r="I68" s="50">
        <f t="shared" ref="I68:U68" si="211">I65/I33</f>
        <v>9.2558039268666139</v>
      </c>
      <c r="J68" s="50">
        <f t="shared" si="211"/>
        <v>14.247644430440113</v>
      </c>
      <c r="K68" s="50">
        <f t="shared" si="211"/>
        <v>15.308568106223175</v>
      </c>
      <c r="L68" s="271">
        <f t="shared" si="211"/>
        <v>12.161143264739577</v>
      </c>
      <c r="M68" s="271">
        <f t="shared" si="211"/>
        <v>10.05649905601007</v>
      </c>
      <c r="N68" s="337">
        <f t="shared" si="211"/>
        <v>13.374356761855681</v>
      </c>
      <c r="O68" s="317">
        <f t="shared" si="211"/>
        <v>13.44977875692941</v>
      </c>
      <c r="P68" s="345">
        <f t="shared" si="211"/>
        <v>12.049045928986459</v>
      </c>
      <c r="Q68" s="50">
        <f t="shared" si="211"/>
        <v>10.98255128433158</v>
      </c>
      <c r="R68" s="50">
        <f t="shared" si="211"/>
        <v>9.990040442889514</v>
      </c>
      <c r="S68" s="50">
        <f t="shared" si="211"/>
        <v>9.0311597693816701</v>
      </c>
      <c r="T68" s="115">
        <f t="shared" si="211"/>
        <v>8.1438432852419993</v>
      </c>
      <c r="U68" s="50">
        <f t="shared" si="211"/>
        <v>7.2587681326279681</v>
      </c>
      <c r="W68" s="2" t="s">
        <v>228</v>
      </c>
      <c r="Y68" s="7">
        <f>Model!AL78</f>
        <v>13.841620105146522</v>
      </c>
      <c r="Z68" s="7">
        <f>Model!AR78</f>
        <v>21.207400194741968</v>
      </c>
      <c r="AA68" s="7">
        <f>Model!AX78</f>
        <v>21.878616731371036</v>
      </c>
      <c r="AB68" s="7">
        <f>Model!BD78</f>
        <v>21.199987287493283</v>
      </c>
      <c r="AC68" s="7">
        <f>Model!BJ78</f>
        <v>23.894825876200414</v>
      </c>
      <c r="AD68" s="7">
        <f>Model!BP78</f>
        <v>26.434153581468543</v>
      </c>
      <c r="AE68" s="7">
        <f>Model!BV78</f>
        <v>29.348326540852181</v>
      </c>
    </row>
    <row r="69" spans="3:31" ht="18" customHeight="1" x14ac:dyDescent="0.25">
      <c r="C69" s="49" t="s">
        <v>98</v>
      </c>
      <c r="D69" s="49"/>
      <c r="E69" s="49"/>
      <c r="F69" s="49"/>
      <c r="G69" s="50">
        <f t="shared" ref="G69:H69" si="212">G65/G45</f>
        <v>16.090258898088237</v>
      </c>
      <c r="H69" s="50">
        <f t="shared" si="212"/>
        <v>16.928491918267763</v>
      </c>
      <c r="I69" s="50">
        <f t="shared" ref="I69:U69" si="213">I65/I45</f>
        <v>14.867938512731483</v>
      </c>
      <c r="J69" s="50">
        <f t="shared" si="213"/>
        <v>16.526546937727201</v>
      </c>
      <c r="K69" s="50">
        <f t="shared" si="213"/>
        <v>19.821596936649069</v>
      </c>
      <c r="L69" s="271">
        <f t="shared" si="213"/>
        <v>17.768798947334535</v>
      </c>
      <c r="M69" s="271">
        <f t="shared" si="213"/>
        <v>12.401844780752814</v>
      </c>
      <c r="N69" s="337">
        <f t="shared" si="213"/>
        <v>16.474908216981508</v>
      </c>
      <c r="O69" s="317">
        <f t="shared" si="213"/>
        <v>16.866035362345563</v>
      </c>
      <c r="P69" s="345">
        <f t="shared" si="213"/>
        <v>15.405948438142172</v>
      </c>
      <c r="Q69" s="50">
        <f t="shared" si="213"/>
        <v>14.042727499143201</v>
      </c>
      <c r="R69" s="50">
        <f t="shared" si="213"/>
        <v>12.782287133812332</v>
      </c>
      <c r="S69" s="50">
        <f t="shared" si="213"/>
        <v>11.559443160302482</v>
      </c>
      <c r="T69" s="115">
        <f t="shared" si="213"/>
        <v>10.430809804979216</v>
      </c>
      <c r="U69" s="50">
        <f t="shared" si="213"/>
        <v>9.292481429261656</v>
      </c>
      <c r="W69" s="2" t="s">
        <v>192</v>
      </c>
      <c r="Y69" s="40">
        <v>18</v>
      </c>
      <c r="Z69" s="40">
        <v>18</v>
      </c>
      <c r="AA69" s="40">
        <f>Z69</f>
        <v>18</v>
      </c>
      <c r="AB69" s="40">
        <v>18</v>
      </c>
      <c r="AC69" s="40">
        <f>AB69</f>
        <v>18</v>
      </c>
      <c r="AD69" s="40">
        <f t="shared" ref="AD69:AE69" si="214">AC69</f>
        <v>18</v>
      </c>
      <c r="AE69" s="40">
        <f t="shared" si="214"/>
        <v>18</v>
      </c>
    </row>
    <row r="70" spans="3:31" ht="18" customHeight="1" x14ac:dyDescent="0.25">
      <c r="C70" s="49" t="s">
        <v>113</v>
      </c>
      <c r="D70" s="49"/>
      <c r="E70" s="49"/>
      <c r="F70" s="49"/>
      <c r="G70" s="50">
        <f t="shared" ref="G70:H70" si="215">G65/G9</f>
        <v>2.0194120804188112</v>
      </c>
      <c r="H70" s="50">
        <f t="shared" si="215"/>
        <v>2.0287462081064285</v>
      </c>
      <c r="I70" s="50">
        <f t="shared" ref="I70:U70" si="216">I65/I9</f>
        <v>1.9101708364312269</v>
      </c>
      <c r="J70" s="50">
        <f t="shared" si="216"/>
        <v>2.5046340537271243</v>
      </c>
      <c r="K70" s="50">
        <f t="shared" si="216"/>
        <v>2.7991574571815345</v>
      </c>
      <c r="L70" s="271">
        <f t="shared" si="216"/>
        <v>2.322050458966463</v>
      </c>
      <c r="M70" s="271">
        <f t="shared" si="216"/>
        <v>2.3829073963614675</v>
      </c>
      <c r="N70" s="337">
        <f t="shared" si="216"/>
        <v>3.2450615450002096</v>
      </c>
      <c r="O70" s="317">
        <f t="shared" si="216"/>
        <v>3.1617488153775617</v>
      </c>
      <c r="P70" s="345">
        <f t="shared" si="216"/>
        <v>2.9171559832430072</v>
      </c>
      <c r="Q70" s="50">
        <f t="shared" si="216"/>
        <v>2.6941286670854714</v>
      </c>
      <c r="R70" s="50">
        <f t="shared" si="216"/>
        <v>2.4808588812897709</v>
      </c>
      <c r="S70" s="50">
        <f t="shared" si="216"/>
        <v>2.2687959183952353</v>
      </c>
      <c r="T70" s="115">
        <f t="shared" si="216"/>
        <v>2.0683042318610205</v>
      </c>
      <c r="U70" s="50">
        <f t="shared" si="216"/>
        <v>1.8645930877854637</v>
      </c>
      <c r="W70" s="17" t="s">
        <v>229</v>
      </c>
      <c r="X70" s="17"/>
      <c r="Y70" s="193">
        <f>Y68*Y69</f>
        <v>249.14916189263738</v>
      </c>
      <c r="Z70" s="193">
        <f t="shared" ref="Z70:AB70" si="217">Z68*Z69</f>
        <v>381.73320350535545</v>
      </c>
      <c r="AA70" s="193">
        <f t="shared" si="217"/>
        <v>393.81510116467865</v>
      </c>
      <c r="AB70" s="193">
        <f t="shared" si="217"/>
        <v>381.59977117487909</v>
      </c>
      <c r="AC70" s="193">
        <f t="shared" ref="AC70:AE70" si="218">AC68*AC69</f>
        <v>430.10686577160743</v>
      </c>
      <c r="AD70" s="193">
        <f t="shared" si="218"/>
        <v>475.81476446643376</v>
      </c>
      <c r="AE70" s="193">
        <f t="shared" si="218"/>
        <v>528.26987773533926</v>
      </c>
    </row>
    <row r="71" spans="3:31" ht="18" customHeight="1" x14ac:dyDescent="0.25">
      <c r="C71" s="49" t="s">
        <v>531</v>
      </c>
      <c r="D71" s="49"/>
      <c r="E71" s="49"/>
      <c r="F71" s="49"/>
      <c r="G71" s="50">
        <f>G57/HLOOKUP(G$2,Model!$D$4:$ED$377,78-3,FALSE)</f>
        <v>13.80871207398026</v>
      </c>
      <c r="H71" s="50">
        <f>H57/HLOOKUP(H$2,Model!$D$4:$ED$377,78-3,FALSE)</f>
        <v>11.13002929728173</v>
      </c>
      <c r="I71" s="50">
        <f>I57/HLOOKUP(I$2,Model!$D$4:$ED$377,78-3,FALSE)</f>
        <v>10.319089658370693</v>
      </c>
      <c r="J71" s="50">
        <f>J57/HLOOKUP(J$2,Model!$D$4:$ED$377,78-3,FALSE)</f>
        <v>19.398184020833334</v>
      </c>
      <c r="K71" s="50">
        <f>K57/HLOOKUP(K$2,Model!$D$4:$ED$377,78-3,FALSE)</f>
        <v>18.293468433917734</v>
      </c>
      <c r="L71" s="271">
        <f>L57/HLOOKUP(L$2,Model!$D$4:$ED$377,78-3,FALSE)</f>
        <v>14.14068573715765</v>
      </c>
      <c r="M71" s="271">
        <f>M57/HLOOKUP(M$2,Model!$D$4:$ED$377,78-3,FALSE)</f>
        <v>11.459207529843892</v>
      </c>
      <c r="N71" s="337">
        <f>N57/HLOOKUP(N$2,Model!$D$4:$ED$377,78-3,FALSE)</f>
        <v>16.580572915281717</v>
      </c>
      <c r="O71" s="317">
        <f>O57/HLOOKUP(O$2,Model!$D$4:$ED$377,78-3,FALSE)</f>
        <v>17.111331015467474</v>
      </c>
      <c r="P71" s="345">
        <f>P57/HLOOKUP(P$2,Model!$D$4:$ED$377,78-3,FALSE)</f>
        <v>15.181529335240484</v>
      </c>
      <c r="Q71" s="50">
        <f>Q57/HLOOKUP(Q$2,Model!$D$4:$ED$377,78-3,FALSE)</f>
        <v>13.72315549586237</v>
      </c>
      <c r="R71" s="50">
        <f>R57/HLOOKUP(R$2,Model!$D$4:$ED$377,78-3,FALSE)</f>
        <v>12.360500333640713</v>
      </c>
      <c r="S71" s="50">
        <f>S57/HLOOKUP(S$2,Model!$D$4:$ED$377,78-3,FALSE)</f>
        <v>11.053435321351344</v>
      </c>
      <c r="T71" s="115">
        <f>T57/HLOOKUP(T$2,Model!$D$4:$ED$377,78-3,FALSE)</f>
        <v>9.8344262816433723</v>
      </c>
      <c r="U71" s="50">
        <f>U57/HLOOKUP(U$2,Model!$D$4:$ED$377,78-3,FALSE)</f>
        <v>8.5991502956676591</v>
      </c>
      <c r="Z71" s="6"/>
      <c r="AA71" s="6"/>
      <c r="AB71" s="6">
        <v>0.5</v>
      </c>
      <c r="AC71" s="6">
        <f>AB71+1</f>
        <v>1.5</v>
      </c>
      <c r="AD71" s="6">
        <f t="shared" ref="AD71:AE71" si="219">AC71+1</f>
        <v>2.5</v>
      </c>
      <c r="AE71" s="6">
        <f t="shared" si="219"/>
        <v>3.5</v>
      </c>
    </row>
    <row r="72" spans="3:31" ht="18" customHeight="1" x14ac:dyDescent="0.25">
      <c r="C72" s="49" t="s">
        <v>130</v>
      </c>
      <c r="D72" s="49"/>
      <c r="E72" s="49"/>
      <c r="F72" s="49"/>
      <c r="G72" s="172"/>
      <c r="H72" s="172">
        <f>HLOOKUP(H$2,Model!$D$4:$ED$377,78-3,FALSE)/HLOOKUP(G$2,Model!$D$4:$ED$377,78-3,FALSE)-1</f>
        <v>0.62851211347685276</v>
      </c>
      <c r="I72" s="172">
        <f>HLOOKUP(I$2,Model!$D$4:$ED$377,78-3,FALSE)/HLOOKUP(H$2,Model!$D$4:$ED$377,78-3,FALSE)-1</f>
        <v>1.7372796347010944E-2</v>
      </c>
      <c r="J72" s="172">
        <f>HLOOKUP(J$2,Model!$D$4:$ED$377,78-3,FALSE)/HLOOKUP(I$2,Model!$D$4:$ED$377,78-3,FALSE)-1</f>
        <v>-0.42527167107177244</v>
      </c>
      <c r="K72" s="172">
        <f>HLOOKUP(K$2,Model!$D$4:$ED$377,78-3,FALSE)/HLOOKUP(J$2,Model!$D$4:$ED$377,78-3,FALSE)-1</f>
        <v>0.65042930513136099</v>
      </c>
      <c r="L72" s="272">
        <f>HLOOKUP(L$2,Model!$D$4:$ED$377,78-3,FALSE)/HLOOKUP(K$2,Model!$D$4:$ED$377,78-3,FALSE)-1</f>
        <v>0.2796848459482435</v>
      </c>
      <c r="M72" s="272">
        <f>HLOOKUP(M$2,Model!$D$4:$ED$377,78-3,FALSE)/HLOOKUP(L$2,Model!$D$4:$ED$377,78-3,FALSE)-1</f>
        <v>0.53214725109069705</v>
      </c>
      <c r="N72" s="338">
        <f>HLOOKUP(N$2,Model!$D$4:$ED$377,78-3,FALSE)/HLOOKUP(M$2,Model!$D$4:$ED$377,78-3,FALSE)-1</f>
        <v>3.1650109417725059E-2</v>
      </c>
      <c r="O72" s="318">
        <f>HLOOKUP(O$2,Model!$D$4:$ED$377,78-3,FALSE)/HLOOKUP(N$2,Model!$D$4:$ED$377,78-3,FALSE)-1</f>
        <v>-3.1017931901731632E-2</v>
      </c>
      <c r="P72" s="346">
        <f>HLOOKUP(P$2,Model!$D$4:$ED$377,78-3,FALSE)/HLOOKUP(O$2,Model!$D$4:$ED$377,78-3,FALSE)-1</f>
        <v>0.12711510399333714</v>
      </c>
      <c r="Q72" s="172">
        <f>HLOOKUP(Q$2,Model!$D$4:$ED$377,78-3,FALSE)/HLOOKUP(P$2,Model!$D$4:$ED$377,78-3,FALSE)-1</f>
        <v>0.10627102781265019</v>
      </c>
      <c r="R72" s="172">
        <f>HLOOKUP(R$2,Model!$D$4:$ED$377,78-3,FALSE)/HLOOKUP(Q$2,Model!$D$4:$ED$377,78-3,FALSE)-1</f>
        <v>0.1102427187767645</v>
      </c>
      <c r="S72" s="172">
        <f>HLOOKUP(S$2,Model!$D$4:$ED$377,78-3,FALSE)/HLOOKUP(R$2,Model!$D$4:$ED$377,78-3,FALSE)-1</f>
        <v>0.11824966395420788</v>
      </c>
      <c r="T72" s="173">
        <f>HLOOKUP(T$2,Model!$D$4:$ED$377,78-3,FALSE)/HLOOKUP(S$2,Model!$D$4:$ED$377,78-3,FALSE)-1</f>
        <v>0.12395324392062768</v>
      </c>
      <c r="U72" s="172">
        <f>HLOOKUP(U$2,Model!$D$4:$ED$377,78-3,FALSE)/HLOOKUP(T$2,Model!$D$4:$ED$377,78-3,FALSE)-1</f>
        <v>0.14365093567419773</v>
      </c>
      <c r="W72" s="2" t="s">
        <v>230</v>
      </c>
      <c r="Z72" s="9"/>
      <c r="AA72" s="9"/>
      <c r="AB72" s="9">
        <f>(AB70/O57)^(1/AB71)-1</f>
        <v>0.10656626162396932</v>
      </c>
      <c r="AC72" s="9">
        <f>(AC70/P57)^(1/AC71)-1</f>
        <v>0.12022343713743311</v>
      </c>
      <c r="AD72" s="9">
        <f t="shared" ref="AD72:AE72" si="220">(AD70/Q57)^(1/AD71)-1</f>
        <v>0.11462148044361631</v>
      </c>
      <c r="AE72" s="9">
        <f t="shared" si="220"/>
        <v>0.11336864643975253</v>
      </c>
    </row>
    <row r="73" spans="3:31" ht="18" customHeight="1" x14ac:dyDescent="0.25">
      <c r="C73" s="49" t="s">
        <v>99</v>
      </c>
      <c r="D73" s="49"/>
      <c r="E73" s="49"/>
      <c r="F73" s="49"/>
      <c r="G73" s="50">
        <f t="shared" ref="G73:H73" si="221">G63/G29</f>
        <v>4.767888782881287</v>
      </c>
      <c r="H73" s="50">
        <f t="shared" si="221"/>
        <v>3.2689212406185009</v>
      </c>
      <c r="I73" s="50">
        <f t="shared" ref="I73:U73" si="222">I63/I29</f>
        <v>3.3102052084291893</v>
      </c>
      <c r="J73" s="50">
        <f t="shared" si="222"/>
        <v>4.9653543307086618</v>
      </c>
      <c r="K73" s="50">
        <f t="shared" si="222"/>
        <v>3.6973997833152761</v>
      </c>
      <c r="L73" s="271">
        <f t="shared" si="222"/>
        <v>3.3776548454015609</v>
      </c>
      <c r="M73" s="271">
        <f t="shared" si="222"/>
        <v>2.316214427531436</v>
      </c>
      <c r="N73" s="337">
        <f t="shared" si="222"/>
        <v>2.2220687428324859</v>
      </c>
      <c r="O73" s="317">
        <f t="shared" si="222"/>
        <v>2.190977498831765</v>
      </c>
      <c r="P73" s="345">
        <f t="shared" si="222"/>
        <v>1.9877193986355084</v>
      </c>
      <c r="Q73" s="50">
        <f t="shared" si="222"/>
        <v>1.8465313408454427</v>
      </c>
      <c r="R73" s="50">
        <f t="shared" si="222"/>
        <v>1.7172193751701028</v>
      </c>
      <c r="S73" s="50">
        <f t="shared" si="222"/>
        <v>1.5915657856994576</v>
      </c>
      <c r="T73" s="115">
        <f t="shared" si="222"/>
        <v>1.4921277306849907</v>
      </c>
      <c r="U73" s="50">
        <f t="shared" si="222"/>
        <v>1.4085421275152117</v>
      </c>
      <c r="Y73" s="167"/>
      <c r="Z73" s="167"/>
      <c r="AA73" s="167"/>
      <c r="AB73" s="56">
        <f>AB70/N57-1</f>
        <v>5.1934532955340007E-2</v>
      </c>
      <c r="AC73" s="56">
        <f>AC70/O57-1</f>
        <v>0.1856513005061402</v>
      </c>
      <c r="AD73" s="56">
        <f>AD70/P57-1</f>
        <v>0.31165168283833333</v>
      </c>
      <c r="AE73" s="56">
        <f>AE70/Q57-1</f>
        <v>0.45625173044254952</v>
      </c>
    </row>
    <row r="74" spans="3:31" ht="18" customHeight="1" x14ac:dyDescent="0.25">
      <c r="C74" s="49" t="s">
        <v>238</v>
      </c>
      <c r="D74" s="49"/>
      <c r="E74" s="49"/>
      <c r="F74" s="49"/>
      <c r="G74" s="50">
        <f t="shared" ref="G74:H74" si="223">G65/G49</f>
        <v>19.095644505087655</v>
      </c>
      <c r="H74" s="50">
        <f t="shared" si="223"/>
        <v>21.017995077622111</v>
      </c>
      <c r="I74" s="50">
        <f t="shared" ref="I74:U74" si="224">I65/I49</f>
        <v>17.549042178961749</v>
      </c>
      <c r="J74" s="50">
        <f t="shared" si="224"/>
        <v>19.548226299308279</v>
      </c>
      <c r="K74" s="50">
        <f t="shared" si="224"/>
        <v>23.370328378378378</v>
      </c>
      <c r="L74" s="271">
        <f t="shared" si="224"/>
        <v>21.328051410355485</v>
      </c>
      <c r="M74" s="271">
        <f t="shared" si="224"/>
        <v>14.156428951098514</v>
      </c>
      <c r="N74" s="337">
        <f t="shared" si="224"/>
        <v>19.389400442770032</v>
      </c>
      <c r="O74" s="317">
        <f t="shared" si="224"/>
        <v>20.435689500121402</v>
      </c>
      <c r="P74" s="345">
        <f t="shared" si="224"/>
        <v>18.809978909013797</v>
      </c>
      <c r="Q74" s="50">
        <f t="shared" si="224"/>
        <v>17.215011986480512</v>
      </c>
      <c r="R74" s="50">
        <f t="shared" si="224"/>
        <v>15.698015748530333</v>
      </c>
      <c r="S74" s="50">
        <f t="shared" si="224"/>
        <v>14.123363270180219</v>
      </c>
      <c r="T74" s="115">
        <f t="shared" si="224"/>
        <v>12.682601823887685</v>
      </c>
      <c r="U74" s="50">
        <f t="shared" si="224"/>
        <v>11.240578078792215</v>
      </c>
      <c r="Y74" s="167"/>
      <c r="Z74" s="167"/>
      <c r="AA74" s="167"/>
      <c r="AB74" s="167"/>
      <c r="AC74" s="167"/>
      <c r="AD74" s="167"/>
      <c r="AE74" s="167"/>
    </row>
    <row r="75" spans="3:31" ht="18" customHeight="1" x14ac:dyDescent="0.25">
      <c r="C75" s="49" t="s">
        <v>101</v>
      </c>
      <c r="D75" s="49"/>
      <c r="E75" s="49"/>
      <c r="F75" s="49"/>
      <c r="G75" s="142">
        <f t="shared" ref="G75:H75" si="225">G49/G59</f>
        <v>8.4709305415128652E-2</v>
      </c>
      <c r="H75" s="142">
        <f t="shared" si="225"/>
        <v>7.0591332715447583E-2</v>
      </c>
      <c r="I75" s="142">
        <f t="shared" ref="I75:U75" si="226">I49/I59</f>
        <v>8.7724829142188238E-2</v>
      </c>
      <c r="J75" s="142">
        <f t="shared" si="226"/>
        <v>7.6596517062503006E-2</v>
      </c>
      <c r="K75" s="142">
        <f t="shared" si="226"/>
        <v>5.6258541717456111E-2</v>
      </c>
      <c r="L75" s="273">
        <f t="shared" si="226"/>
        <v>6.2344324304064835E-2</v>
      </c>
      <c r="M75" s="273">
        <f t="shared" si="226"/>
        <v>9.0455407879925731E-2</v>
      </c>
      <c r="N75" s="339">
        <f t="shared" si="226"/>
        <v>6.1541572817833727E-2</v>
      </c>
      <c r="O75" s="319">
        <f t="shared" si="226"/>
        <v>5.8458658393723439E-2</v>
      </c>
      <c r="P75" s="347">
        <f t="shared" si="226"/>
        <v>6.3668530988347891E-2</v>
      </c>
      <c r="Q75" s="142">
        <f t="shared" si="226"/>
        <v>6.9832129532298448E-2</v>
      </c>
      <c r="R75" s="142">
        <f t="shared" si="226"/>
        <v>7.6928285608965488E-2</v>
      </c>
      <c r="S75" s="142">
        <f t="shared" si="226"/>
        <v>8.5955628227179753E-2</v>
      </c>
      <c r="T75" s="143">
        <f t="shared" si="226"/>
        <v>9.6539861846706362E-2</v>
      </c>
      <c r="U75" s="142">
        <f t="shared" si="226"/>
        <v>0.11038815124222932</v>
      </c>
      <c r="Z75" s="56"/>
      <c r="AA75" s="56"/>
    </row>
    <row r="76" spans="3:31" ht="18" customHeight="1" thickBot="1" x14ac:dyDescent="0.3">
      <c r="C76" s="51" t="s">
        <v>152</v>
      </c>
      <c r="D76" s="51"/>
      <c r="E76" s="51"/>
      <c r="F76" s="51"/>
      <c r="G76" s="52">
        <f t="shared" ref="G76:H76" si="227">G49/G65</f>
        <v>5.2367962743209318E-2</v>
      </c>
      <c r="H76" s="52">
        <f t="shared" si="227"/>
        <v>4.7578277390725121E-2</v>
      </c>
      <c r="I76" s="52">
        <f t="shared" ref="I76:U76" si="228">I49/I65</f>
        <v>5.6983166933111944E-2</v>
      </c>
      <c r="J76" s="52">
        <f t="shared" si="228"/>
        <v>5.1155536297192612E-2</v>
      </c>
      <c r="K76" s="52">
        <f t="shared" si="228"/>
        <v>4.2789300338850783E-2</v>
      </c>
      <c r="L76" s="52">
        <f t="shared" si="228"/>
        <v>4.6886608661983367E-2</v>
      </c>
      <c r="M76" s="52">
        <f t="shared" si="228"/>
        <v>7.0639283639565176E-2</v>
      </c>
      <c r="N76" s="340">
        <f t="shared" si="228"/>
        <v>5.1574570495442132E-2</v>
      </c>
      <c r="O76" s="320">
        <f t="shared" si="228"/>
        <v>4.8933998532031876E-2</v>
      </c>
      <c r="P76" s="348">
        <f t="shared" si="228"/>
        <v>5.3163270668038713E-2</v>
      </c>
      <c r="Q76" s="52">
        <f t="shared" si="228"/>
        <v>5.8088835534086836E-2</v>
      </c>
      <c r="R76" s="52">
        <f t="shared" si="228"/>
        <v>6.3702318561734222E-2</v>
      </c>
      <c r="S76" s="52">
        <f t="shared" si="228"/>
        <v>7.0804664644672818E-2</v>
      </c>
      <c r="T76" s="118">
        <f t="shared" si="228"/>
        <v>7.8848174364072487E-2</v>
      </c>
      <c r="U76" s="52">
        <f t="shared" si="228"/>
        <v>8.8963396098525993E-2</v>
      </c>
    </row>
    <row r="77" spans="3:31" ht="18" customHeight="1" x14ac:dyDescent="0.25">
      <c r="L77" s="251"/>
      <c r="M77" s="251"/>
      <c r="N77" s="321"/>
      <c r="O77" s="184"/>
      <c r="P77" s="116"/>
    </row>
    <row r="78" spans="3:31" ht="18" customHeight="1" thickBot="1" x14ac:dyDescent="0.3">
      <c r="C78" s="2" t="s">
        <v>102</v>
      </c>
      <c r="L78" s="522">
        <v>7.0000000000000007E-2</v>
      </c>
      <c r="M78" s="522">
        <v>7.0000000000000007E-2</v>
      </c>
      <c r="N78" s="523">
        <v>7.0000000000000007E-2</v>
      </c>
      <c r="O78" s="524">
        <v>7.0000000000000007E-2</v>
      </c>
      <c r="P78" s="525">
        <v>7.0000000000000007E-2</v>
      </c>
      <c r="Q78" s="526">
        <v>7.0000000000000007E-2</v>
      </c>
      <c r="R78" s="526">
        <v>7.0000000000000007E-2</v>
      </c>
      <c r="S78" s="526">
        <v>7.0000000000000007E-2</v>
      </c>
      <c r="T78" s="526">
        <v>7.0000000000000007E-2</v>
      </c>
      <c r="U78" s="526">
        <v>7.0000000000000007E-2</v>
      </c>
    </row>
    <row r="79" spans="3:31" ht="18" customHeight="1" x14ac:dyDescent="0.25">
      <c r="C79" s="59" t="s">
        <v>103</v>
      </c>
      <c r="D79" s="59"/>
      <c r="E79" s="59"/>
      <c r="F79" s="59"/>
      <c r="G79" s="59"/>
      <c r="H79" s="59"/>
      <c r="I79" s="59"/>
      <c r="J79" s="59"/>
      <c r="K79" s="59"/>
      <c r="L79" s="60">
        <f t="shared" ref="L79:U79" si="229">L49/L78/L58</f>
        <v>174.32363708620869</v>
      </c>
      <c r="M79" s="60">
        <f t="shared" si="229"/>
        <v>314.03533175685072</v>
      </c>
      <c r="N79" s="341">
        <f t="shared" si="229"/>
        <v>318.92601364853374</v>
      </c>
      <c r="O79" s="232">
        <f t="shared" si="229"/>
        <v>302.94947027010164</v>
      </c>
      <c r="P79" s="61">
        <f t="shared" si="229"/>
        <v>329.94851859047253</v>
      </c>
      <c r="Q79" s="60">
        <f t="shared" si="229"/>
        <v>361.89004727337976</v>
      </c>
      <c r="R79" s="60">
        <f t="shared" si="229"/>
        <v>398.66435553583307</v>
      </c>
      <c r="S79" s="60">
        <f t="shared" si="229"/>
        <v>445.44662422416746</v>
      </c>
      <c r="T79" s="60">
        <f t="shared" si="229"/>
        <v>500.29714690730282</v>
      </c>
      <c r="U79" s="60">
        <f t="shared" si="229"/>
        <v>572.06293920901578</v>
      </c>
    </row>
    <row r="80" spans="3:31" ht="18" customHeight="1" x14ac:dyDescent="0.25">
      <c r="C80" s="54" t="s">
        <v>104</v>
      </c>
      <c r="D80" s="69"/>
      <c r="E80" s="69"/>
      <c r="F80" s="69"/>
      <c r="G80" s="69"/>
      <c r="H80" s="69"/>
      <c r="I80" s="69"/>
      <c r="J80" s="69"/>
      <c r="K80" s="69"/>
      <c r="L80" s="267">
        <f t="shared" ref="L80:U80" si="230">L79/L57-1</f>
        <v>-0.10936679565621676</v>
      </c>
      <c r="M80" s="267">
        <f t="shared" si="230"/>
        <v>0.2922201125703674</v>
      </c>
      <c r="N80" s="328">
        <f t="shared" si="230"/>
        <v>-0.12083467403094672</v>
      </c>
      <c r="O80" s="188">
        <f t="shared" si="230"/>
        <v>-0.16487630866109371</v>
      </c>
      <c r="P80" s="70">
        <f t="shared" si="230"/>
        <v>-9.044955730931592E-2</v>
      </c>
      <c r="Q80" s="55">
        <f t="shared" si="230"/>
        <v>-2.3981495385936302E-3</v>
      </c>
      <c r="R80" s="55">
        <f t="shared" si="230"/>
        <v>9.8975508699506776E-2</v>
      </c>
      <c r="S80" s="55">
        <f t="shared" si="230"/>
        <v>0.22793754610256767</v>
      </c>
      <c r="T80" s="55">
        <f t="shared" si="230"/>
        <v>0.37914088352437658</v>
      </c>
      <c r="U80" s="55">
        <f t="shared" si="230"/>
        <v>0.57697358917470454</v>
      </c>
    </row>
    <row r="81" spans="3:24" ht="18" customHeight="1" thickBot="1" x14ac:dyDescent="0.3">
      <c r="C81" s="2" t="s">
        <v>247</v>
      </c>
      <c r="L81" s="522">
        <v>5.5E-2</v>
      </c>
      <c r="M81" s="522">
        <v>5.5E-2</v>
      </c>
      <c r="N81" s="523">
        <v>5.5E-2</v>
      </c>
      <c r="O81" s="524">
        <v>5.5E-2</v>
      </c>
      <c r="P81" s="525">
        <v>5.5E-2</v>
      </c>
      <c r="Q81" s="526">
        <v>5.5E-2</v>
      </c>
      <c r="R81" s="526">
        <v>5.5E-2</v>
      </c>
      <c r="S81" s="526">
        <v>5.5E-2</v>
      </c>
      <c r="T81" s="526">
        <v>5.5E-2</v>
      </c>
      <c r="U81" s="526">
        <v>5.5E-2</v>
      </c>
    </row>
    <row r="82" spans="3:24" ht="18" customHeight="1" x14ac:dyDescent="0.25">
      <c r="C82" s="59" t="s">
        <v>103</v>
      </c>
      <c r="D82" s="59"/>
      <c r="E82" s="59"/>
      <c r="F82" s="59"/>
      <c r="G82" s="59"/>
      <c r="H82" s="59"/>
      <c r="I82" s="59"/>
      <c r="J82" s="59"/>
      <c r="K82" s="59"/>
      <c r="L82" s="60">
        <f t="shared" ref="L82:U82" si="231">(L49/L81-L63)/L58</f>
        <v>157.37909543129149</v>
      </c>
      <c r="M82" s="60">
        <f t="shared" si="231"/>
        <v>331.52553775338589</v>
      </c>
      <c r="N82" s="341">
        <f t="shared" si="231"/>
        <v>335.81320228460316</v>
      </c>
      <c r="O82" s="232">
        <f t="shared" si="231"/>
        <v>314.97601806049323</v>
      </c>
      <c r="P82" s="61">
        <f t="shared" si="231"/>
        <v>348.26488363861813</v>
      </c>
      <c r="Q82" s="60">
        <f t="shared" si="231"/>
        <v>387.26513884614849</v>
      </c>
      <c r="R82" s="60">
        <f t="shared" si="231"/>
        <v>432.08861127014688</v>
      </c>
      <c r="S82" s="60">
        <f t="shared" si="231"/>
        <v>489.32292005804442</v>
      </c>
      <c r="T82" s="60">
        <f t="shared" si="231"/>
        <v>555.36307274023557</v>
      </c>
      <c r="U82" s="60">
        <f t="shared" si="231"/>
        <v>640.73523168346412</v>
      </c>
    </row>
    <row r="83" spans="3:24" ht="18" customHeight="1" x14ac:dyDescent="0.25">
      <c r="C83" s="54" t="s">
        <v>104</v>
      </c>
      <c r="D83" s="69"/>
      <c r="E83" s="69"/>
      <c r="F83" s="69"/>
      <c r="G83" s="69"/>
      <c r="H83" s="69"/>
      <c r="I83" s="69"/>
      <c r="J83" s="69"/>
      <c r="K83" s="69"/>
      <c r="L83" s="267">
        <f>L82/L57-1</f>
        <v>-0.19593779476170492</v>
      </c>
      <c r="M83" s="267">
        <f t="shared" ref="M83:U83" si="232">M82/M57-1</f>
        <v>0.36419034545875184</v>
      </c>
      <c r="N83" s="328">
        <f t="shared" si="232"/>
        <v>-7.4282715060637439E-2</v>
      </c>
      <c r="O83" s="188">
        <f t="shared" si="232"/>
        <v>-0.13172340373664893</v>
      </c>
      <c r="P83" s="70">
        <f t="shared" si="232"/>
        <v>-3.9957868456780954E-2</v>
      </c>
      <c r="Q83" s="55">
        <f t="shared" si="232"/>
        <v>6.7551931982987368E-2</v>
      </c>
      <c r="R83" s="55">
        <f t="shared" si="232"/>
        <v>0.1911142663748675</v>
      </c>
      <c r="S83" s="55">
        <f t="shared" si="232"/>
        <v>0.34888885229364996</v>
      </c>
      <c r="T83" s="55">
        <f t="shared" si="232"/>
        <v>0.53093801064129331</v>
      </c>
      <c r="U83" s="55">
        <f t="shared" si="232"/>
        <v>0.76627861860035318</v>
      </c>
    </row>
    <row r="84" spans="3:24" ht="18" customHeight="1" x14ac:dyDescent="0.25">
      <c r="C84" s="54"/>
      <c r="D84" s="69"/>
      <c r="E84" s="69"/>
      <c r="F84" s="69"/>
      <c r="G84" s="69"/>
      <c r="H84" s="69"/>
      <c r="I84" s="69"/>
      <c r="J84" s="69"/>
      <c r="K84" s="69"/>
      <c r="L84" s="267"/>
      <c r="M84" s="267"/>
      <c r="N84" s="328"/>
      <c r="O84" s="188"/>
      <c r="P84" s="70"/>
      <c r="Q84" s="55"/>
      <c r="R84" s="55"/>
      <c r="S84" s="55"/>
      <c r="T84" s="55"/>
      <c r="U84" s="55"/>
    </row>
    <row r="85" spans="3:24" ht="18" customHeight="1" thickBot="1" x14ac:dyDescent="0.3">
      <c r="C85" s="62" t="s">
        <v>114</v>
      </c>
      <c r="D85" s="62"/>
      <c r="E85" s="62"/>
      <c r="F85" s="62"/>
      <c r="G85" s="62"/>
      <c r="H85" s="62"/>
      <c r="I85" s="62"/>
      <c r="J85" s="62"/>
      <c r="K85" s="62"/>
      <c r="L85" s="63">
        <f t="shared" ref="L85:U85" si="233">(L79*L58+L63+L64)/L29</f>
        <v>12.510379475310819</v>
      </c>
      <c r="M85" s="63">
        <f t="shared" si="233"/>
        <v>12.989023352557435</v>
      </c>
      <c r="N85" s="342">
        <f t="shared" si="233"/>
        <v>12.333013871207577</v>
      </c>
      <c r="O85" s="233">
        <f t="shared" si="233"/>
        <v>11.593533929414081</v>
      </c>
      <c r="P85" s="64">
        <f t="shared" si="233"/>
        <v>11.139036342782969</v>
      </c>
      <c r="Q85" s="63">
        <f t="shared" si="233"/>
        <v>10.960642570392617</v>
      </c>
      <c r="R85" s="63">
        <f t="shared" si="233"/>
        <v>10.808814690210665</v>
      </c>
      <c r="S85" s="63">
        <f t="shared" si="233"/>
        <v>10.726851667901883</v>
      </c>
      <c r="T85" s="63">
        <f t="shared" si="233"/>
        <v>10.665668570047153</v>
      </c>
      <c r="U85" s="63">
        <f t="shared" si="233"/>
        <v>10.634032163110371</v>
      </c>
    </row>
    <row r="86" spans="3:24" ht="18" customHeight="1" x14ac:dyDescent="0.25">
      <c r="C86" s="2" t="s">
        <v>115</v>
      </c>
      <c r="L86" s="243">
        <f t="shared" ref="L86:U86" si="234">(L79*L58+L63+L64)/L45</f>
        <v>16.307310253485891</v>
      </c>
      <c r="M86" s="315">
        <f t="shared" si="234"/>
        <v>15.231986252009534</v>
      </c>
      <c r="N86" s="334">
        <f t="shared" si="234"/>
        <v>14.806579569697577</v>
      </c>
      <c r="O86" s="187">
        <f t="shared" si="234"/>
        <v>14.538302581914897</v>
      </c>
      <c r="P86" s="58">
        <f t="shared" si="234"/>
        <v>14.242407287590231</v>
      </c>
      <c r="Q86" s="6">
        <f t="shared" si="234"/>
        <v>14.014714144892768</v>
      </c>
      <c r="R86" s="6">
        <f t="shared" si="234"/>
        <v>13.829911273760548</v>
      </c>
      <c r="S86" s="6">
        <f t="shared" si="234"/>
        <v>13.729845923498402</v>
      </c>
      <c r="T86" s="6">
        <f t="shared" si="234"/>
        <v>13.660817921031569</v>
      </c>
      <c r="U86" s="6">
        <f t="shared" si="234"/>
        <v>13.613404449399139</v>
      </c>
    </row>
    <row r="87" spans="3:24" ht="18" customHeight="1" x14ac:dyDescent="0.25">
      <c r="L87" s="243"/>
      <c r="M87" s="243"/>
      <c r="N87" s="334"/>
      <c r="O87" s="187"/>
      <c r="P87" s="58"/>
      <c r="Q87" s="6"/>
      <c r="R87" s="6"/>
      <c r="S87" s="6"/>
      <c r="T87" s="6"/>
      <c r="U87" s="6"/>
    </row>
    <row r="88" spans="3:24" ht="18" customHeight="1" x14ac:dyDescent="0.25">
      <c r="C88" s="2" t="s">
        <v>370</v>
      </c>
      <c r="L88" s="259">
        <v>10</v>
      </c>
      <c r="M88" s="259">
        <f>L88</f>
        <v>10</v>
      </c>
      <c r="N88" s="343">
        <f>M88</f>
        <v>10</v>
      </c>
      <c r="O88" s="234">
        <f>N88</f>
        <v>10</v>
      </c>
      <c r="P88" s="275">
        <f>O88</f>
        <v>10</v>
      </c>
      <c r="Q88" s="23">
        <f t="shared" ref="Q88" si="235">P88</f>
        <v>10</v>
      </c>
      <c r="R88" s="23">
        <f t="shared" ref="R88" si="236">Q88</f>
        <v>10</v>
      </c>
      <c r="S88" s="23">
        <f t="shared" ref="S88" si="237">R88</f>
        <v>10</v>
      </c>
      <c r="T88" s="23">
        <f t="shared" ref="T88" si="238">S88</f>
        <v>10</v>
      </c>
      <c r="U88" s="23">
        <f t="shared" ref="U88" si="239">T88</f>
        <v>10</v>
      </c>
    </row>
    <row r="89" spans="3:24" ht="18" customHeight="1" x14ac:dyDescent="0.25">
      <c r="C89" s="16" t="s">
        <v>109</v>
      </c>
      <c r="D89" s="16"/>
      <c r="E89" s="16"/>
      <c r="F89" s="16"/>
      <c r="G89" s="16"/>
      <c r="H89" s="16"/>
      <c r="I89" s="16"/>
      <c r="J89" s="16"/>
      <c r="K89" s="16"/>
      <c r="L89" s="636">
        <f t="shared" ref="L89:U89" si="240">(L88*L29-L63)/L58</f>
        <v>126.43609873399816</v>
      </c>
      <c r="M89" s="636">
        <f t="shared" si="240"/>
        <v>226.09931840311586</v>
      </c>
      <c r="N89" s="637">
        <f t="shared" si="240"/>
        <v>245.34600243645463</v>
      </c>
      <c r="O89" s="638">
        <f t="shared" si="240"/>
        <v>251.6164708147642</v>
      </c>
      <c r="P89" s="639">
        <f t="shared" si="240"/>
        <v>288.89233694380164</v>
      </c>
      <c r="Q89" s="636">
        <f t="shared" si="240"/>
        <v>323.75849678832623</v>
      </c>
      <c r="R89" s="636">
        <f t="shared" si="240"/>
        <v>363.21110654394715</v>
      </c>
      <c r="S89" s="636">
        <f t="shared" si="240"/>
        <v>410.0184949861715</v>
      </c>
      <c r="T89" s="636">
        <f t="shared" si="240"/>
        <v>464.00854382097134</v>
      </c>
      <c r="U89" s="636">
        <f t="shared" si="240"/>
        <v>532.76347229775001</v>
      </c>
    </row>
    <row r="90" spans="3:24" ht="18" customHeight="1" x14ac:dyDescent="0.25">
      <c r="C90" s="54" t="s">
        <v>112</v>
      </c>
      <c r="D90" s="15"/>
      <c r="E90" s="15"/>
      <c r="F90" s="15"/>
      <c r="G90" s="15"/>
      <c r="H90" s="15"/>
      <c r="I90" s="15"/>
      <c r="J90" s="15"/>
      <c r="K90" s="15"/>
      <c r="L90" s="267">
        <f t="shared" ref="L90:U90" si="241">L89/L57-1</f>
        <v>-0.35402800422010849</v>
      </c>
      <c r="M90" s="267">
        <f t="shared" si="241"/>
        <v>-6.9626703962160086E-2</v>
      </c>
      <c r="N90" s="328">
        <f t="shared" si="241"/>
        <v>-0.32366853446781718</v>
      </c>
      <c r="O90" s="188">
        <f t="shared" si="241"/>
        <v>-0.30638308850268992</v>
      </c>
      <c r="P90" s="70">
        <f t="shared" si="241"/>
        <v>-0.20362681402634897</v>
      </c>
      <c r="Q90" s="55">
        <f t="shared" si="241"/>
        <v>-0.10751324074229174</v>
      </c>
      <c r="R90" s="55">
        <f t="shared" si="241"/>
        <v>1.2435399270789294E-3</v>
      </c>
      <c r="S90" s="55">
        <f t="shared" si="241"/>
        <v>0.13027482353669506</v>
      </c>
      <c r="T90" s="55">
        <f t="shared" si="241"/>
        <v>0.27910614130822409</v>
      </c>
      <c r="U90" s="55">
        <f t="shared" si="241"/>
        <v>0.46863896873346023</v>
      </c>
    </row>
    <row r="91" spans="3:24" ht="18" customHeight="1" x14ac:dyDescent="0.25">
      <c r="L91" s="243"/>
      <c r="M91" s="243"/>
      <c r="N91" s="334"/>
      <c r="O91" s="187"/>
      <c r="P91" s="58"/>
      <c r="Q91" s="6"/>
      <c r="R91" s="6"/>
      <c r="S91" s="6"/>
      <c r="T91" s="6"/>
      <c r="U91" s="6"/>
    </row>
    <row r="92" spans="3:24" ht="18" customHeight="1" x14ac:dyDescent="0.25">
      <c r="C92" s="2" t="s">
        <v>124</v>
      </c>
      <c r="L92" s="259">
        <v>15</v>
      </c>
      <c r="M92" s="259">
        <v>15</v>
      </c>
      <c r="N92" s="343">
        <v>15</v>
      </c>
      <c r="O92" s="234">
        <v>15</v>
      </c>
      <c r="P92" s="275">
        <v>15</v>
      </c>
      <c r="Q92" s="23">
        <v>15</v>
      </c>
      <c r="R92" s="23">
        <v>15</v>
      </c>
      <c r="S92" s="23">
        <v>15</v>
      </c>
      <c r="T92" s="23">
        <v>15</v>
      </c>
      <c r="U92" s="23">
        <v>15</v>
      </c>
    </row>
    <row r="93" spans="3:24" ht="18" customHeight="1" x14ac:dyDescent="0.25">
      <c r="C93" s="16" t="s">
        <v>109</v>
      </c>
      <c r="D93" s="16"/>
      <c r="E93" s="16"/>
      <c r="F93" s="16"/>
      <c r="G93" s="16"/>
      <c r="H93" s="16"/>
      <c r="I93" s="16"/>
      <c r="J93" s="16"/>
      <c r="K93" s="16"/>
      <c r="L93" s="636">
        <f t="shared" ref="L93:U93" si="242">(L92*L45-L63)/L58</f>
        <v>155.21701204705661</v>
      </c>
      <c r="M93" s="636">
        <f t="shared" si="242"/>
        <v>308.23174294060368</v>
      </c>
      <c r="N93" s="637">
        <f t="shared" si="242"/>
        <v>324.0202391221639</v>
      </c>
      <c r="O93" s="638">
        <f t="shared" si="242"/>
        <v>314.82533014395841</v>
      </c>
      <c r="P93" s="639">
        <f t="shared" si="242"/>
        <v>351.32551902131985</v>
      </c>
      <c r="Q93" s="636">
        <f t="shared" si="242"/>
        <v>392.50174058926524</v>
      </c>
      <c r="R93" s="636">
        <f t="shared" si="242"/>
        <v>438.78020505881921</v>
      </c>
      <c r="S93" s="636">
        <f t="shared" si="242"/>
        <v>493.85131374887692</v>
      </c>
      <c r="T93" s="636">
        <f t="shared" si="242"/>
        <v>557.33704499459918</v>
      </c>
      <c r="U93" s="636">
        <f t="shared" si="242"/>
        <v>639.24619898199103</v>
      </c>
    </row>
    <row r="94" spans="3:24" ht="18" customHeight="1" x14ac:dyDescent="0.25">
      <c r="C94" s="54" t="s">
        <v>112</v>
      </c>
      <c r="D94" s="15"/>
      <c r="E94" s="15"/>
      <c r="F94" s="15"/>
      <c r="G94" s="15"/>
      <c r="H94" s="15"/>
      <c r="I94" s="15"/>
      <c r="J94" s="15"/>
      <c r="K94" s="15"/>
      <c r="L94" s="267">
        <f t="shared" ref="L94:U94" si="243">L93/L57-1</f>
        <v>-0.20698404921546709</v>
      </c>
      <c r="M94" s="267">
        <f t="shared" si="243"/>
        <v>0.26833899654597837</v>
      </c>
      <c r="N94" s="328">
        <f t="shared" si="243"/>
        <v>-0.1067917104362005</v>
      </c>
      <c r="O94" s="188">
        <f t="shared" si="243"/>
        <v>-0.1321387966039298</v>
      </c>
      <c r="P94" s="70">
        <f t="shared" si="243"/>
        <v>-3.152078778994416E-2</v>
      </c>
      <c r="Q94" s="55">
        <f t="shared" si="243"/>
        <v>8.1987376197114381E-2</v>
      </c>
      <c r="R94" s="55">
        <f t="shared" si="243"/>
        <v>0.20956060496972984</v>
      </c>
      <c r="S94" s="55">
        <f t="shared" si="243"/>
        <v>0.36137201937610808</v>
      </c>
      <c r="T94" s="55">
        <f t="shared" si="243"/>
        <v>0.53637954844690494</v>
      </c>
      <c r="U94" s="55">
        <f t="shared" si="243"/>
        <v>0.76217388626637739</v>
      </c>
    </row>
    <row r="95" spans="3:24" ht="18" customHeight="1" x14ac:dyDescent="0.25">
      <c r="L95" s="251"/>
      <c r="M95" s="251"/>
      <c r="N95" s="321"/>
    </row>
    <row r="96" spans="3:24" ht="18" customHeight="1" x14ac:dyDescent="0.25">
      <c r="C96" s="2" t="s">
        <v>623</v>
      </c>
      <c r="K96" s="6"/>
      <c r="L96" s="243">
        <f t="shared" ref="L96:U96" si="244">L49+L48</f>
        <v>6383</v>
      </c>
      <c r="M96" s="243">
        <f t="shared" si="244"/>
        <v>11209</v>
      </c>
      <c r="N96" s="334">
        <f t="shared" si="244"/>
        <v>10826.643348788382</v>
      </c>
      <c r="O96" s="6">
        <f t="shared" si="244"/>
        <v>10053.159374073681</v>
      </c>
      <c r="P96" s="6">
        <f t="shared" si="244"/>
        <v>10552.133981843352</v>
      </c>
      <c r="Q96" s="6">
        <f t="shared" si="244"/>
        <v>11085.486295587361</v>
      </c>
      <c r="R96" s="6">
        <f t="shared" si="244"/>
        <v>11654.802934956759</v>
      </c>
      <c r="S96" s="6">
        <f t="shared" si="244"/>
        <v>12334.961459530143</v>
      </c>
      <c r="T96" s="6">
        <f t="shared" si="244"/>
        <v>13039.119465558313</v>
      </c>
      <c r="U96" s="6">
        <f t="shared" si="244"/>
        <v>13811.093072402469</v>
      </c>
      <c r="V96" s="6">
        <f>U96/(W97-W96)</f>
        <v>276221.86144804937</v>
      </c>
      <c r="W96" s="114">
        <v>0.03</v>
      </c>
      <c r="X96" s="2" t="s">
        <v>110</v>
      </c>
    </row>
    <row r="97" spans="3:24" ht="18" customHeight="1" x14ac:dyDescent="0.25">
      <c r="C97" s="2" t="s">
        <v>106</v>
      </c>
      <c r="K97" s="7"/>
      <c r="L97" s="258"/>
      <c r="M97" s="258"/>
      <c r="N97" s="333"/>
      <c r="O97" s="7">
        <v>0.5</v>
      </c>
      <c r="P97" s="7">
        <f>O97+1</f>
        <v>1.5</v>
      </c>
      <c r="Q97" s="7">
        <f t="shared" ref="Q97:S97" si="245">P97+1</f>
        <v>2.5</v>
      </c>
      <c r="R97" s="7">
        <f t="shared" si="245"/>
        <v>3.5</v>
      </c>
      <c r="S97" s="7">
        <f t="shared" si="245"/>
        <v>4.5</v>
      </c>
      <c r="T97" s="7">
        <f t="shared" ref="T97" si="246">S97+1</f>
        <v>5.5</v>
      </c>
      <c r="U97" s="7">
        <f t="shared" ref="U97" si="247">T97+1</f>
        <v>6.5</v>
      </c>
      <c r="V97" s="7">
        <f>U97+0.5</f>
        <v>7</v>
      </c>
      <c r="W97" s="53">
        <v>0.08</v>
      </c>
      <c r="X97" s="2" t="s">
        <v>111</v>
      </c>
    </row>
    <row r="98" spans="3:24" ht="18" customHeight="1" x14ac:dyDescent="0.25">
      <c r="C98" s="2" t="s">
        <v>107</v>
      </c>
      <c r="K98" s="7"/>
      <c r="L98" s="258"/>
      <c r="M98" s="258"/>
      <c r="N98" s="333"/>
      <c r="O98" s="7">
        <f t="shared" ref="O98:S98" si="248">1/((1+$W$97)^O97)</f>
        <v>0.96225044864937614</v>
      </c>
      <c r="P98" s="7">
        <f t="shared" si="248"/>
        <v>0.89097263763831136</v>
      </c>
      <c r="Q98" s="7">
        <f t="shared" si="248"/>
        <v>0.82497466447991774</v>
      </c>
      <c r="R98" s="7">
        <f t="shared" si="248"/>
        <v>0.76386543007399788</v>
      </c>
      <c r="S98" s="7">
        <f t="shared" si="248"/>
        <v>0.70728280562407209</v>
      </c>
      <c r="T98" s="7">
        <f t="shared" ref="T98:U98" si="249">1/((1+$W$97)^T97)</f>
        <v>0.65489148668895558</v>
      </c>
      <c r="U98" s="7">
        <f t="shared" si="249"/>
        <v>0.60638100619347735</v>
      </c>
      <c r="V98" s="7">
        <f>1/((1+$W$97)^V97)</f>
        <v>0.58349039526213387</v>
      </c>
      <c r="W98" s="192">
        <f>V96/U45</f>
        <v>16.53381412259203</v>
      </c>
    </row>
    <row r="99" spans="3:24" ht="18" customHeight="1" thickBot="1" x14ac:dyDescent="0.3">
      <c r="C99" s="2" t="s">
        <v>108</v>
      </c>
      <c r="K99" s="231"/>
      <c r="L99" s="243"/>
      <c r="M99" s="243"/>
      <c r="N99" s="641"/>
      <c r="O99" s="6">
        <f t="shared" ref="O99:P99" si="250">O96*O98</f>
        <v>9673.6571180460815</v>
      </c>
      <c r="P99" s="6">
        <f t="shared" si="250"/>
        <v>9401.6626465158279</v>
      </c>
      <c r="Q99" s="6">
        <f t="shared" ref="Q99:S99" si="251">Q96*Q98</f>
        <v>9145.2453372989094</v>
      </c>
      <c r="R99" s="6">
        <f t="shared" si="251"/>
        <v>8902.7010563384374</v>
      </c>
      <c r="S99" s="6">
        <f t="shared" si="251"/>
        <v>8724.3061483612782</v>
      </c>
      <c r="T99" s="6">
        <f t="shared" ref="T99:U99" si="252">T96*T98</f>
        <v>8539.208331914384</v>
      </c>
      <c r="U99" s="6">
        <f t="shared" si="252"/>
        <v>8374.7845138751745</v>
      </c>
      <c r="V99" s="6">
        <f t="shared" ref="V99" si="253">V96*V98</f>
        <v>161172.8031163647</v>
      </c>
    </row>
    <row r="100" spans="3:24" ht="18" customHeight="1" thickBot="1" x14ac:dyDescent="0.3">
      <c r="C100" s="17" t="s">
        <v>109</v>
      </c>
      <c r="D100" s="17"/>
      <c r="E100" s="17"/>
      <c r="F100" s="17"/>
      <c r="G100" s="17"/>
      <c r="H100" s="17"/>
      <c r="I100" s="17"/>
      <c r="J100" s="17"/>
      <c r="K100" s="640">
        <f>(SUM(K99:V99)-N63-N64)/N58</f>
        <v>387.46950461625556</v>
      </c>
      <c r="L100" s="251"/>
      <c r="M100" s="251"/>
      <c r="N100" s="642"/>
    </row>
    <row r="101" spans="3:24" ht="18" customHeight="1" x14ac:dyDescent="0.25">
      <c r="C101" s="14" t="s">
        <v>112</v>
      </c>
      <c r="K101" s="9">
        <f>K100/N57-1</f>
        <v>6.8115295556995248E-2</v>
      </c>
      <c r="L101" s="251"/>
      <c r="M101" s="251"/>
      <c r="N101" s="643"/>
      <c r="S101" s="647" t="s">
        <v>191</v>
      </c>
      <c r="T101" s="648"/>
      <c r="U101" s="648"/>
      <c r="V101" s="649"/>
    </row>
    <row r="102" spans="3:24" ht="18" customHeight="1" x14ac:dyDescent="0.25">
      <c r="K102" s="646"/>
      <c r="L102" s="251"/>
      <c r="M102" s="251"/>
      <c r="N102" s="643"/>
      <c r="O102" s="24"/>
      <c r="P102" s="24"/>
      <c r="S102" s="24">
        <v>2022</v>
      </c>
      <c r="T102" s="24">
        <v>2023</v>
      </c>
      <c r="U102" s="24">
        <v>2024</v>
      </c>
      <c r="V102" s="24">
        <v>2025</v>
      </c>
    </row>
    <row r="103" spans="3:24" ht="18" customHeight="1" x14ac:dyDescent="0.25">
      <c r="L103" s="251"/>
      <c r="M103" s="243"/>
      <c r="N103" s="641"/>
      <c r="O103" s="7"/>
      <c r="P103" s="6"/>
      <c r="S103" s="7">
        <f>Model!AL78</f>
        <v>13.841620105146522</v>
      </c>
      <c r="T103" s="7">
        <f>Model!AR78</f>
        <v>21.207400194741968</v>
      </c>
      <c r="U103" s="7">
        <f>Model!DD78</f>
        <v>0</v>
      </c>
      <c r="V103" s="7">
        <f>Model!BD78</f>
        <v>21.199987287493283</v>
      </c>
    </row>
    <row r="104" spans="3:24" ht="18" customHeight="1" x14ac:dyDescent="0.25">
      <c r="L104" s="251"/>
      <c r="M104" s="243"/>
      <c r="N104" s="641"/>
      <c r="O104" s="7"/>
      <c r="P104" s="6"/>
      <c r="T104" s="167">
        <f>T103/S103-1</f>
        <v>0.53214725109069705</v>
      </c>
      <c r="U104" s="167">
        <f>U103/T103-1</f>
        <v>-1</v>
      </c>
      <c r="V104" s="167" t="e">
        <f>V103/U103-1</f>
        <v>#DIV/0!</v>
      </c>
    </row>
    <row r="105" spans="3:24" ht="18" customHeight="1" x14ac:dyDescent="0.25">
      <c r="J105" s="7"/>
      <c r="K105" s="56"/>
      <c r="L105" s="274"/>
      <c r="M105" s="253"/>
      <c r="N105" s="644"/>
      <c r="O105" s="7"/>
      <c r="P105" s="8"/>
      <c r="Q105" s="57"/>
      <c r="R105" s="57"/>
      <c r="S105" s="23">
        <v>15</v>
      </c>
      <c r="T105" s="23">
        <f t="shared" ref="T105" si="254">S105</f>
        <v>15</v>
      </c>
      <c r="U105" s="23">
        <f t="shared" ref="U105:V105" si="255">T105</f>
        <v>15</v>
      </c>
      <c r="V105" s="23">
        <f t="shared" si="255"/>
        <v>15</v>
      </c>
    </row>
    <row r="106" spans="3:24" ht="18" customHeight="1" x14ac:dyDescent="0.25">
      <c r="J106" s="56"/>
      <c r="K106" s="7"/>
      <c r="L106" s="258"/>
      <c r="M106" s="258"/>
      <c r="N106" s="645"/>
      <c r="O106" s="7"/>
      <c r="P106" s="7"/>
      <c r="Q106" s="7"/>
      <c r="R106" s="7"/>
      <c r="S106" s="7">
        <f>S103*S105</f>
        <v>207.62430157719783</v>
      </c>
      <c r="T106" s="7">
        <f t="shared" ref="T106:V106" si="256">T103*T105</f>
        <v>318.11100292112951</v>
      </c>
      <c r="U106" s="7">
        <f t="shared" si="256"/>
        <v>0</v>
      </c>
      <c r="V106" s="7">
        <f t="shared" si="256"/>
        <v>317.99980931239924</v>
      </c>
    </row>
    <row r="107" spans="3:24" ht="18" customHeight="1" x14ac:dyDescent="0.25">
      <c r="J107" s="56"/>
      <c r="K107" s="7"/>
      <c r="L107" s="258"/>
      <c r="M107" s="258"/>
      <c r="N107" s="645"/>
      <c r="O107" s="7"/>
      <c r="P107" s="7"/>
      <c r="Q107" s="7"/>
      <c r="R107" s="7"/>
      <c r="S107" s="7"/>
      <c r="T107" s="7">
        <v>1</v>
      </c>
      <c r="U107" s="7">
        <f>T107+1</f>
        <v>2</v>
      </c>
      <c r="V107" s="7">
        <f>U107+1</f>
        <v>3</v>
      </c>
    </row>
    <row r="108" spans="3:24" ht="18" customHeight="1" x14ac:dyDescent="0.25">
      <c r="J108" s="22"/>
      <c r="K108" s="7"/>
      <c r="L108" s="258"/>
      <c r="M108" s="258"/>
      <c r="N108" s="333"/>
      <c r="O108" s="7"/>
      <c r="P108" s="7"/>
      <c r="Q108" s="7"/>
      <c r="R108" s="7"/>
      <c r="S108" s="8"/>
      <c r="T108" s="8">
        <f>(T106/T57)^(1/T107)-1</f>
        <v>-0.12308136806392789</v>
      </c>
      <c r="U108" s="8">
        <f>(U106/U57)^(1/U107)-1</f>
        <v>-1</v>
      </c>
      <c r="V108" s="8">
        <f>(V106/U57)^(1/V107)-1</f>
        <v>-4.294736765455498E-2</v>
      </c>
    </row>
    <row r="109" spans="3:24" ht="18" customHeight="1" x14ac:dyDescent="0.25">
      <c r="J109" s="22"/>
      <c r="K109" s="7"/>
      <c r="L109" s="258"/>
      <c r="M109" s="258"/>
      <c r="N109" s="333"/>
      <c r="O109" s="7"/>
      <c r="P109" s="7"/>
      <c r="Q109" s="7"/>
      <c r="R109" s="7"/>
      <c r="S109" s="7"/>
      <c r="T109" s="7"/>
      <c r="U109" s="7"/>
      <c r="V109" s="7"/>
    </row>
    <row r="110" spans="3:24" ht="18" customHeight="1" x14ac:dyDescent="0.25">
      <c r="C110" s="135" t="s">
        <v>198</v>
      </c>
      <c r="J110" s="22"/>
      <c r="K110" s="7"/>
      <c r="L110" s="258"/>
      <c r="M110" s="258"/>
      <c r="N110" s="333"/>
      <c r="O110" s="7">
        <f t="shared" ref="O110:V110" si="257">O96</f>
        <v>10053.159374073681</v>
      </c>
      <c r="P110" s="7">
        <f t="shared" si="257"/>
        <v>10552.133981843352</v>
      </c>
      <c r="Q110" s="7">
        <f t="shared" si="257"/>
        <v>11085.486295587361</v>
      </c>
      <c r="R110" s="7">
        <f t="shared" si="257"/>
        <v>11654.802934956759</v>
      </c>
      <c r="S110" s="7">
        <f t="shared" si="257"/>
        <v>12334.961459530143</v>
      </c>
      <c r="T110" s="7">
        <f t="shared" ref="T110:U110" si="258">T96</f>
        <v>13039.119465558313</v>
      </c>
      <c r="U110" s="7">
        <f t="shared" si="258"/>
        <v>13811.093072402469</v>
      </c>
      <c r="V110" s="7">
        <f t="shared" si="257"/>
        <v>276221.86144804937</v>
      </c>
    </row>
    <row r="111" spans="3:24" ht="18" customHeight="1" x14ac:dyDescent="0.25">
      <c r="L111" s="251"/>
      <c r="M111" s="243"/>
      <c r="N111" s="334"/>
      <c r="O111" s="6">
        <v>0.5</v>
      </c>
      <c r="P111" s="6">
        <f t="shared" ref="P111:S111" si="259">O111+1</f>
        <v>1.5</v>
      </c>
      <c r="Q111" s="6">
        <f t="shared" si="259"/>
        <v>2.5</v>
      </c>
      <c r="R111" s="6">
        <f t="shared" si="259"/>
        <v>3.5</v>
      </c>
      <c r="S111" s="6">
        <f t="shared" si="259"/>
        <v>4.5</v>
      </c>
      <c r="T111" s="6">
        <f t="shared" ref="T111" si="260">S111+1</f>
        <v>5.5</v>
      </c>
      <c r="U111" s="6">
        <f t="shared" ref="U111" si="261">T111+1</f>
        <v>6.5</v>
      </c>
      <c r="V111" s="6">
        <f>U111+0.5</f>
        <v>7</v>
      </c>
    </row>
    <row r="112" spans="3:24" ht="18" customHeight="1" x14ac:dyDescent="0.25">
      <c r="L112" s="251"/>
      <c r="M112" s="258"/>
      <c r="N112" s="333"/>
      <c r="O112" s="7">
        <f>1/((1+$W$97)^O111)</f>
        <v>0.96225044864937614</v>
      </c>
      <c r="P112" s="7">
        <f>1/((1+$W$97)^P111)</f>
        <v>0.89097263763831136</v>
      </c>
      <c r="Q112" s="7">
        <f t="shared" ref="Q112" si="262">1/((1+$W$97)^Q111)</f>
        <v>0.82497466447991774</v>
      </c>
      <c r="R112" s="7">
        <f t="shared" ref="R112" si="263">1/((1+$W$97)^R111)</f>
        <v>0.76386543007399788</v>
      </c>
      <c r="S112" s="7">
        <f t="shared" ref="S112:U112" si="264">1/((1+$W$97)^S111)</f>
        <v>0.70728280562407209</v>
      </c>
      <c r="T112" s="7">
        <f t="shared" si="264"/>
        <v>0.65489148668895558</v>
      </c>
      <c r="U112" s="7">
        <f t="shared" si="264"/>
        <v>0.60638100619347735</v>
      </c>
      <c r="V112" s="7">
        <f>1/((1+$W$97)^V111)</f>
        <v>0.58349039526213387</v>
      </c>
    </row>
    <row r="113" spans="3:22" ht="18" customHeight="1" thickBot="1" x14ac:dyDescent="0.3">
      <c r="L113" s="251"/>
      <c r="M113" s="243"/>
      <c r="N113" s="334"/>
      <c r="O113" s="6">
        <f t="shared" ref="O113:V113" si="265">O110*O112</f>
        <v>9673.6571180460815</v>
      </c>
      <c r="P113" s="6">
        <f t="shared" si="265"/>
        <v>9401.6626465158279</v>
      </c>
      <c r="Q113" s="6">
        <f t="shared" si="265"/>
        <v>9145.2453372989094</v>
      </c>
      <c r="R113" s="6">
        <f t="shared" si="265"/>
        <v>8902.7010563384374</v>
      </c>
      <c r="S113" s="6">
        <f t="shared" si="265"/>
        <v>8724.3061483612782</v>
      </c>
      <c r="T113" s="6">
        <f t="shared" ref="T113:U113" si="266">T110*T112</f>
        <v>8539.208331914384</v>
      </c>
      <c r="U113" s="6">
        <f t="shared" si="266"/>
        <v>8374.7845138751745</v>
      </c>
      <c r="V113" s="6">
        <f t="shared" si="265"/>
        <v>161172.8031163647</v>
      </c>
    </row>
    <row r="114" spans="3:22" ht="18" customHeight="1" thickBot="1" x14ac:dyDescent="0.3">
      <c r="C114" s="17" t="s">
        <v>109</v>
      </c>
      <c r="K114" s="640">
        <f>(SUM(K113:V113)-N63)/N58</f>
        <v>387.4817646655228</v>
      </c>
      <c r="L114" s="251"/>
      <c r="M114" s="251"/>
      <c r="N114" s="321"/>
    </row>
    <row r="115" spans="3:22" ht="18" customHeight="1" x14ac:dyDescent="0.25">
      <c r="C115" s="14" t="s">
        <v>112</v>
      </c>
      <c r="K115" s="9">
        <f>K114/$N$57-1</f>
        <v>6.8149092142250511E-2</v>
      </c>
      <c r="L115" s="251"/>
      <c r="M115" s="251"/>
      <c r="N115" s="321"/>
    </row>
    <row r="116" spans="3:22" ht="18" customHeight="1" x14ac:dyDescent="0.25">
      <c r="L116" s="251"/>
      <c r="M116" s="251"/>
      <c r="N116" s="321"/>
    </row>
    <row r="117" spans="3:22" ht="18" customHeight="1" x14ac:dyDescent="0.25">
      <c r="C117" s="135" t="s">
        <v>265</v>
      </c>
      <c r="L117" s="251"/>
      <c r="M117" s="258"/>
      <c r="N117" s="333"/>
      <c r="O117" s="7"/>
      <c r="P117" s="7">
        <f t="shared" ref="P117:V117" si="267">P110</f>
        <v>10552.133981843352</v>
      </c>
      <c r="Q117" s="7">
        <f t="shared" si="267"/>
        <v>11085.486295587361</v>
      </c>
      <c r="R117" s="7">
        <f t="shared" si="267"/>
        <v>11654.802934956759</v>
      </c>
      <c r="S117" s="7">
        <f t="shared" si="267"/>
        <v>12334.961459530143</v>
      </c>
      <c r="T117" s="7">
        <f t="shared" ref="T117:U117" si="268">T110</f>
        <v>13039.119465558313</v>
      </c>
      <c r="U117" s="7">
        <f t="shared" si="268"/>
        <v>13811.093072402469</v>
      </c>
      <c r="V117" s="7">
        <f t="shared" si="267"/>
        <v>276221.86144804937</v>
      </c>
    </row>
    <row r="118" spans="3:22" ht="18" customHeight="1" x14ac:dyDescent="0.25">
      <c r="L118" s="251"/>
      <c r="M118" s="251"/>
      <c r="N118" s="334"/>
      <c r="O118" s="6"/>
      <c r="P118" s="6">
        <v>0.5</v>
      </c>
      <c r="Q118" s="6">
        <f t="shared" ref="Q118:S118" si="269">P118+1</f>
        <v>1.5</v>
      </c>
      <c r="R118" s="6">
        <f t="shared" si="269"/>
        <v>2.5</v>
      </c>
      <c r="S118" s="6">
        <f t="shared" si="269"/>
        <v>3.5</v>
      </c>
      <c r="T118" s="6">
        <f t="shared" ref="T118" si="270">S118+1</f>
        <v>4.5</v>
      </c>
      <c r="U118" s="6">
        <f t="shared" ref="U118" si="271">T118+1</f>
        <v>5.5</v>
      </c>
      <c r="V118" s="6">
        <f>U118+0.5</f>
        <v>6</v>
      </c>
    </row>
    <row r="119" spans="3:22" ht="18" customHeight="1" x14ac:dyDescent="0.25">
      <c r="L119" s="251"/>
      <c r="M119" s="258"/>
      <c r="N119" s="333"/>
      <c r="O119" s="7"/>
      <c r="P119" s="7">
        <f>1/((1+$W$97)^P118)</f>
        <v>0.96225044864937614</v>
      </c>
      <c r="Q119" s="7">
        <f t="shared" ref="Q119" si="272">1/((1+$W$97)^Q118)</f>
        <v>0.89097263763831136</v>
      </c>
      <c r="R119" s="7">
        <f t="shared" ref="R119" si="273">1/((1+$W$97)^R118)</f>
        <v>0.82497466447991774</v>
      </c>
      <c r="S119" s="7">
        <f t="shared" ref="S119:U119" si="274">1/((1+$W$97)^S118)</f>
        <v>0.76386543007399788</v>
      </c>
      <c r="T119" s="7">
        <f t="shared" si="274"/>
        <v>0.70728280562407209</v>
      </c>
      <c r="U119" s="7">
        <f t="shared" si="274"/>
        <v>0.65489148668895558</v>
      </c>
      <c r="V119" s="7">
        <f>1/((1+$W$97)^V118)</f>
        <v>0.63016962688310452</v>
      </c>
    </row>
    <row r="120" spans="3:22" ht="18" customHeight="1" thickBot="1" x14ac:dyDescent="0.3">
      <c r="L120" s="251"/>
      <c r="M120" s="243"/>
      <c r="N120" s="334"/>
      <c r="O120" s="6"/>
      <c r="P120" s="6">
        <f t="shared" ref="P120:V120" si="275">P117*P119</f>
        <v>10153.795658237093</v>
      </c>
      <c r="Q120" s="6">
        <f t="shared" si="275"/>
        <v>9876.8649642828241</v>
      </c>
      <c r="R120" s="6">
        <f t="shared" si="275"/>
        <v>9614.9171408455131</v>
      </c>
      <c r="S120" s="6">
        <f t="shared" si="275"/>
        <v>9422.2506402301806</v>
      </c>
      <c r="T120" s="6">
        <f t="shared" ref="T120:U120" si="276">T117*T119</f>
        <v>9222.3449984675353</v>
      </c>
      <c r="U120" s="6">
        <f t="shared" si="276"/>
        <v>9044.7672749851881</v>
      </c>
      <c r="V120" s="6">
        <f t="shared" si="275"/>
        <v>174066.62736567386</v>
      </c>
    </row>
    <row r="121" spans="3:22" ht="18" customHeight="1" thickBot="1" x14ac:dyDescent="0.3">
      <c r="C121" s="17" t="s">
        <v>109</v>
      </c>
      <c r="K121" s="640">
        <f>(SUM(K120:V120)-O63)/O58</f>
        <v>417.52999477569898</v>
      </c>
      <c r="L121" s="251"/>
      <c r="M121" s="251"/>
      <c r="N121" s="321"/>
    </row>
    <row r="122" spans="3:22" ht="18" customHeight="1" x14ac:dyDescent="0.25">
      <c r="C122" s="14" t="s">
        <v>112</v>
      </c>
      <c r="K122" s="9">
        <f>K121/$O$57-1</f>
        <v>0.15098135068833107</v>
      </c>
      <c r="L122" s="251"/>
      <c r="M122" s="251"/>
      <c r="N122" s="321"/>
    </row>
    <row r="123" spans="3:22" ht="18" customHeight="1" x14ac:dyDescent="0.25">
      <c r="L123" s="251"/>
      <c r="M123" s="251"/>
      <c r="N123" s="321"/>
    </row>
    <row r="124" spans="3:22" ht="18" customHeight="1" x14ac:dyDescent="0.25">
      <c r="L124" s="251"/>
      <c r="M124" s="251"/>
      <c r="N124" s="321"/>
    </row>
  </sheetData>
  <mergeCells count="1">
    <mergeCell ref="S101:V10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E9E8-BEF7-46F1-8579-40FA8D6B57F6}">
  <dimension ref="B2:D13"/>
  <sheetViews>
    <sheetView view="pageBreakPreview" zoomScaleNormal="100" zoomScaleSheetLayoutView="100" workbookViewId="0"/>
  </sheetViews>
  <sheetFormatPr defaultColWidth="9.140625" defaultRowHeight="18" customHeight="1" x14ac:dyDescent="0.25"/>
  <cols>
    <col min="1" max="1" width="9.140625" style="2"/>
    <col min="2" max="2" width="24.140625" style="2" customWidth="1"/>
    <col min="3" max="3" width="9.140625" style="2"/>
    <col min="4" max="4" width="10.7109375" style="2" customWidth="1"/>
    <col min="5" max="14" width="9.140625" style="2"/>
    <col min="15" max="15" width="4.7109375" style="2" customWidth="1"/>
    <col min="16" max="16" width="16.7109375" style="2" customWidth="1"/>
    <col min="17" max="16384" width="9.140625" style="2"/>
  </cols>
  <sheetData>
    <row r="2" spans="2:4" ht="18" customHeight="1" x14ac:dyDescent="0.25">
      <c r="B2" s="29" t="s">
        <v>158</v>
      </c>
    </row>
    <row r="3" spans="2:4" ht="18" customHeight="1" x14ac:dyDescent="0.25">
      <c r="B3" s="2" t="s">
        <v>159</v>
      </c>
      <c r="D3" s="8">
        <v>0</v>
      </c>
    </row>
    <row r="4" spans="2:4" ht="18" customHeight="1" x14ac:dyDescent="0.25">
      <c r="B4" s="2" t="s">
        <v>549</v>
      </c>
      <c r="D4" s="8">
        <f>Model!AH59</f>
        <v>0.23461730865432717</v>
      </c>
    </row>
    <row r="5" spans="2:4" ht="18" customHeight="1" x14ac:dyDescent="0.25">
      <c r="B5" s="2" t="s">
        <v>160</v>
      </c>
      <c r="D5" s="8">
        <v>0</v>
      </c>
    </row>
    <row r="6" spans="2:4" ht="18" customHeight="1" x14ac:dyDescent="0.25">
      <c r="B6" s="2" t="s">
        <v>550</v>
      </c>
      <c r="D6" s="8">
        <f>(1-D4)*D3</f>
        <v>0</v>
      </c>
    </row>
    <row r="7" spans="2:4" ht="18" customHeight="1" x14ac:dyDescent="0.25">
      <c r="B7" s="2" t="s">
        <v>161</v>
      </c>
      <c r="D7" s="150">
        <v>0.04</v>
      </c>
    </row>
    <row r="8" spans="2:4" ht="18" customHeight="1" x14ac:dyDescent="0.25">
      <c r="B8" s="2" t="s">
        <v>162</v>
      </c>
      <c r="D8" s="68" t="e">
        <f ca="1">_xll.BDP("kex US Equity", "BETA_ADJ_OVERRIDABLE")</f>
        <v>#NAME?</v>
      </c>
    </row>
    <row r="9" spans="2:4" ht="18" customHeight="1" x14ac:dyDescent="0.25">
      <c r="B9" s="2" t="s">
        <v>163</v>
      </c>
      <c r="D9" s="150">
        <v>0.04</v>
      </c>
    </row>
    <row r="10" spans="2:4" ht="18" customHeight="1" x14ac:dyDescent="0.25">
      <c r="B10" s="2" t="s">
        <v>164</v>
      </c>
      <c r="D10" s="8">
        <f>1-D5</f>
        <v>1</v>
      </c>
    </row>
    <row r="11" spans="2:4" ht="18" customHeight="1" thickBot="1" x14ac:dyDescent="0.3">
      <c r="B11" s="2" t="s">
        <v>165</v>
      </c>
      <c r="D11" s="8" t="e">
        <f ca="1">D7+D8*D9</f>
        <v>#NAME?</v>
      </c>
    </row>
    <row r="12" spans="2:4" ht="18" customHeight="1" thickBot="1" x14ac:dyDescent="0.3">
      <c r="B12" s="151" t="s">
        <v>166</v>
      </c>
      <c r="C12" s="151"/>
      <c r="D12" s="191" t="e">
        <f ca="1">D5*D6+D11*D10</f>
        <v>#NAME?</v>
      </c>
    </row>
    <row r="13" spans="2:4" ht="6" customHeight="1" x14ac:dyDescent="0.25"/>
  </sheetData>
  <pageMargins left="0.7" right="0.7" top="0.75" bottom="0.75" header="0.3" footer="0.3"/>
  <pageSetup scale="50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3D6D-BE31-4EC2-A24C-A940A5C21B4D}">
  <sheetPr>
    <tabColor rgb="FF00B05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2EFF-55E4-4F99-AC62-3F0997294F6D}">
  <dimension ref="A2:AZ91"/>
  <sheetViews>
    <sheetView showGridLines="0" zoomScale="85" zoomScaleNormal="85" workbookViewId="0">
      <pane xSplit="5" ySplit="5" topLeftCell="F6" activePane="bottomRight" state="frozen"/>
      <selection pane="topRight" activeCell="F1" sqref="F1"/>
      <selection pane="bottomLeft" activeCell="A5" sqref="A5"/>
      <selection pane="bottomRight" activeCell="F6" sqref="F6"/>
    </sheetView>
  </sheetViews>
  <sheetFormatPr defaultRowHeight="15" x14ac:dyDescent="0.25"/>
  <cols>
    <col min="1" max="2" width="3.7109375" customWidth="1"/>
  </cols>
  <sheetData>
    <row r="2" spans="1:52" x14ac:dyDescent="0.25">
      <c r="F2" s="635" t="s">
        <v>620</v>
      </c>
    </row>
    <row r="3" spans="1:52" x14ac:dyDescent="0.25">
      <c r="F3" s="635" t="s">
        <v>621</v>
      </c>
    </row>
    <row r="5" spans="1:52" x14ac:dyDescent="0.25">
      <c r="F5" s="450" t="s">
        <v>0</v>
      </c>
      <c r="G5" s="450" t="s">
        <v>1</v>
      </c>
      <c r="H5" s="450" t="s">
        <v>2</v>
      </c>
      <c r="I5" s="450" t="s">
        <v>3</v>
      </c>
      <c r="J5" s="450">
        <v>2023</v>
      </c>
      <c r="K5" s="449"/>
      <c r="L5" s="450" t="s">
        <v>0</v>
      </c>
      <c r="M5" s="450" t="s">
        <v>1</v>
      </c>
      <c r="N5" s="450" t="s">
        <v>2</v>
      </c>
      <c r="O5" s="451" t="s">
        <v>3</v>
      </c>
      <c r="P5" s="450">
        <v>2024</v>
      </c>
      <c r="Q5" s="452"/>
      <c r="R5" s="450" t="s">
        <v>0</v>
      </c>
      <c r="S5" s="450" t="s">
        <v>1</v>
      </c>
      <c r="T5" s="450" t="s">
        <v>2</v>
      </c>
      <c r="U5" s="450" t="s">
        <v>3</v>
      </c>
      <c r="V5" s="450">
        <v>2025</v>
      </c>
      <c r="W5" s="452"/>
      <c r="X5" s="450" t="s">
        <v>0</v>
      </c>
      <c r="Y5" s="450" t="s">
        <v>1</v>
      </c>
      <c r="Z5" s="450" t="s">
        <v>2</v>
      </c>
      <c r="AA5" s="450" t="s">
        <v>3</v>
      </c>
      <c r="AB5" s="450">
        <v>2026</v>
      </c>
      <c r="AC5" s="452"/>
      <c r="AD5" s="450" t="s">
        <v>0</v>
      </c>
      <c r="AE5" s="450" t="s">
        <v>1</v>
      </c>
      <c r="AF5" s="450" t="s">
        <v>2</v>
      </c>
      <c r="AG5" s="450" t="s">
        <v>3</v>
      </c>
      <c r="AH5" s="450">
        <v>2027</v>
      </c>
      <c r="AI5" s="452"/>
      <c r="AJ5" s="450" t="s">
        <v>0</v>
      </c>
      <c r="AK5" s="450" t="s">
        <v>1</v>
      </c>
      <c r="AL5" s="450" t="s">
        <v>2</v>
      </c>
      <c r="AM5" s="450" t="s">
        <v>3</v>
      </c>
      <c r="AN5" s="450">
        <v>2028</v>
      </c>
      <c r="AO5" s="452"/>
      <c r="AP5" s="450" t="s">
        <v>0</v>
      </c>
      <c r="AQ5" s="450" t="s">
        <v>1</v>
      </c>
      <c r="AR5" s="450" t="s">
        <v>2</v>
      </c>
      <c r="AS5" s="450" t="s">
        <v>3</v>
      </c>
      <c r="AT5" s="450">
        <v>2029</v>
      </c>
      <c r="AU5" s="452"/>
      <c r="AV5" s="450" t="s">
        <v>0</v>
      </c>
      <c r="AW5" s="450" t="s">
        <v>1</v>
      </c>
      <c r="AX5" s="450" t="s">
        <v>2</v>
      </c>
      <c r="AY5" s="450" t="s">
        <v>3</v>
      </c>
      <c r="AZ5" s="450">
        <v>2030</v>
      </c>
    </row>
    <row r="6" spans="1:52" x14ac:dyDescent="0.25">
      <c r="A6" s="631"/>
      <c r="B6" s="631" t="s">
        <v>372</v>
      </c>
      <c r="C6" s="631"/>
      <c r="D6" s="631"/>
      <c r="E6" s="631"/>
    </row>
    <row r="7" spans="1:52" x14ac:dyDescent="0.25">
      <c r="A7" s="625" t="s">
        <v>613</v>
      </c>
    </row>
    <row r="8" spans="1:52" x14ac:dyDescent="0.25">
      <c r="B8" t="s">
        <v>132</v>
      </c>
      <c r="F8" s="626">
        <f>'Business Build-up'!AN79</f>
        <v>6746</v>
      </c>
      <c r="G8" s="626">
        <f>'Business Build-up'!AO79</f>
        <v>7154</v>
      </c>
      <c r="H8" s="626">
        <f>'Business Build-up'!AP79</f>
        <v>6999</v>
      </c>
      <c r="I8" s="626">
        <f>'Business Build-up'!AQ79</f>
        <v>6519</v>
      </c>
      <c r="J8" s="626">
        <f>'Business Build-up'!AR79</f>
        <v>27418</v>
      </c>
      <c r="K8" s="626"/>
      <c r="L8" s="626">
        <f>'Business Build-up'!AT79</f>
        <v>6424</v>
      </c>
      <c r="M8" s="626">
        <f>'Business Build-up'!AU79</f>
        <v>6683</v>
      </c>
      <c r="N8" s="626">
        <f>'Business Build-up'!AV79</f>
        <v>6345</v>
      </c>
      <c r="O8" s="626">
        <f>'Business Build-up'!AW79</f>
        <v>6040.3</v>
      </c>
      <c r="P8" s="626">
        <f>'Business Build-up'!AX79</f>
        <v>25492.3</v>
      </c>
      <c r="Q8" s="626"/>
      <c r="R8" s="626">
        <f>'Business Build-up'!AZ79</f>
        <v>5859.8</v>
      </c>
      <c r="S8" s="626">
        <f>'Business Build-up'!BA79</f>
        <v>6049.25</v>
      </c>
      <c r="T8" s="626">
        <f>'Business Build-up'!BB79</f>
        <v>5988.5</v>
      </c>
      <c r="U8" s="626">
        <f>'Business Build-up'!BC79</f>
        <v>5870.32</v>
      </c>
      <c r="V8" s="626">
        <f>'Business Build-up'!BD79</f>
        <v>23767.87</v>
      </c>
      <c r="W8" s="626"/>
      <c r="X8" s="626">
        <f>'Business Build-up'!BF79</f>
        <v>6151.5400000000009</v>
      </c>
      <c r="Y8" s="626">
        <f>'Business Build-up'!BG79</f>
        <v>6350.4625000000005</v>
      </c>
      <c r="Z8" s="626">
        <f>'Business Build-up'!BH79</f>
        <v>6286.6750000000002</v>
      </c>
      <c r="AA8" s="626">
        <f>'Business Build-up'!BI79</f>
        <v>6162.5860000000002</v>
      </c>
      <c r="AB8" s="626">
        <f>'Business Build-up'!BJ79</f>
        <v>24951.263500000001</v>
      </c>
      <c r="AC8" s="626"/>
      <c r="AD8" s="626">
        <f>'Business Build-up'!BL79</f>
        <v>6360.379750000001</v>
      </c>
      <c r="AE8" s="626">
        <f>'Business Build-up'!BM79</f>
        <v>6566.0873499999998</v>
      </c>
      <c r="AF8" s="626">
        <f>'Business Build-up'!BN79</f>
        <v>6500.9427250000008</v>
      </c>
      <c r="AG8" s="626">
        <f>'Business Build-up'!BO79</f>
        <v>6373.2283900000002</v>
      </c>
      <c r="AH8" s="626">
        <f>'Business Build-up'!BP79</f>
        <v>25800.638215000003</v>
      </c>
      <c r="AI8" s="626"/>
      <c r="AJ8" s="626">
        <f>'Business Build-up'!BR79</f>
        <v>6576.4864344999996</v>
      </c>
      <c r="AK8" s="626">
        <f>'Business Build-up'!BS79</f>
        <v>6789.2153845000003</v>
      </c>
      <c r="AL8" s="626">
        <f>'Business Build-up'!BT79</f>
        <v>6722.6951807500009</v>
      </c>
      <c r="AM8" s="626">
        <f>'Business Build-up'!BU79</f>
        <v>6591.2506441000005</v>
      </c>
      <c r="AN8" s="626">
        <f>'Business Build-up'!BV79</f>
        <v>26679.647643850003</v>
      </c>
      <c r="AO8" s="626"/>
      <c r="AP8" s="626">
        <f>'Business Build-up'!BX79</f>
        <v>6800.1181312150002</v>
      </c>
      <c r="AQ8" s="626">
        <f>'Business Build-up'!BY79</f>
        <v>7020.1130765950002</v>
      </c>
      <c r="AR8" s="626">
        <f>'Business Build-up'!BZ79</f>
        <v>6952.1991771325011</v>
      </c>
      <c r="AS8" s="626">
        <f>'Business Build-up'!CA79</f>
        <v>6816.9165819190002</v>
      </c>
      <c r="AT8" s="626">
        <f>'Business Build-up'!CB79</f>
        <v>27589.3469668615</v>
      </c>
      <c r="AU8" s="626">
        <f>'Business Build-up'!CC79</f>
        <v>0</v>
      </c>
      <c r="AV8" s="626">
        <f>'Business Build-up'!CD79</f>
        <v>7031.5422629786517</v>
      </c>
      <c r="AW8" s="626">
        <f>'Business Build-up'!CE79</f>
        <v>7259.0565486752512</v>
      </c>
      <c r="AX8" s="626">
        <f>'Business Build-up'!CF79</f>
        <v>7189.7312190448765</v>
      </c>
      <c r="AY8" s="626">
        <f>'Business Build-up'!CG79</f>
        <v>7050.4996346124108</v>
      </c>
      <c r="AZ8" s="626">
        <f>'Business Build-up'!CH79</f>
        <v>28530.829665311187</v>
      </c>
    </row>
    <row r="9" spans="1:52" x14ac:dyDescent="0.25">
      <c r="B9" t="s">
        <v>283</v>
      </c>
      <c r="F9" s="626">
        <f>'Business Build-up'!AN109</f>
        <v>1790</v>
      </c>
      <c r="G9" s="626">
        <f>'Business Build-up'!AO109</f>
        <v>1803</v>
      </c>
      <c r="H9" s="626">
        <f>'Business Build-up'!AP109</f>
        <v>1847</v>
      </c>
      <c r="I9" s="626">
        <f>'Business Build-up'!AQ109</f>
        <v>1535</v>
      </c>
      <c r="J9" s="626">
        <f>'Business Build-up'!AR109</f>
        <v>6975</v>
      </c>
      <c r="K9" s="626"/>
      <c r="L9" s="626">
        <f>'Business Build-up'!AT109</f>
        <v>1764</v>
      </c>
      <c r="M9" s="626">
        <f>'Business Build-up'!AU109</f>
        <v>1741</v>
      </c>
      <c r="N9" s="626">
        <f>'Business Build-up'!AV109</f>
        <v>1486</v>
      </c>
      <c r="O9" s="626">
        <f>'Business Build-up'!AW109</f>
        <v>1367.4550000000002</v>
      </c>
      <c r="P9" s="626">
        <f>'Business Build-up'!AX109</f>
        <v>6358.4549999999999</v>
      </c>
      <c r="Q9" s="626"/>
      <c r="R9" s="626">
        <f>'Business Build-up'!AZ109</f>
        <v>1538.3200000000002</v>
      </c>
      <c r="S9" s="626">
        <f>'Business Build-up'!BA109</f>
        <v>1487.5</v>
      </c>
      <c r="T9" s="626">
        <f>'Business Build-up'!BB109</f>
        <v>1343.4</v>
      </c>
      <c r="U9" s="626">
        <f>'Business Build-up'!BC109</f>
        <v>1299.463</v>
      </c>
      <c r="V9" s="626">
        <f>'Business Build-up'!BD109</f>
        <v>5668.683</v>
      </c>
      <c r="W9" s="626"/>
      <c r="X9" s="626">
        <f>'Business Build-up'!BF109</f>
        <v>1655.0160000000005</v>
      </c>
      <c r="Y9" s="626">
        <f>'Business Build-up'!BG109</f>
        <v>1607.9850000000001</v>
      </c>
      <c r="Z9" s="626">
        <f>'Business Build-up'!BH109</f>
        <v>1462.67</v>
      </c>
      <c r="AA9" s="626">
        <f>'Business Build-up'!BI109</f>
        <v>1416.3694000000003</v>
      </c>
      <c r="AB9" s="626">
        <f>'Business Build-up'!BJ109</f>
        <v>6142.0404000000008</v>
      </c>
      <c r="AC9" s="626"/>
      <c r="AD9" s="626">
        <f>'Business Build-up'!BL109</f>
        <v>1738.5519000000006</v>
      </c>
      <c r="AE9" s="626">
        <f>'Business Build-up'!BM109</f>
        <v>1694.2349399999998</v>
      </c>
      <c r="AF9" s="626">
        <f>'Business Build-up'!BN109</f>
        <v>1548.3770900000004</v>
      </c>
      <c r="AG9" s="626">
        <f>'Business Build-up'!BO109</f>
        <v>1500.6263560000002</v>
      </c>
      <c r="AH9" s="626">
        <f>'Business Build-up'!BP109</f>
        <v>6481.7902860000013</v>
      </c>
      <c r="AI9" s="626"/>
      <c r="AJ9" s="626">
        <f>'Business Build-up'!BR109</f>
        <v>1824.9945738000001</v>
      </c>
      <c r="AK9" s="626">
        <f>'Business Build-up'!BS109</f>
        <v>1783.4861538</v>
      </c>
      <c r="AL9" s="626">
        <f>'Business Build-up'!BT109</f>
        <v>1637.0780723000005</v>
      </c>
      <c r="AM9" s="626">
        <f>'Business Build-up'!BU109</f>
        <v>1587.8352576400002</v>
      </c>
      <c r="AN9" s="626">
        <f>'Business Build-up'!BV109</f>
        <v>6833.3940575400011</v>
      </c>
      <c r="AO9" s="626"/>
      <c r="AP9" s="626">
        <f>'Business Build-up'!BX109</f>
        <v>1914.4472524860003</v>
      </c>
      <c r="AQ9" s="626">
        <f>'Business Build-up'!BY109</f>
        <v>1875.845230638</v>
      </c>
      <c r="AR9" s="626">
        <f>'Business Build-up'!BZ109</f>
        <v>1728.8796708530006</v>
      </c>
      <c r="AS9" s="626">
        <f>'Business Build-up'!CA109</f>
        <v>1678.1016327676002</v>
      </c>
      <c r="AT9" s="626">
        <f>'Business Build-up'!CB109</f>
        <v>7197.2737867446012</v>
      </c>
      <c r="AU9" s="626">
        <f>'Business Build-up'!CC109</f>
        <v>0</v>
      </c>
      <c r="AV9" s="626">
        <f>'Business Build-up'!CD109</f>
        <v>2007.0169051914609</v>
      </c>
      <c r="AW9" s="626">
        <f>'Business Build-up'!CE109</f>
        <v>1971.4226194701005</v>
      </c>
      <c r="AX9" s="626">
        <f>'Business Build-up'!CF109</f>
        <v>1823.8924876179508</v>
      </c>
      <c r="AY9" s="626">
        <f>'Business Build-up'!CG109</f>
        <v>1771.5348538449643</v>
      </c>
      <c r="AZ9" s="626">
        <f>'Business Build-up'!CH109</f>
        <v>7573.8668661244765</v>
      </c>
    </row>
    <row r="10" spans="1:52" x14ac:dyDescent="0.25">
      <c r="C10" s="624" t="s">
        <v>614</v>
      </c>
      <c r="F10" s="629"/>
      <c r="G10" s="629"/>
      <c r="H10" s="629"/>
      <c r="I10" s="629"/>
      <c r="J10" s="629"/>
      <c r="K10" s="629"/>
      <c r="L10" s="629">
        <f>L8/F8-1</f>
        <v>-4.7731989327008617E-2</v>
      </c>
      <c r="M10" s="629">
        <f t="shared" ref="M10" si="0">M8/G8-1</f>
        <v>-6.5837293821638276E-2</v>
      </c>
      <c r="N10" s="629">
        <f t="shared" ref="N10" si="1">N8/H8-1</f>
        <v>-9.3441920274324852E-2</v>
      </c>
      <c r="O10" s="629">
        <f t="shared" ref="O10" si="2">O8/I8-1</f>
        <v>-7.3431507899984649E-2</v>
      </c>
      <c r="P10" s="629">
        <f t="shared" ref="P10" si="3">P8/J8-1</f>
        <v>-7.023488219417906E-2</v>
      </c>
      <c r="Q10" s="629"/>
      <c r="R10" s="629">
        <f>R8/L8-1</f>
        <v>-8.7826899128268909E-2</v>
      </c>
      <c r="S10" s="629">
        <f t="shared" ref="S10" si="4">S8/M8-1</f>
        <v>-9.4830166093071933E-2</v>
      </c>
      <c r="T10" s="629">
        <f t="shared" ref="T10" si="5">T8/N8-1</f>
        <v>-5.6185973207249829E-2</v>
      </c>
      <c r="U10" s="629">
        <f t="shared" ref="U10" si="6">U8/O8-1</f>
        <v>-2.8140986374848964E-2</v>
      </c>
      <c r="V10" s="629">
        <f t="shared" ref="V10" si="7">V8/P8-1</f>
        <v>-6.7645132059484636E-2</v>
      </c>
      <c r="W10" s="629"/>
      <c r="X10" s="629">
        <f>X8/R8-1</f>
        <v>4.9786682139322247E-2</v>
      </c>
      <c r="Y10" s="629">
        <f t="shared" ref="Y10" si="8">Y8/S8-1</f>
        <v>4.9793362813572051E-2</v>
      </c>
      <c r="Z10" s="629">
        <f t="shared" ref="Z10" si="9">Z8/T8-1</f>
        <v>4.9791266594305883E-2</v>
      </c>
      <c r="AA10" s="629">
        <f t="shared" ref="AA10" si="10">AA8/U8-1</f>
        <v>4.9787064418975513E-2</v>
      </c>
      <c r="AB10" s="629">
        <f t="shared" ref="AB10" si="11">AB8/V8-1</f>
        <v>4.9789631969545445E-2</v>
      </c>
      <c r="AC10" s="629"/>
      <c r="AD10" s="629">
        <f>AD8/X8-1</f>
        <v>3.394918183089124E-2</v>
      </c>
      <c r="AE10" s="629">
        <f t="shared" ref="AE10" si="12">AE8/Y8-1</f>
        <v>3.3954196249485591E-2</v>
      </c>
      <c r="AF10" s="629">
        <f t="shared" ref="AF10" si="13">AF8/Z8-1</f>
        <v>3.4082837907160934E-2</v>
      </c>
      <c r="AG10" s="629">
        <f t="shared" ref="AG10" si="14">AG8/AA8-1</f>
        <v>3.4180843885992074E-2</v>
      </c>
      <c r="AH10" s="629">
        <f t="shared" ref="AH10" si="15">AH8/AB8-1</f>
        <v>3.4041350851831575E-2</v>
      </c>
      <c r="AI10" s="629"/>
      <c r="AJ10" s="629">
        <f>AJ8/AD8-1</f>
        <v>3.3977009706063432E-2</v>
      </c>
      <c r="AK10" s="629">
        <f t="shared" ref="AK10" si="16">AK8/AE8-1</f>
        <v>3.3981886412156825E-2</v>
      </c>
      <c r="AL10" s="629">
        <f t="shared" ref="AL10" si="17">AL8/AF8-1</f>
        <v>3.4110815174117626E-2</v>
      </c>
      <c r="AM10" s="629">
        <f t="shared" ref="AM10" si="18">AM8/AG8-1</f>
        <v>3.4209075959382051E-2</v>
      </c>
      <c r="AN10" s="629">
        <f t="shared" ref="AN10" si="19">AN8/AH8-1</f>
        <v>3.4069290128604601E-2</v>
      </c>
      <c r="AO10" s="629"/>
      <c r="AP10" s="629">
        <f>AP8/AJ8-1</f>
        <v>3.4004737779407046E-2</v>
      </c>
      <c r="AQ10" s="629">
        <f t="shared" ref="AQ10" si="20">AQ8/AK8-1</f>
        <v>3.4009481069365854E-2</v>
      </c>
      <c r="AR10" s="629">
        <f t="shared" ref="AR10" si="21">AR8/AL8-1</f>
        <v>3.4138688459305788E-2</v>
      </c>
      <c r="AS10" s="629">
        <f t="shared" ref="AS10" si="22">AS8/AM8-1</f>
        <v>3.4237195640708817E-2</v>
      </c>
      <c r="AT10" s="629">
        <f t="shared" ref="AT10" si="23">AT8/AN8-1</f>
        <v>3.4097126587097071E-2</v>
      </c>
      <c r="AU10" s="629"/>
      <c r="AV10" s="629"/>
      <c r="AW10" s="629"/>
      <c r="AX10" s="629"/>
      <c r="AY10" s="629"/>
      <c r="AZ10" s="629"/>
    </row>
    <row r="11" spans="1:52" x14ac:dyDescent="0.25">
      <c r="C11" s="624" t="s">
        <v>612</v>
      </c>
      <c r="F11" s="629">
        <f>F9/F8</f>
        <v>0.26534242514082418</v>
      </c>
      <c r="G11" s="629">
        <f>G9/G8</f>
        <v>0.25202683813251325</v>
      </c>
      <c r="H11" s="629">
        <f>H9/H8</f>
        <v>0.2638948421203029</v>
      </c>
      <c r="I11" s="629">
        <f>I9/I8</f>
        <v>0.23546556220279183</v>
      </c>
      <c r="J11" s="629">
        <f>J9/J8</f>
        <v>0.25439492304325628</v>
      </c>
      <c r="K11" s="629"/>
      <c r="L11" s="629">
        <f>L9/L8</f>
        <v>0.27459526774595266</v>
      </c>
      <c r="M11" s="629">
        <f>M9/M8</f>
        <v>0.26051174622175671</v>
      </c>
      <c r="N11" s="629">
        <f>N9/N8</f>
        <v>0.23420015760441293</v>
      </c>
      <c r="O11" s="629">
        <f>O9/O8</f>
        <v>0.22638858997069683</v>
      </c>
      <c r="P11" s="629">
        <f>P9/P8</f>
        <v>0.24942649349019116</v>
      </c>
      <c r="Q11" s="629"/>
      <c r="R11" s="629">
        <f>R9/R8</f>
        <v>0.26252090515034643</v>
      </c>
      <c r="S11" s="629">
        <f>S9/S8</f>
        <v>0.24589825184940281</v>
      </c>
      <c r="T11" s="629">
        <f>T9/T8</f>
        <v>0.22432996576772149</v>
      </c>
      <c r="U11" s="629">
        <f>U9/U8</f>
        <v>0.22136152713991741</v>
      </c>
      <c r="V11" s="629">
        <f>V9/V8</f>
        <v>0.23850193559624822</v>
      </c>
      <c r="W11" s="629"/>
      <c r="X11" s="629">
        <f>X9/X8</f>
        <v>0.26904092308592648</v>
      </c>
      <c r="Y11" s="629">
        <f>Y9/Y8</f>
        <v>0.25320754197036832</v>
      </c>
      <c r="Z11" s="629">
        <f>Z9/Z8</f>
        <v>0.23266193973761964</v>
      </c>
      <c r="AA11" s="629">
        <f>AA9/AA8</f>
        <v>0.22983361205831451</v>
      </c>
      <c r="AB11" s="629">
        <f>AB9/AB8</f>
        <v>0.24616149799387918</v>
      </c>
      <c r="AC11" s="629"/>
      <c r="AD11" s="629">
        <f>AD9/AD8</f>
        <v>0.27334089603690731</v>
      </c>
      <c r="AE11" s="629">
        <f>AE9/AE8</f>
        <v>0.25802808425934204</v>
      </c>
      <c r="AF11" s="629">
        <f>AF9/AF8</f>
        <v>0.23817731604457418</v>
      </c>
      <c r="AG11" s="629">
        <f>AG9/AG8</f>
        <v>0.23545780319980031</v>
      </c>
      <c r="AH11" s="629">
        <f>AH9/AH8</f>
        <v>0.25122596704726519</v>
      </c>
      <c r="AI11" s="629"/>
      <c r="AJ11" s="629">
        <f>AJ9/AJ8</f>
        <v>0.27750297852454275</v>
      </c>
      <c r="AK11" s="629">
        <f>AK9/AK8</f>
        <v>0.26269400111708885</v>
      </c>
      <c r="AL11" s="629">
        <f>AL9/AL8</f>
        <v>0.24351514210962097</v>
      </c>
      <c r="AM11" s="629">
        <f>AM9/AM8</f>
        <v>0.24090045173161678</v>
      </c>
      <c r="AN11" s="629">
        <f>AN9/AN8</f>
        <v>0.25612759766395132</v>
      </c>
      <c r="AO11" s="629"/>
      <c r="AP11" s="629">
        <f t="shared" ref="AP11:AZ11" si="24">AP9/AP8</f>
        <v>0.28153146982814831</v>
      </c>
      <c r="AQ11" s="629">
        <f t="shared" si="24"/>
        <v>0.2672101161578227</v>
      </c>
      <c r="AR11" s="629">
        <f t="shared" si="24"/>
        <v>0.24868097515671192</v>
      </c>
      <c r="AS11" s="629">
        <f t="shared" si="24"/>
        <v>0.24616725356718466</v>
      </c>
      <c r="AT11" s="629">
        <f t="shared" si="24"/>
        <v>0.26087148040834351</v>
      </c>
      <c r="AU11" s="629" t="e">
        <f t="shared" si="24"/>
        <v>#DIV/0!</v>
      </c>
      <c r="AV11" s="629">
        <f t="shared" si="24"/>
        <v>0.28543054000521112</v>
      </c>
      <c r="AW11" s="629">
        <f t="shared" si="24"/>
        <v>0.27158110785483236</v>
      </c>
      <c r="AX11" s="629">
        <f t="shared" si="24"/>
        <v>0.25368020473236086</v>
      </c>
      <c r="AY11" s="629">
        <f t="shared" si="24"/>
        <v>0.25126373245211175</v>
      </c>
      <c r="AZ11" s="629">
        <f t="shared" si="24"/>
        <v>0.26546255243790046</v>
      </c>
    </row>
    <row r="12" spans="1:52" x14ac:dyDescent="0.25">
      <c r="C12" s="624" t="s">
        <v>611</v>
      </c>
      <c r="F12" s="629">
        <f>F11/F9</f>
        <v>1.4823599169878446E-4</v>
      </c>
      <c r="G12" s="629">
        <f>G11/G9</f>
        <v>1.3978194017332958E-4</v>
      </c>
      <c r="H12" s="629">
        <f>H11/H9</f>
        <v>1.4287755393627662E-4</v>
      </c>
      <c r="I12" s="629">
        <f>I11/I9</f>
        <v>1.5339776039269826E-4</v>
      </c>
      <c r="J12" s="629">
        <f>J11/J9</f>
        <v>3.647239040046685E-5</v>
      </c>
      <c r="K12" s="629"/>
      <c r="L12" s="629">
        <f>(L9-F9)/(L8-F8)</f>
        <v>8.0745341614906832E-2</v>
      </c>
      <c r="M12" s="629">
        <f t="shared" ref="M12:P12" si="25">(M9-G9)/(M8-G8)</f>
        <v>0.1316348195329087</v>
      </c>
      <c r="N12" s="629">
        <f t="shared" si="25"/>
        <v>0.55198776758409784</v>
      </c>
      <c r="O12" s="629">
        <f t="shared" si="25"/>
        <v>0.34999999999999981</v>
      </c>
      <c r="P12" s="629">
        <f t="shared" si="25"/>
        <v>0.32016669263125092</v>
      </c>
      <c r="Q12" s="629"/>
      <c r="R12" s="629">
        <f>(R9-L9)/(R8-L8)</f>
        <v>0.39999999999999986</v>
      </c>
      <c r="S12" s="629">
        <f t="shared" ref="S12" si="26">(S9-M9)/(S8-M8)</f>
        <v>0.4</v>
      </c>
      <c r="T12" s="629">
        <f t="shared" ref="T12" si="27">(T9-N9)/(T8-N8)</f>
        <v>0.39999999999999974</v>
      </c>
      <c r="U12" s="629">
        <f t="shared" ref="U12" si="28">(U9-O9)/(U8-O8)</f>
        <v>0.4</v>
      </c>
      <c r="V12" s="629">
        <f t="shared" ref="V12" si="29">(V9-P9)/(V8-P8)</f>
        <v>0.39999999999999991</v>
      </c>
      <c r="W12" s="629"/>
      <c r="X12" s="629">
        <f>(X9-R9)/(X8-R8)</f>
        <v>0.4000000000000003</v>
      </c>
      <c r="Y12" s="629">
        <f t="shared" ref="Y12" si="30">(Y9-S9)/(Y8-S8)</f>
        <v>0.39999999999999969</v>
      </c>
      <c r="Z12" s="629">
        <f t="shared" ref="Z12" si="31">(Z9-T9)/(Z8-T8)</f>
        <v>0.39999999999999969</v>
      </c>
      <c r="AA12" s="629">
        <f t="shared" ref="AA12" si="32">(AA9-U9)/(AA8-U8)</f>
        <v>0.4000000000000003</v>
      </c>
      <c r="AB12" s="629">
        <f t="shared" ref="AB12" si="33">(AB9-V9)/(AB8-V8)</f>
        <v>0.4</v>
      </c>
      <c r="AC12" s="629"/>
      <c r="AD12" s="629">
        <f>(AD9-X9)/(AD8-X8)</f>
        <v>0.40000000000000024</v>
      </c>
      <c r="AE12" s="629">
        <f t="shared" ref="AE12" si="34">(AE9-Y9)/(AE8-Y8)</f>
        <v>0.4</v>
      </c>
      <c r="AF12" s="629">
        <f t="shared" ref="AF12" si="35">(AF9-Z9)/(AF8-Z8)</f>
        <v>0.40000000000000041</v>
      </c>
      <c r="AG12" s="629">
        <f t="shared" ref="AG12" si="36">(AG9-AA9)/(AG8-AA8)</f>
        <v>0.3999999999999998</v>
      </c>
      <c r="AH12" s="629">
        <f t="shared" ref="AH12" si="37">(AH9-AB9)/(AH8-AB8)</f>
        <v>0.3999999999999998</v>
      </c>
      <c r="AI12" s="629"/>
      <c r="AJ12" s="629">
        <f>(AJ9-AD9)/(AJ8-AD8)</f>
        <v>0.40000000000000019</v>
      </c>
      <c r="AK12" s="629">
        <f t="shared" ref="AK12" si="38">(AK9-AE9)/(AK8-AE8)</f>
        <v>0.4</v>
      </c>
      <c r="AL12" s="629">
        <f t="shared" ref="AL12" si="39">(AL9-AF9)/(AL8-AF8)</f>
        <v>0.40000000000000019</v>
      </c>
      <c r="AM12" s="629">
        <f t="shared" ref="AM12" si="40">(AM9-AG9)/(AM8-AG8)</f>
        <v>0.39999999999999958</v>
      </c>
      <c r="AN12" s="629">
        <f t="shared" ref="AN12" si="41">(AN9-AH9)/(AN8-AH8)</f>
        <v>0.39999999999999958</v>
      </c>
      <c r="AO12" s="629"/>
      <c r="AP12" s="629">
        <f t="shared" ref="AP12:AZ12" si="42">AP11/AP9</f>
        <v>1.4705626883298372E-4</v>
      </c>
      <c r="AQ12" s="629">
        <f t="shared" si="42"/>
        <v>1.424478479319645E-4</v>
      </c>
      <c r="AR12" s="629">
        <f t="shared" si="42"/>
        <v>1.4383937722746017E-4</v>
      </c>
      <c r="AS12" s="629">
        <f t="shared" si="42"/>
        <v>1.46693888355972E-4</v>
      </c>
      <c r="AT12" s="629">
        <f t="shared" si="42"/>
        <v>3.6245874220985875E-5</v>
      </c>
      <c r="AU12" s="629" t="e">
        <f t="shared" si="42"/>
        <v>#DIV/0!</v>
      </c>
      <c r="AV12" s="629">
        <f t="shared" si="42"/>
        <v>1.4221631081776177E-4</v>
      </c>
      <c r="AW12" s="629">
        <f t="shared" si="42"/>
        <v>1.3775894887917576E-4</v>
      </c>
      <c r="AX12" s="629">
        <f t="shared" si="42"/>
        <v>1.3908725785897257E-4</v>
      </c>
      <c r="AY12" s="629">
        <f t="shared" si="42"/>
        <v>1.4183391983892691E-4</v>
      </c>
      <c r="AZ12" s="629">
        <f t="shared" si="42"/>
        <v>3.5049804430182279E-5</v>
      </c>
    </row>
    <row r="13" spans="1:52" x14ac:dyDescent="0.25">
      <c r="A13" s="625" t="s">
        <v>610</v>
      </c>
    </row>
    <row r="14" spans="1:52" x14ac:dyDescent="0.25">
      <c r="B14" t="s">
        <v>132</v>
      </c>
      <c r="F14" s="626">
        <v>6746</v>
      </c>
      <c r="G14" s="626">
        <v>7154</v>
      </c>
      <c r="H14" s="626">
        <v>6999</v>
      </c>
      <c r="I14" s="626">
        <v>6519</v>
      </c>
      <c r="J14" s="626">
        <v>27418</v>
      </c>
      <c r="K14" s="626"/>
      <c r="L14" s="626">
        <v>6424</v>
      </c>
      <c r="M14" s="626">
        <v>6683</v>
      </c>
      <c r="N14" s="626">
        <v>6345</v>
      </c>
      <c r="O14" s="626">
        <v>6119.3016692117317</v>
      </c>
      <c r="P14" s="626">
        <v>25571.301669211731</v>
      </c>
      <c r="Q14" s="626"/>
      <c r="R14" s="626">
        <v>6168.6798068412554</v>
      </c>
      <c r="S14" s="626">
        <v>6315.7309641845404</v>
      </c>
      <c r="T14" s="626">
        <v>6348.2238517077167</v>
      </c>
      <c r="U14" s="626">
        <v>6144.2954235968682</v>
      </c>
      <c r="V14" s="626">
        <v>24976.930046330381</v>
      </c>
      <c r="X14" s="626">
        <v>6434.737702837414</v>
      </c>
      <c r="Y14" s="626">
        <v>6586.9372708178053</v>
      </c>
      <c r="Z14" s="626">
        <v>6620.9218413718299</v>
      </c>
      <c r="AA14" s="626">
        <v>6408.8408194945414</v>
      </c>
      <c r="AB14" s="626">
        <v>26051.43763452159</v>
      </c>
      <c r="AC14" s="626"/>
      <c r="AD14" s="626"/>
      <c r="AE14" s="626"/>
      <c r="AF14" s="626"/>
      <c r="AG14" s="626"/>
      <c r="AH14" s="626"/>
      <c r="AI14" s="626"/>
      <c r="AJ14" s="626"/>
      <c r="AK14" s="626"/>
      <c r="AL14" s="626"/>
      <c r="AM14" s="626"/>
      <c r="AN14" s="626"/>
      <c r="AO14" s="626"/>
      <c r="AP14" s="626"/>
      <c r="AQ14" s="626"/>
      <c r="AR14" s="626"/>
      <c r="AS14" s="626"/>
      <c r="AT14" s="626"/>
      <c r="AU14" s="626"/>
      <c r="AV14" s="626"/>
      <c r="AW14" s="626"/>
      <c r="AX14" s="626"/>
      <c r="AY14" s="626"/>
      <c r="AZ14" s="626"/>
    </row>
    <row r="15" spans="1:52" x14ac:dyDescent="0.25">
      <c r="B15" t="s">
        <v>283</v>
      </c>
      <c r="F15" s="626">
        <v>1790</v>
      </c>
      <c r="G15" s="626">
        <v>1803</v>
      </c>
      <c r="H15" s="626">
        <v>1847</v>
      </c>
      <c r="I15" s="626">
        <v>1535</v>
      </c>
      <c r="J15" s="626">
        <v>6975</v>
      </c>
      <c r="K15" s="626"/>
      <c r="L15" s="626">
        <v>1764</v>
      </c>
      <c r="M15" s="626">
        <v>1741</v>
      </c>
      <c r="N15" s="626">
        <v>1486</v>
      </c>
      <c r="O15" s="626">
        <v>1422.7376380917276</v>
      </c>
      <c r="P15" s="626">
        <v>6413.7376380917276</v>
      </c>
      <c r="Q15" s="628"/>
      <c r="R15" s="626">
        <v>1508.8298889933885</v>
      </c>
      <c r="S15" s="626">
        <v>1455.8501732209977</v>
      </c>
      <c r="T15" s="626">
        <v>1486.7550265780405</v>
      </c>
      <c r="U15" s="626">
        <v>1428.5486859862719</v>
      </c>
      <c r="V15" s="626">
        <v>5879.9837747786987</v>
      </c>
      <c r="X15" s="626">
        <v>1583.5584978547497</v>
      </c>
      <c r="Y15" s="626">
        <v>1528.2468184556114</v>
      </c>
      <c r="Z15" s="626">
        <v>1560.5523214978402</v>
      </c>
      <c r="AA15" s="626">
        <v>1499.6687517617227</v>
      </c>
      <c r="AB15" s="626">
        <v>6172.0263895699245</v>
      </c>
      <c r="AC15" s="626"/>
      <c r="AD15" s="626"/>
      <c r="AE15" s="626"/>
      <c r="AF15" s="626"/>
      <c r="AG15" s="626"/>
      <c r="AH15" s="626"/>
      <c r="AI15" s="626"/>
      <c r="AJ15" s="626"/>
      <c r="AK15" s="626"/>
      <c r="AL15" s="626"/>
      <c r="AM15" s="626"/>
      <c r="AN15" s="626"/>
      <c r="AO15" s="626"/>
      <c r="AP15" s="626"/>
      <c r="AQ15" s="626"/>
      <c r="AR15" s="626"/>
      <c r="AS15" s="626"/>
      <c r="AT15" s="626"/>
      <c r="AU15" s="626"/>
      <c r="AV15" s="626"/>
      <c r="AW15" s="626"/>
      <c r="AX15" s="626"/>
      <c r="AY15" s="626"/>
      <c r="AZ15" s="626"/>
    </row>
    <row r="16" spans="1:52" x14ac:dyDescent="0.25">
      <c r="C16" s="624" t="s">
        <v>614</v>
      </c>
      <c r="F16" s="629"/>
      <c r="G16" s="629"/>
      <c r="H16" s="629"/>
      <c r="I16" s="629"/>
      <c r="J16" s="629"/>
      <c r="K16" s="629"/>
      <c r="L16" s="629">
        <f>L14/F14-1</f>
        <v>-4.7731989327008617E-2</v>
      </c>
      <c r="M16" s="629">
        <f t="shared" ref="M16:P16" si="43">M14/G14-1</f>
        <v>-6.5837293821638276E-2</v>
      </c>
      <c r="N16" s="629">
        <f t="shared" si="43"/>
        <v>-9.3441920274324852E-2</v>
      </c>
      <c r="O16" s="629">
        <f t="shared" si="43"/>
        <v>-6.1312828775620276E-2</v>
      </c>
      <c r="P16" s="629">
        <f t="shared" si="43"/>
        <v>-6.735350247240024E-2</v>
      </c>
      <c r="Q16" s="629"/>
      <c r="R16" s="629">
        <f>R14/L14-1</f>
        <v>-3.9744737415744802E-2</v>
      </c>
      <c r="S16" s="629">
        <f t="shared" ref="S16" si="44">S14/M14-1</f>
        <v>-5.4955713873329315E-2</v>
      </c>
      <c r="T16" s="629">
        <f t="shared" ref="T16" si="45">T14/N14-1</f>
        <v>5.0809325574729947E-4</v>
      </c>
      <c r="U16" s="629">
        <f t="shared" ref="U16" si="46">U14/O14-1</f>
        <v>4.0844128523502832E-3</v>
      </c>
      <c r="V16" s="629">
        <f t="shared" ref="V16" si="47">V14/P14-1</f>
        <v>-2.324369836819784E-2</v>
      </c>
      <c r="W16" s="629"/>
      <c r="X16" s="629">
        <f>X14/R14-1</f>
        <v>4.3130443519064254E-2</v>
      </c>
      <c r="Y16" s="629">
        <f t="shared" ref="Y16" si="48">Y14/S14-1</f>
        <v>4.294139635953953E-2</v>
      </c>
      <c r="Z16" s="629">
        <f t="shared" ref="Z16" si="49">Z14/T14-1</f>
        <v>4.295658061754648E-2</v>
      </c>
      <c r="AA16" s="629">
        <f t="shared" ref="AA16" si="50">AA14/U14-1</f>
        <v>4.3055448616891034E-2</v>
      </c>
      <c r="AB16" s="629">
        <f t="shared" ref="AB16" si="51">AB14/V14-1</f>
        <v>4.3020002306050964E-2</v>
      </c>
      <c r="AC16" s="629"/>
      <c r="AD16" s="629"/>
      <c r="AE16" s="629"/>
      <c r="AF16" s="629"/>
      <c r="AG16" s="629"/>
      <c r="AH16" s="629"/>
      <c r="AI16" s="629"/>
      <c r="AJ16" s="629"/>
      <c r="AK16" s="629"/>
      <c r="AL16" s="629"/>
      <c r="AM16" s="629"/>
      <c r="AN16" s="629"/>
      <c r="AO16" s="629"/>
      <c r="AP16" s="629"/>
      <c r="AQ16" s="629"/>
      <c r="AR16" s="629"/>
      <c r="AS16" s="629"/>
      <c r="AT16" s="629"/>
      <c r="AU16" s="629"/>
      <c r="AV16" s="629"/>
      <c r="AW16" s="629"/>
      <c r="AX16" s="629"/>
      <c r="AY16" s="629"/>
      <c r="AZ16" s="629"/>
    </row>
    <row r="17" spans="1:52" x14ac:dyDescent="0.25">
      <c r="C17" s="624" t="s">
        <v>612</v>
      </c>
      <c r="F17" s="629">
        <f>F15/F14</f>
        <v>0.26534242514082418</v>
      </c>
      <c r="G17" s="629">
        <f>G15/G14</f>
        <v>0.25202683813251325</v>
      </c>
      <c r="H17" s="629">
        <f>H15/H14</f>
        <v>0.2638948421203029</v>
      </c>
      <c r="I17" s="629">
        <f>I15/I14</f>
        <v>0.23546556220279183</v>
      </c>
      <c r="J17" s="629">
        <f>J15/J14</f>
        <v>0.25439492304325628</v>
      </c>
      <c r="K17" s="629"/>
      <c r="L17" s="629">
        <f>L15/L14</f>
        <v>0.27459526774595266</v>
      </c>
      <c r="M17" s="629">
        <f t="shared" ref="M17" si="52">M15/M14</f>
        <v>0.26051174622175671</v>
      </c>
      <c r="N17" s="629">
        <f t="shared" ref="N17" si="53">N15/N14</f>
        <v>0.23420015760441293</v>
      </c>
      <c r="O17" s="629">
        <f t="shared" ref="O17" si="54">O15/O14</f>
        <v>0.23249999999999998</v>
      </c>
      <c r="P17" s="629">
        <f t="shared" ref="P17" si="55">P15/P14</f>
        <v>0.2508178004021584</v>
      </c>
      <c r="Q17" s="629"/>
      <c r="R17" s="629">
        <f>R15/R14</f>
        <v>0.24459526774595267</v>
      </c>
      <c r="S17" s="629">
        <f t="shared" ref="S17" si="56">S15/S14</f>
        <v>0.23051174622175671</v>
      </c>
      <c r="T17" s="629">
        <f t="shared" ref="T17" si="57">T15/T14</f>
        <v>0.23420015760441293</v>
      </c>
      <c r="U17" s="629">
        <f t="shared" ref="U17" si="58">U15/U14</f>
        <v>0.23250000000000001</v>
      </c>
      <c r="V17" s="629">
        <f t="shared" ref="V17" si="59">V15/V14</f>
        <v>0.23541659298687861</v>
      </c>
      <c r="W17" s="627"/>
      <c r="X17" s="629">
        <f>X15/X14</f>
        <v>0.24609526774595264</v>
      </c>
      <c r="Y17" s="629">
        <f t="shared" ref="Y17" si="60">Y15/Y14</f>
        <v>0.23201174622175672</v>
      </c>
      <c r="Z17" s="629">
        <f t="shared" ref="Z17" si="61">Z15/Z14</f>
        <v>0.23570015760441293</v>
      </c>
      <c r="AA17" s="629">
        <f t="shared" ref="AA17" si="62">AA15/AA14</f>
        <v>0.23399999999999999</v>
      </c>
      <c r="AB17" s="629">
        <f t="shared" ref="AB17" si="63">AB15/AB14</f>
        <v>0.23691692090693589</v>
      </c>
      <c r="AC17" s="627"/>
      <c r="AD17" s="627"/>
      <c r="AE17" s="627"/>
      <c r="AF17" s="627"/>
      <c r="AG17" s="627"/>
      <c r="AH17" s="627"/>
      <c r="AI17" s="627"/>
      <c r="AJ17" s="627"/>
      <c r="AK17" s="627"/>
      <c r="AL17" s="627"/>
      <c r="AM17" s="627"/>
      <c r="AN17" s="627"/>
      <c r="AO17" s="627"/>
      <c r="AP17" s="627"/>
      <c r="AQ17" s="627"/>
      <c r="AR17" s="627"/>
      <c r="AS17" s="627"/>
      <c r="AT17" s="627"/>
      <c r="AU17" s="627"/>
      <c r="AV17" s="627"/>
      <c r="AW17" s="627"/>
      <c r="AX17" s="627"/>
      <c r="AY17" s="627"/>
      <c r="AZ17" s="627"/>
    </row>
    <row r="18" spans="1:52" x14ac:dyDescent="0.25">
      <c r="C18" s="624" t="s">
        <v>611</v>
      </c>
      <c r="F18" s="629"/>
      <c r="G18" s="629"/>
      <c r="H18" s="629"/>
      <c r="I18" s="629"/>
      <c r="J18" s="629"/>
      <c r="K18" s="629"/>
      <c r="L18" s="629">
        <f>(L15-F15)/(L14-F14)</f>
        <v>8.0745341614906832E-2</v>
      </c>
      <c r="M18" s="629">
        <f t="shared" ref="M18" si="64">(M15-G15)/(M14-G14)</f>
        <v>0.1316348195329087</v>
      </c>
      <c r="N18" s="629">
        <f t="shared" ref="N18" si="65">(N15-H15)/(N14-H14)</f>
        <v>0.55198776758409784</v>
      </c>
      <c r="O18" s="629">
        <f t="shared" ref="O18" si="66">(O15-I15)/(O14-I14)</f>
        <v>0.2808677276356728</v>
      </c>
      <c r="P18" s="629">
        <f t="shared" ref="P18" si="67">(P15-J15)/(P14-J14)</f>
        <v>0.30392747562006822</v>
      </c>
      <c r="Q18" s="629"/>
      <c r="R18" s="629">
        <f>(R15-L15)/(R14-L14)</f>
        <v>0.99941218064158444</v>
      </c>
      <c r="S18" s="629">
        <f t="shared" ref="S18" si="68">(S15-M15)/(S14-M14)</f>
        <v>0.7764058468633892</v>
      </c>
      <c r="T18" s="629">
        <f t="shared" ref="T18" si="69">(T15-N15)/(T14-N14)</f>
        <v>0.2342001576044257</v>
      </c>
      <c r="U18" s="629">
        <f t="shared" ref="U18" si="70">(U15-O15)/(U14-O14)</f>
        <v>0.23250000000000409</v>
      </c>
      <c r="V18" s="629">
        <f t="shared" ref="V18" si="71">(V15-P15)/(V14-P14)</f>
        <v>0.89801370517242574</v>
      </c>
      <c r="W18" s="627"/>
      <c r="X18" s="629">
        <f>(X15-R15)/(X14-R14)</f>
        <v>0.28087348650776423</v>
      </c>
      <c r="Y18" s="629">
        <f t="shared" ref="Y18" si="72">(Y15-S15)/(Y14-S14)</f>
        <v>0.26694307419816443</v>
      </c>
      <c r="Z18" s="629">
        <f t="shared" ref="Z18" si="73">(Z15-T15)/(Z14-T14)</f>
        <v>0.27061913808274524</v>
      </c>
      <c r="AA18" s="629">
        <f t="shared" ref="AA18" si="74">(AA15-U15)/(AA14-U14)</f>
        <v>0.26883879620781653</v>
      </c>
      <c r="AB18" s="629">
        <f t="shared" ref="AB18" si="75">(AB15-V15)/(AB14-V14)</f>
        <v>0.27179204502672782</v>
      </c>
      <c r="AC18" s="627"/>
      <c r="AD18" s="627"/>
      <c r="AE18" s="627"/>
      <c r="AF18" s="627"/>
      <c r="AG18" s="627"/>
      <c r="AH18" s="627"/>
      <c r="AI18" s="627"/>
      <c r="AJ18" s="627"/>
      <c r="AK18" s="627"/>
      <c r="AL18" s="627"/>
      <c r="AM18" s="627"/>
      <c r="AN18" s="627"/>
      <c r="AO18" s="627"/>
      <c r="AP18" s="627"/>
      <c r="AQ18" s="627"/>
      <c r="AR18" s="627"/>
      <c r="AS18" s="627"/>
      <c r="AT18" s="627"/>
      <c r="AU18" s="627"/>
      <c r="AV18" s="627"/>
      <c r="AW18" s="627"/>
      <c r="AX18" s="627"/>
      <c r="AY18" s="627"/>
      <c r="AZ18" s="627"/>
    </row>
    <row r="19" spans="1:52" x14ac:dyDescent="0.25">
      <c r="C19" s="624"/>
      <c r="F19" s="627"/>
      <c r="G19" s="627"/>
      <c r="H19" s="627"/>
      <c r="I19" s="627"/>
      <c r="J19" s="627"/>
      <c r="K19" s="627"/>
      <c r="L19" s="627"/>
      <c r="M19" s="627"/>
      <c r="N19" s="627"/>
      <c r="O19" s="627"/>
      <c r="P19" s="627"/>
      <c r="Q19" s="627"/>
      <c r="R19" s="627"/>
      <c r="S19" s="627"/>
      <c r="T19" s="627"/>
      <c r="U19" s="627"/>
      <c r="V19" s="627"/>
      <c r="W19" s="627"/>
      <c r="X19" s="627"/>
      <c r="Y19" s="627"/>
      <c r="Z19" s="627"/>
      <c r="AA19" s="627"/>
      <c r="AB19" s="627"/>
      <c r="AC19" s="627"/>
      <c r="AD19" s="627"/>
      <c r="AE19" s="627"/>
      <c r="AF19" s="627"/>
      <c r="AG19" s="627"/>
      <c r="AH19" s="627"/>
      <c r="AI19" s="627"/>
      <c r="AJ19" s="627"/>
      <c r="AK19" s="627"/>
      <c r="AL19" s="627"/>
      <c r="AM19" s="627"/>
      <c r="AN19" s="627"/>
      <c r="AO19" s="627"/>
      <c r="AP19" s="627"/>
      <c r="AQ19" s="627"/>
      <c r="AR19" s="627"/>
      <c r="AS19" s="627"/>
      <c r="AT19" s="627"/>
      <c r="AU19" s="627"/>
      <c r="AV19" s="627"/>
      <c r="AW19" s="627"/>
      <c r="AX19" s="627"/>
      <c r="AY19" s="627"/>
      <c r="AZ19" s="627"/>
    </row>
    <row r="20" spans="1:52" x14ac:dyDescent="0.25">
      <c r="C20" s="632" t="s">
        <v>615</v>
      </c>
      <c r="L20" s="633">
        <f>L$10-L16</f>
        <v>0</v>
      </c>
      <c r="M20" s="633">
        <f t="shared" ref="M20:AB20" si="76">M$10-M16</f>
        <v>0</v>
      </c>
      <c r="N20" s="633">
        <f t="shared" si="76"/>
        <v>0</v>
      </c>
      <c r="O20" s="633">
        <f t="shared" si="76"/>
        <v>-1.2118679124364373E-2</v>
      </c>
      <c r="P20" s="633">
        <f t="shared" si="76"/>
        <v>-2.8813797217788206E-3</v>
      </c>
      <c r="Q20" s="634"/>
      <c r="R20" s="633">
        <f t="shared" si="76"/>
        <v>-4.8082161712524107E-2</v>
      </c>
      <c r="S20" s="633">
        <f t="shared" si="76"/>
        <v>-3.9874452219742618E-2</v>
      </c>
      <c r="T20" s="633">
        <f t="shared" si="76"/>
        <v>-5.6694066462997128E-2</v>
      </c>
      <c r="U20" s="633">
        <f t="shared" si="76"/>
        <v>-3.2225399227199247E-2</v>
      </c>
      <c r="V20" s="633">
        <f t="shared" si="76"/>
        <v>-4.4401433691286796E-2</v>
      </c>
      <c r="W20" s="634"/>
      <c r="X20" s="633">
        <f t="shared" si="76"/>
        <v>6.6562386202579926E-3</v>
      </c>
      <c r="Y20" s="633">
        <f t="shared" si="76"/>
        <v>6.8519664540325209E-3</v>
      </c>
      <c r="Z20" s="633">
        <f t="shared" si="76"/>
        <v>6.8346859767594026E-3</v>
      </c>
      <c r="AA20" s="633">
        <f t="shared" si="76"/>
        <v>6.7316158020844785E-3</v>
      </c>
      <c r="AB20" s="633">
        <f t="shared" si="76"/>
        <v>6.7696296634944808E-3</v>
      </c>
      <c r="AD20" s="630"/>
      <c r="AE20" s="630"/>
      <c r="AF20" s="630"/>
      <c r="AG20" s="630"/>
      <c r="AH20" s="630"/>
    </row>
    <row r="21" spans="1:52" x14ac:dyDescent="0.25">
      <c r="C21" s="632" t="s">
        <v>616</v>
      </c>
      <c r="L21" s="633">
        <f>L$11-L17</f>
        <v>0</v>
      </c>
      <c r="M21" s="633">
        <f t="shared" ref="M21:AB21" si="77">M$11-M17</f>
        <v>0</v>
      </c>
      <c r="N21" s="633">
        <f t="shared" si="77"/>
        <v>0</v>
      </c>
      <c r="O21" s="633">
        <f t="shared" si="77"/>
        <v>-6.1114100293031548E-3</v>
      </c>
      <c r="P21" s="633">
        <f t="shared" si="77"/>
        <v>-1.3913069119672328E-3</v>
      </c>
      <c r="Q21" s="634"/>
      <c r="R21" s="633">
        <f t="shared" si="77"/>
        <v>1.7925637404393763E-2</v>
      </c>
      <c r="S21" s="633">
        <f t="shared" si="77"/>
        <v>1.5386505627646097E-2</v>
      </c>
      <c r="T21" s="633">
        <f t="shared" si="77"/>
        <v>-9.8701918366914387E-3</v>
      </c>
      <c r="U21" s="633">
        <f t="shared" si="77"/>
        <v>-1.1138472860082599E-2</v>
      </c>
      <c r="V21" s="633">
        <f t="shared" si="77"/>
        <v>3.0853426093696013E-3</v>
      </c>
      <c r="W21" s="634"/>
      <c r="X21" s="633">
        <f t="shared" si="77"/>
        <v>2.2945655339973836E-2</v>
      </c>
      <c r="Y21" s="633">
        <f t="shared" si="77"/>
        <v>2.1195795748611607E-2</v>
      </c>
      <c r="Z21" s="633">
        <f t="shared" si="77"/>
        <v>-3.0382178667932858E-3</v>
      </c>
      <c r="AA21" s="633">
        <f t="shared" si="77"/>
        <v>-4.1663879416854732E-3</v>
      </c>
      <c r="AB21" s="633">
        <f t="shared" si="77"/>
        <v>9.2445770869432897E-3</v>
      </c>
      <c r="AD21" s="630"/>
      <c r="AE21" s="630"/>
      <c r="AF21" s="630"/>
      <c r="AG21" s="630"/>
      <c r="AH21" s="630"/>
    </row>
    <row r="22" spans="1:52" x14ac:dyDescent="0.25">
      <c r="C22" s="632" t="s">
        <v>617</v>
      </c>
      <c r="L22" s="633">
        <f>L$12-L18</f>
        <v>0</v>
      </c>
      <c r="M22" s="633">
        <f t="shared" ref="M22:AB22" si="78">M$12-M18</f>
        <v>0</v>
      </c>
      <c r="N22" s="633">
        <f t="shared" si="78"/>
        <v>0</v>
      </c>
      <c r="O22" s="633">
        <f t="shared" si="78"/>
        <v>6.9132272364327008E-2</v>
      </c>
      <c r="P22" s="633">
        <f t="shared" si="78"/>
        <v>1.6239217011182694E-2</v>
      </c>
      <c r="Q22" s="634"/>
      <c r="R22" s="633">
        <f t="shared" si="78"/>
        <v>-0.59941218064158464</v>
      </c>
      <c r="S22" s="633">
        <f t="shared" si="78"/>
        <v>-0.37640584686338918</v>
      </c>
      <c r="T22" s="633">
        <f t="shared" si="78"/>
        <v>0.16579984239557405</v>
      </c>
      <c r="U22" s="633">
        <f t="shared" si="78"/>
        <v>0.16749999999999593</v>
      </c>
      <c r="V22" s="633">
        <f t="shared" si="78"/>
        <v>-0.49801370517242582</v>
      </c>
      <c r="W22" s="634"/>
      <c r="X22" s="633">
        <f t="shared" si="78"/>
        <v>0.11912651349223607</v>
      </c>
      <c r="Y22" s="633">
        <f t="shared" si="78"/>
        <v>0.13305692580183526</v>
      </c>
      <c r="Z22" s="633">
        <f t="shared" si="78"/>
        <v>0.12938086191725445</v>
      </c>
      <c r="AA22" s="633">
        <f t="shared" si="78"/>
        <v>0.13116120379218377</v>
      </c>
      <c r="AB22" s="633">
        <f t="shared" si="78"/>
        <v>0.1282079549732722</v>
      </c>
      <c r="AD22" s="630"/>
      <c r="AE22" s="630"/>
      <c r="AF22" s="630"/>
      <c r="AG22" s="630"/>
      <c r="AH22" s="630"/>
    </row>
    <row r="24" spans="1:52" x14ac:dyDescent="0.25">
      <c r="A24" s="625" t="s">
        <v>619</v>
      </c>
    </row>
    <row r="25" spans="1:52" x14ac:dyDescent="0.25">
      <c r="B25" t="s">
        <v>132</v>
      </c>
      <c r="F25" s="626">
        <v>6704</v>
      </c>
      <c r="G25" s="626">
        <v>7121</v>
      </c>
      <c r="H25" s="626">
        <v>6981</v>
      </c>
      <c r="I25" s="626">
        <v>6488</v>
      </c>
      <c r="J25" s="626">
        <v>27294</v>
      </c>
      <c r="K25" s="626"/>
      <c r="L25" s="626">
        <v>6417</v>
      </c>
      <c r="M25" s="626">
        <v>6656</v>
      </c>
      <c r="N25" s="626">
        <v>6312</v>
      </c>
      <c r="O25" s="626">
        <v>5819.88</v>
      </c>
      <c r="P25" s="626">
        <v>25204.880000000001</v>
      </c>
      <c r="R25" s="626">
        <v>6004.6200000000008</v>
      </c>
      <c r="S25" s="626">
        <v>6466.7</v>
      </c>
      <c r="T25" s="626">
        <v>6329.36</v>
      </c>
      <c r="U25" s="626">
        <v>5974.7156000000004</v>
      </c>
      <c r="V25" s="626">
        <v>24775.3956</v>
      </c>
      <c r="X25" s="626">
        <v>6224.0443999999998</v>
      </c>
      <c r="Y25" s="626">
        <v>6699.7828000000009</v>
      </c>
      <c r="Z25" s="626">
        <v>6518.2708999999995</v>
      </c>
      <c r="AA25" s="626">
        <v>6153.8502900000003</v>
      </c>
      <c r="AB25" s="626">
        <v>25595.948389999998</v>
      </c>
      <c r="AD25" s="626">
        <v>6389.5155799999993</v>
      </c>
      <c r="AE25" s="626">
        <v>6877.3429299999998</v>
      </c>
      <c r="AF25" s="626">
        <v>6691.4005166000006</v>
      </c>
      <c r="AG25" s="626">
        <v>6318.0752496120003</v>
      </c>
      <c r="AH25" s="626">
        <v>26276.334276211997</v>
      </c>
      <c r="AJ25" s="626">
        <v>5750.5640220000014</v>
      </c>
      <c r="AK25" s="626">
        <v>6189.6086370000003</v>
      </c>
      <c r="AL25" s="626">
        <v>6022.26046494</v>
      </c>
      <c r="AM25" s="626">
        <v>5686.2677246508001</v>
      </c>
      <c r="AN25" s="626">
        <v>23648.700848590801</v>
      </c>
    </row>
    <row r="26" spans="1:52" x14ac:dyDescent="0.25">
      <c r="B26" t="s">
        <v>283</v>
      </c>
      <c r="F26" s="626">
        <v>1790</v>
      </c>
      <c r="G26" s="626">
        <v>1803</v>
      </c>
      <c r="H26" s="626">
        <v>1847</v>
      </c>
      <c r="I26" s="626">
        <v>1535</v>
      </c>
      <c r="J26" s="626">
        <v>6975</v>
      </c>
      <c r="L26" s="626">
        <v>1764</v>
      </c>
      <c r="M26" s="626">
        <v>1741</v>
      </c>
      <c r="N26" s="626">
        <v>1486</v>
      </c>
      <c r="O26" s="626">
        <v>1254.3896</v>
      </c>
      <c r="P26" s="626">
        <v>6245.3896000000004</v>
      </c>
      <c r="R26" s="626">
        <v>1351.6200000000008</v>
      </c>
      <c r="S26" s="628">
        <v>1457.0499999999997</v>
      </c>
      <c r="T26" s="626">
        <v>1451.2800000000007</v>
      </c>
      <c r="U26" s="626">
        <v>1269.8731600000001</v>
      </c>
      <c r="V26" s="626">
        <v>5529.8231600000008</v>
      </c>
      <c r="X26" s="626">
        <v>1406.4761000000005</v>
      </c>
      <c r="Y26" s="626">
        <v>1480.3582799999999</v>
      </c>
      <c r="Z26">
        <v>1489.0621800000006</v>
      </c>
      <c r="AA26" s="626">
        <v>1305.700098</v>
      </c>
      <c r="AB26" s="626">
        <v>5681.5966580000013</v>
      </c>
      <c r="AD26" s="626">
        <v>1447.8438950000004</v>
      </c>
      <c r="AE26" s="626">
        <v>1524.7483124999997</v>
      </c>
      <c r="AF26" s="626">
        <v>1532.3445841500009</v>
      </c>
      <c r="AG26">
        <v>1346.756337903</v>
      </c>
      <c r="AH26" s="626">
        <v>5851.6931295530003</v>
      </c>
      <c r="AJ26" s="626">
        <v>1320.0535834000009</v>
      </c>
      <c r="AK26" s="626">
        <v>1387.2014538999997</v>
      </c>
      <c r="AL26" s="626">
        <v>1398.5165738180008</v>
      </c>
      <c r="AM26" s="626">
        <v>1220.39483291076</v>
      </c>
      <c r="AN26">
        <v>5326.1664440287614</v>
      </c>
    </row>
    <row r="27" spans="1:52" x14ac:dyDescent="0.25">
      <c r="C27" s="624" t="s">
        <v>614</v>
      </c>
      <c r="F27" s="629"/>
      <c r="G27" s="629"/>
      <c r="H27" s="629"/>
      <c r="I27" s="629"/>
      <c r="J27" s="629"/>
      <c r="K27" s="629"/>
      <c r="L27" s="629">
        <f>L25/F25-1</f>
        <v>-4.2810262529832888E-2</v>
      </c>
      <c r="M27" s="629">
        <f t="shared" ref="M27" si="79">M25/G25-1</f>
        <v>-6.5299817441370589E-2</v>
      </c>
      <c r="N27" s="629">
        <f t="shared" ref="N27" si="80">N25/H25-1</f>
        <v>-9.5831542758917032E-2</v>
      </c>
      <c r="O27" s="629">
        <f t="shared" ref="O27" si="81">O25/I25-1</f>
        <v>-0.10297780517879163</v>
      </c>
      <c r="P27" s="629">
        <f t="shared" ref="P27" si="82">P25/J25-1</f>
        <v>-7.6541364402432754E-2</v>
      </c>
      <c r="Q27" s="629"/>
      <c r="R27" s="629">
        <f>R25/L25-1</f>
        <v>-6.4263674614305599E-2</v>
      </c>
      <c r="S27" s="629">
        <f t="shared" ref="S27" si="83">S25/M25-1</f>
        <v>-2.8440504807692335E-2</v>
      </c>
      <c r="T27" s="629">
        <f t="shared" ref="T27" si="84">T25/N25-1</f>
        <v>2.7503168567806213E-3</v>
      </c>
      <c r="U27" s="629">
        <f t="shared" ref="U27" si="85">U25/O25-1</f>
        <v>2.6604603531344306E-2</v>
      </c>
      <c r="V27" s="629">
        <f t="shared" ref="V27" si="86">V25/P25-1</f>
        <v>-1.7039731988408691E-2</v>
      </c>
      <c r="W27" s="629"/>
      <c r="X27" s="629">
        <f>X25/R25-1</f>
        <v>3.6542595534771349E-2</v>
      </c>
      <c r="Y27" s="629">
        <f t="shared" ref="Y27" si="87">Y25/S25-1</f>
        <v>3.6043546167287888E-2</v>
      </c>
      <c r="Z27" s="629">
        <f t="shared" ref="Z27" si="88">Z25/T25-1</f>
        <v>2.9846761757902796E-2</v>
      </c>
      <c r="AA27" s="629">
        <f t="shared" ref="AA27" si="89">AA25/U25-1</f>
        <v>2.9982128354360427E-2</v>
      </c>
      <c r="AB27" s="629">
        <f t="shared" ref="AB27" si="90">AB25/V25-1</f>
        <v>3.3119664494882795E-2</v>
      </c>
      <c r="AD27" s="629">
        <f>AD25/X25-1</f>
        <v>2.6585796849392551E-2</v>
      </c>
      <c r="AE27" s="629">
        <f t="shared" ref="AE27" si="91">AE25/Y25-1</f>
        <v>2.6502371091791099E-2</v>
      </c>
      <c r="AF27" s="629">
        <f t="shared" ref="AF27" si="92">AF25/Z25-1</f>
        <v>2.6560666050255977E-2</v>
      </c>
      <c r="AG27" s="629">
        <f t="shared" ref="AG27" si="93">AG25/AA25-1</f>
        <v>2.6686538000260551E-2</v>
      </c>
      <c r="AH27" s="629">
        <f t="shared" ref="AH27" si="94">AH25/AB25-1</f>
        <v>2.6581780672671584E-2</v>
      </c>
      <c r="AJ27" s="629">
        <f>AJ25/AD25-1</f>
        <v>-9.9999999999999645E-2</v>
      </c>
      <c r="AK27" s="629">
        <f t="shared" ref="AK27" si="95">AK25/AE25-1</f>
        <v>-9.9999999999999978E-2</v>
      </c>
      <c r="AL27" s="629">
        <f t="shared" ref="AL27" si="96">AL25/AF25-1</f>
        <v>-0.10000000000000009</v>
      </c>
      <c r="AM27" s="629">
        <f t="shared" ref="AM27" si="97">AM25/AG25-1</f>
        <v>-9.9999999999999978E-2</v>
      </c>
      <c r="AN27" s="629">
        <f t="shared" ref="AN27" si="98">AN25/AH25-1</f>
        <v>-9.9999999999999867E-2</v>
      </c>
    </row>
    <row r="28" spans="1:52" x14ac:dyDescent="0.25">
      <c r="C28" s="624" t="s">
        <v>612</v>
      </c>
      <c r="F28" s="629">
        <f>F26/F25</f>
        <v>0.26700477326968974</v>
      </c>
      <c r="G28" s="629">
        <f>G26/G25</f>
        <v>0.25319477601460472</v>
      </c>
      <c r="H28" s="629">
        <f>H26/H25</f>
        <v>0.26457527574846013</v>
      </c>
      <c r="I28" s="629">
        <f>I26/I25</f>
        <v>0.23659062885326756</v>
      </c>
      <c r="J28" s="629">
        <f>J26/J25</f>
        <v>0.2555506704770279</v>
      </c>
      <c r="K28" s="629"/>
      <c r="L28" s="629">
        <f>L26/L25</f>
        <v>0.27489481065918653</v>
      </c>
      <c r="M28" s="629">
        <f t="shared" ref="M28" si="99">M26/M25</f>
        <v>0.26156850961538464</v>
      </c>
      <c r="N28" s="629">
        <f t="shared" ref="N28" si="100">N26/N25</f>
        <v>0.23542458808618505</v>
      </c>
      <c r="O28" s="629">
        <f t="shared" ref="O28" si="101">O26/O25</f>
        <v>0.21553530313339794</v>
      </c>
      <c r="P28" s="629">
        <f t="shared" ref="P28" si="102">P26/P25</f>
        <v>0.24778493688523812</v>
      </c>
      <c r="Q28" s="629"/>
      <c r="R28" s="629">
        <f>R26/R25</f>
        <v>0.22509667555981905</v>
      </c>
      <c r="S28" s="629">
        <f t="shared" ref="S28" si="103">S26/S25</f>
        <v>0.22531584888737682</v>
      </c>
      <c r="T28" s="629">
        <f t="shared" ref="T28" si="104">T26/T25</f>
        <v>0.22929332507552119</v>
      </c>
      <c r="U28" s="629">
        <f t="shared" ref="U28" si="105">U26/U25</f>
        <v>0.21254118940824565</v>
      </c>
      <c r="V28" s="629">
        <f t="shared" ref="V28" si="106">V26/V25</f>
        <v>0.22319817811506512</v>
      </c>
      <c r="W28" s="627"/>
      <c r="X28" s="629">
        <f>X26/X25</f>
        <v>0.22597462511674893</v>
      </c>
      <c r="Y28" s="629">
        <f t="shared" ref="Y28" si="107">Y26/Y25</f>
        <v>0.22095615995193155</v>
      </c>
      <c r="Z28" s="629">
        <f t="shared" ref="Z28" si="108">Z26/Z25</f>
        <v>0.22844435324098</v>
      </c>
      <c r="AA28" s="629">
        <f t="shared" ref="AA28" si="109">AA26/AA25</f>
        <v>0.21217612331612312</v>
      </c>
      <c r="AB28" s="629">
        <f t="shared" ref="AB28" si="110">AB26/AB25</f>
        <v>0.22197250015630313</v>
      </c>
      <c r="AD28" s="629">
        <f>AD26/AD25</f>
        <v>0.22659681737562967</v>
      </c>
      <c r="AE28" s="629">
        <f t="shared" ref="AE28" si="111">AE26/AE25</f>
        <v>0.22170601757385389</v>
      </c>
      <c r="AF28" s="629">
        <f t="shared" ref="AF28" si="112">AF26/AF25</f>
        <v>0.22900207218930721</v>
      </c>
      <c r="AG28" s="629">
        <f t="shared" ref="AG28" si="113">AG26/AG25</f>
        <v>0.21315927473097218</v>
      </c>
      <c r="AH28" s="629">
        <f t="shared" ref="AH28" si="114">AH26/AH25</f>
        <v>0.2226982298231206</v>
      </c>
      <c r="AJ28" s="629">
        <f>AJ26/AJ25</f>
        <v>0.22955201930625521</v>
      </c>
      <c r="AK28" s="629">
        <f t="shared" ref="AK28" si="115">AK26/AK25</f>
        <v>0.22411779730428208</v>
      </c>
      <c r="AL28" s="629">
        <f t="shared" ref="AL28" si="116">AL26/AL25</f>
        <v>0.2322245246547858</v>
      </c>
      <c r="AM28" s="629">
        <f t="shared" ref="AM28" si="117">AM26/AM25</f>
        <v>0.21462141636774687</v>
      </c>
      <c r="AN28" s="629">
        <f t="shared" ref="AN28" si="118">AN26/AN25</f>
        <v>0.22522025535902288</v>
      </c>
    </row>
    <row r="29" spans="1:52" x14ac:dyDescent="0.25">
      <c r="C29" s="624" t="s">
        <v>611</v>
      </c>
      <c r="F29" s="629"/>
      <c r="G29" s="629"/>
      <c r="H29" s="629"/>
      <c r="I29" s="629"/>
      <c r="J29" s="629"/>
      <c r="K29" s="629"/>
      <c r="L29" s="629">
        <f>(L26-F26)/(L25-F25)</f>
        <v>9.0592334494773524E-2</v>
      </c>
      <c r="M29" s="629">
        <f t="shared" ref="M29" si="119">(M26-G26)/(M25-G25)</f>
        <v>0.13333333333333333</v>
      </c>
      <c r="N29" s="629">
        <f t="shared" ref="N29" si="120">(N26-H26)/(N25-H25)</f>
        <v>0.5396113602391629</v>
      </c>
      <c r="O29" s="629">
        <f t="shared" ref="O29" si="121">(O26-I26)/(O25-I25)</f>
        <v>0.4200000000000001</v>
      </c>
      <c r="P29" s="629">
        <f t="shared" ref="P29" si="122">(P26-J26)/(P25-J25)</f>
        <v>0.34924293482423219</v>
      </c>
      <c r="Q29" s="629"/>
      <c r="R29" s="629">
        <f>(R26-L26)/(R25-L25)</f>
        <v>1</v>
      </c>
      <c r="S29" s="629">
        <f t="shared" ref="S29" si="123">(S26-M26)/(S25-M25)</f>
        <v>1.5</v>
      </c>
      <c r="T29" s="629">
        <f t="shared" ref="T29" si="124">(T26-N26)/(T25-N25)</f>
        <v>-2</v>
      </c>
      <c r="U29" s="629">
        <f t="shared" ref="U29" si="125">(U26-O26)/(U25-O25)</f>
        <v>0.10000000000000059</v>
      </c>
      <c r="V29" s="629">
        <f t="shared" ref="V29" si="126">(V26-P26)/(V25-P25)</f>
        <v>1.6661057770666352</v>
      </c>
      <c r="W29" s="627"/>
      <c r="X29" s="629">
        <f>(X26-R26)/(X25-R25)</f>
        <v>0.25</v>
      </c>
      <c r="Y29" s="629">
        <f t="shared" ref="Y29" si="127">(Y26-S26)/(Y25-S25)</f>
        <v>0.10000000000000039</v>
      </c>
      <c r="Z29" s="629">
        <f t="shared" ref="Z29" si="128">(Z26-T26)/(Z25-T25)</f>
        <v>0.19999999999999976</v>
      </c>
      <c r="AA29" s="629">
        <f t="shared" ref="AA29" si="129">(AA26-U26)/(AA25-U25)</f>
        <v>0.19999999999999973</v>
      </c>
      <c r="AB29" s="629">
        <f t="shared" ref="AB29" si="130">(AB26-V26)/(AB25-V25)</f>
        <v>0.18496494052503418</v>
      </c>
      <c r="AD29" s="629">
        <f>(AD26-X26)/(AD25-X25)</f>
        <v>0.25</v>
      </c>
      <c r="AE29" s="629">
        <f t="shared" ref="AE29" si="131">(AE26-Y26)/(AE25-Y25)</f>
        <v>0.25</v>
      </c>
      <c r="AF29" s="629">
        <f t="shared" ref="AF29" si="132">(AF26-Z26)/(AF25-Z25)</f>
        <v>0.25</v>
      </c>
      <c r="AG29" s="629">
        <f t="shared" ref="AG29" si="133">(AG26-AA26)/(AG25-AA25)</f>
        <v>0.25</v>
      </c>
      <c r="AH29" s="629">
        <f t="shared" ref="AH29" si="134">(AH26-AB26)/(AH25-AB25)</f>
        <v>0.24999999999999867</v>
      </c>
      <c r="AJ29" s="629">
        <f>(AJ26-AD26)/(AJ25-AD25)</f>
        <v>0.19999999999999993</v>
      </c>
      <c r="AK29" s="629">
        <f t="shared" ref="AK29" si="135">(AK26-AE26)/(AK25-AE25)</f>
        <v>0.20000000000000007</v>
      </c>
      <c r="AL29" s="629">
        <f t="shared" ref="AL29" si="136">(AL26-AF26)/(AL25-AF25)</f>
        <v>0.19999999999999993</v>
      </c>
      <c r="AM29" s="629">
        <f t="shared" ref="AM29" si="137">(AM26-AG26)/(AM25-AG25)</f>
        <v>0.2</v>
      </c>
      <c r="AN29" s="629">
        <f t="shared" ref="AN29" si="138">(AN26-AH26)/(AN25-AH25)</f>
        <v>0.19999999999999987</v>
      </c>
    </row>
    <row r="30" spans="1:52" x14ac:dyDescent="0.25">
      <c r="C30" s="624"/>
      <c r="F30" s="627"/>
      <c r="G30" s="627"/>
      <c r="H30" s="627"/>
      <c r="I30" s="627"/>
      <c r="J30" s="627"/>
      <c r="K30" s="627"/>
      <c r="L30" s="627"/>
      <c r="M30" s="627"/>
      <c r="N30" s="627"/>
      <c r="O30" s="627"/>
      <c r="P30" s="627"/>
      <c r="Q30" s="627"/>
      <c r="R30" s="627"/>
      <c r="S30" s="627"/>
      <c r="T30" s="627"/>
      <c r="U30" s="627"/>
      <c r="V30" s="627"/>
      <c r="W30" s="627"/>
      <c r="X30" s="627"/>
      <c r="Y30" s="627"/>
      <c r="Z30" s="627"/>
      <c r="AA30" s="627"/>
      <c r="AB30" s="627"/>
      <c r="AD30" s="627"/>
      <c r="AE30" s="627"/>
      <c r="AF30" s="627"/>
      <c r="AG30" s="627"/>
      <c r="AH30" s="627"/>
      <c r="AJ30" s="627"/>
      <c r="AK30" s="627"/>
      <c r="AL30" s="627"/>
      <c r="AM30" s="627"/>
      <c r="AN30" s="627"/>
    </row>
    <row r="31" spans="1:52" x14ac:dyDescent="0.25">
      <c r="C31" s="632" t="s">
        <v>615</v>
      </c>
      <c r="L31" s="633">
        <f>L$10-L27</f>
        <v>-4.9217267971757295E-3</v>
      </c>
      <c r="M31" s="633">
        <f t="shared" ref="M31:P31" si="139">M$10-M27</f>
        <v>-5.374763802676874E-4</v>
      </c>
      <c r="N31" s="633">
        <f t="shared" si="139"/>
        <v>2.3896224845921799E-3</v>
      </c>
      <c r="O31" s="633">
        <f t="shared" si="139"/>
        <v>2.9546297278806977E-2</v>
      </c>
      <c r="P31" s="633">
        <f t="shared" si="139"/>
        <v>6.3064822082536942E-3</v>
      </c>
      <c r="Q31" s="634"/>
      <c r="R31" s="633">
        <f t="shared" ref="R31:V31" si="140">R$10-R27</f>
        <v>-2.356322451396331E-2</v>
      </c>
      <c r="S31" s="633">
        <f t="shared" si="140"/>
        <v>-6.6389661285379598E-2</v>
      </c>
      <c r="T31" s="633">
        <f t="shared" si="140"/>
        <v>-5.893629006403045E-2</v>
      </c>
      <c r="U31" s="633">
        <f t="shared" si="140"/>
        <v>-5.474558990619327E-2</v>
      </c>
      <c r="V31" s="633">
        <f t="shared" si="140"/>
        <v>-5.0605400071075946E-2</v>
      </c>
      <c r="W31" s="634"/>
      <c r="X31" s="633">
        <f t="shared" ref="X31:AB31" si="141">X$10-X27</f>
        <v>1.3244086604550898E-2</v>
      </c>
      <c r="Y31" s="633">
        <f t="shared" si="141"/>
        <v>1.3749816646284163E-2</v>
      </c>
      <c r="Z31" s="633">
        <f t="shared" si="141"/>
        <v>1.9944504836403087E-2</v>
      </c>
      <c r="AA31" s="633">
        <f t="shared" si="141"/>
        <v>1.9804936064615086E-2</v>
      </c>
      <c r="AB31" s="633">
        <f t="shared" si="141"/>
        <v>1.666996747466265E-2</v>
      </c>
      <c r="AD31" s="633">
        <f>AD$10-AD27</f>
        <v>7.3633849814986885E-3</v>
      </c>
      <c r="AE31" s="633">
        <f t="shared" ref="AE31:AH31" si="142">AE$10-AE27</f>
        <v>7.4518251576944916E-3</v>
      </c>
      <c r="AF31" s="633">
        <f t="shared" si="142"/>
        <v>7.5221718569049578E-3</v>
      </c>
      <c r="AG31" s="633">
        <f t="shared" si="142"/>
        <v>7.4943058857315226E-3</v>
      </c>
      <c r="AH31" s="633">
        <f t="shared" si="142"/>
        <v>7.4595701791599911E-3</v>
      </c>
      <c r="AJ31" s="633">
        <f>AJ$10-AJ27</f>
        <v>0.13397700970606308</v>
      </c>
      <c r="AK31" s="633">
        <f t="shared" ref="AK31:AN31" si="143">AK$10-AK27</f>
        <v>0.1339818864121568</v>
      </c>
      <c r="AL31" s="633">
        <f t="shared" si="143"/>
        <v>0.13411081517411771</v>
      </c>
      <c r="AM31" s="633">
        <f t="shared" si="143"/>
        <v>0.13420907595938203</v>
      </c>
      <c r="AN31" s="633">
        <f t="shared" si="143"/>
        <v>0.13406929012860447</v>
      </c>
    </row>
    <row r="32" spans="1:52" x14ac:dyDescent="0.25">
      <c r="C32" s="632" t="s">
        <v>616</v>
      </c>
      <c r="L32" s="633">
        <f>L$11-L28</f>
        <v>-2.9954291323386339E-4</v>
      </c>
      <c r="M32" s="633">
        <f t="shared" ref="M32:P32" si="144">M$11-M28</f>
        <v>-1.0567633936279242E-3</v>
      </c>
      <c r="N32" s="633">
        <f t="shared" si="144"/>
        <v>-1.2244304817721208E-3</v>
      </c>
      <c r="O32" s="633">
        <f t="shared" si="144"/>
        <v>1.0853286837298887E-2</v>
      </c>
      <c r="P32" s="633">
        <f t="shared" si="144"/>
        <v>1.6415566049530483E-3</v>
      </c>
      <c r="Q32" s="634"/>
      <c r="R32" s="633">
        <f t="shared" ref="R32:V32" si="145">R$11-R28</f>
        <v>3.742422959052738E-2</v>
      </c>
      <c r="S32" s="633">
        <f t="shared" si="145"/>
        <v>2.0582402962025986E-2</v>
      </c>
      <c r="T32" s="633">
        <f t="shared" si="145"/>
        <v>-4.9633593077997029E-3</v>
      </c>
      <c r="U32" s="633">
        <f t="shared" si="145"/>
        <v>8.8203377316717624E-3</v>
      </c>
      <c r="V32" s="633">
        <f t="shared" si="145"/>
        <v>1.5303757481183095E-2</v>
      </c>
      <c r="W32" s="634"/>
      <c r="X32" s="633">
        <f t="shared" ref="X32:AB32" si="146">X$11-X28</f>
        <v>4.3066297969177547E-2</v>
      </c>
      <c r="Y32" s="633">
        <f t="shared" si="146"/>
        <v>3.2251382018436775E-2</v>
      </c>
      <c r="Z32" s="633">
        <f t="shared" si="146"/>
        <v>4.2175864966396415E-3</v>
      </c>
      <c r="AA32" s="633">
        <f t="shared" si="146"/>
        <v>1.7657488742191391E-2</v>
      </c>
      <c r="AB32" s="633">
        <f t="shared" si="146"/>
        <v>2.4188997837576054E-2</v>
      </c>
      <c r="AD32" s="633">
        <f>AD$11-AD28</f>
        <v>4.6744078661277638E-2</v>
      </c>
      <c r="AE32" s="633">
        <f t="shared" ref="AE32:AH32" si="147">AE$11-AE28</f>
        <v>3.6322066685488152E-2</v>
      </c>
      <c r="AF32" s="633">
        <f t="shared" si="147"/>
        <v>9.175243855266968E-3</v>
      </c>
      <c r="AG32" s="633">
        <f t="shared" si="147"/>
        <v>2.2298528468828127E-2</v>
      </c>
      <c r="AH32" s="633">
        <f t="shared" si="147"/>
        <v>2.8527737224144589E-2</v>
      </c>
      <c r="AJ32" s="633">
        <f>AJ$11-AJ28</f>
        <v>4.7950959218287542E-2</v>
      </c>
      <c r="AK32" s="633">
        <f t="shared" ref="AK32:AN32" si="148">AK$11-AK28</f>
        <v>3.857620381280677E-2</v>
      </c>
      <c r="AL32" s="633">
        <f t="shared" si="148"/>
        <v>1.1290617454835172E-2</v>
      </c>
      <c r="AM32" s="633">
        <f t="shared" si="148"/>
        <v>2.6279035363869913E-2</v>
      </c>
      <c r="AN32" s="633">
        <f t="shared" si="148"/>
        <v>3.0907342304928448E-2</v>
      </c>
    </row>
    <row r="33" spans="1:52" x14ac:dyDescent="0.25">
      <c r="C33" s="632" t="s">
        <v>617</v>
      </c>
      <c r="L33" s="633">
        <f>L$12-L29</f>
        <v>-9.8469928798666922E-3</v>
      </c>
      <c r="M33" s="633">
        <f t="shared" ref="M33:P33" si="149">M$12-M29</f>
        <v>-1.6985138004246281E-3</v>
      </c>
      <c r="N33" s="633">
        <f t="shared" si="149"/>
        <v>1.2376407344934948E-2</v>
      </c>
      <c r="O33" s="633">
        <f t="shared" si="149"/>
        <v>-7.0000000000000284E-2</v>
      </c>
      <c r="P33" s="633">
        <f t="shared" si="149"/>
        <v>-2.9076242192981272E-2</v>
      </c>
      <c r="Q33" s="634"/>
      <c r="R33" s="633">
        <f t="shared" ref="R33:V33" si="150">R$12-R29</f>
        <v>-0.60000000000000009</v>
      </c>
      <c r="S33" s="633">
        <f t="shared" si="150"/>
        <v>-1.1000000000000001</v>
      </c>
      <c r="T33" s="633">
        <f t="shared" si="150"/>
        <v>2.4</v>
      </c>
      <c r="U33" s="633">
        <f t="shared" si="150"/>
        <v>0.29999999999999943</v>
      </c>
      <c r="V33" s="633">
        <f t="shared" si="150"/>
        <v>-1.2661057770666353</v>
      </c>
      <c r="W33" s="634"/>
      <c r="X33" s="633">
        <f t="shared" ref="X33:AB33" si="151">X$12-X29</f>
        <v>0.1500000000000003</v>
      </c>
      <c r="Y33" s="633">
        <f t="shared" si="151"/>
        <v>0.29999999999999927</v>
      </c>
      <c r="Z33" s="633">
        <f t="shared" si="151"/>
        <v>0.19999999999999993</v>
      </c>
      <c r="AA33" s="633">
        <f t="shared" si="151"/>
        <v>0.20000000000000057</v>
      </c>
      <c r="AB33" s="633">
        <f t="shared" si="151"/>
        <v>0.21503505947496585</v>
      </c>
      <c r="AD33" s="633">
        <f>AD$12-AD29</f>
        <v>0.15000000000000024</v>
      </c>
      <c r="AE33" s="633">
        <f t="shared" ref="AE33:AH33" si="152">AE$12-AE29</f>
        <v>0.15000000000000002</v>
      </c>
      <c r="AF33" s="633">
        <f t="shared" si="152"/>
        <v>0.15000000000000041</v>
      </c>
      <c r="AG33" s="633">
        <f t="shared" si="152"/>
        <v>0.1499999999999998</v>
      </c>
      <c r="AH33" s="633">
        <f t="shared" si="152"/>
        <v>0.15000000000000113</v>
      </c>
      <c r="AJ33" s="633">
        <f>AJ$12-AJ29</f>
        <v>0.20000000000000026</v>
      </c>
      <c r="AK33" s="633">
        <f t="shared" ref="AK33:AN33" si="153">AK$12-AK29</f>
        <v>0.19999999999999996</v>
      </c>
      <c r="AL33" s="633">
        <f t="shared" si="153"/>
        <v>0.20000000000000026</v>
      </c>
      <c r="AM33" s="633">
        <f t="shared" si="153"/>
        <v>0.19999999999999957</v>
      </c>
      <c r="AN33" s="633">
        <f t="shared" si="153"/>
        <v>0.19999999999999971</v>
      </c>
    </row>
    <row r="35" spans="1:52" x14ac:dyDescent="0.25">
      <c r="A35" s="631"/>
      <c r="B35" s="631" t="s">
        <v>402</v>
      </c>
      <c r="C35" s="631"/>
      <c r="D35" s="631"/>
      <c r="E35" s="631"/>
    </row>
    <row r="36" spans="1:52" x14ac:dyDescent="0.25">
      <c r="A36" s="625" t="s">
        <v>613</v>
      </c>
    </row>
    <row r="37" spans="1:52" x14ac:dyDescent="0.25">
      <c r="B37" t="s">
        <v>132</v>
      </c>
      <c r="F37" s="626">
        <f>'Business Build-up'!AN80</f>
        <v>3427</v>
      </c>
      <c r="G37" s="626">
        <f>'Business Build-up'!AO80</f>
        <v>3563</v>
      </c>
      <c r="H37" s="626">
        <f>'Business Build-up'!AP80</f>
        <v>3351</v>
      </c>
      <c r="I37" s="626">
        <f>'Business Build-up'!AQ80</f>
        <v>3242</v>
      </c>
      <c r="J37" s="626">
        <f>'Business Build-up'!AR80</f>
        <v>13583</v>
      </c>
      <c r="K37" s="626"/>
      <c r="L37" s="626">
        <f>'Business Build-up'!AT80</f>
        <v>3193</v>
      </c>
      <c r="M37" s="626">
        <f>'Business Build-up'!AU80</f>
        <v>3206</v>
      </c>
      <c r="N37" s="626">
        <f>'Business Build-up'!AV80</f>
        <v>3028</v>
      </c>
      <c r="O37" s="626">
        <f>'Business Build-up'!AW80</f>
        <v>2991.1</v>
      </c>
      <c r="P37" s="626">
        <f>'Business Build-up'!AX80</f>
        <v>12418.099999999999</v>
      </c>
      <c r="Q37" s="626"/>
      <c r="R37" s="626">
        <f>'Business Build-up'!AZ80</f>
        <v>2890.2000000000003</v>
      </c>
      <c r="S37" s="626">
        <f>'Business Build-up'!BA80</f>
        <v>3107</v>
      </c>
      <c r="T37" s="626">
        <f>'Business Build-up'!BB80</f>
        <v>3096.84</v>
      </c>
      <c r="U37" s="626">
        <f>'Business Build-up'!BC80</f>
        <v>3071.8620000000001</v>
      </c>
      <c r="V37" s="626">
        <f>'Business Build-up'!BD80</f>
        <v>12165.902000000002</v>
      </c>
      <c r="W37" s="626"/>
      <c r="X37" s="626">
        <f>'Business Build-up'!BF80</f>
        <v>3002.6080000000006</v>
      </c>
      <c r="Y37" s="626">
        <f>'Business Build-up'!BG80</f>
        <v>3228.08</v>
      </c>
      <c r="Z37" s="626">
        <f>'Business Build-up'!BH80</f>
        <v>3217.5136000000002</v>
      </c>
      <c r="AA37" s="626">
        <f>'Business Build-up'!BI80</f>
        <v>3191.5364800000002</v>
      </c>
      <c r="AB37" s="626">
        <f>'Business Build-up'!BJ80</f>
        <v>12639.738079999999</v>
      </c>
      <c r="AC37" s="626"/>
      <c r="AD37" s="626">
        <f>'Business Build-up'!BL80</f>
        <v>3119.5123200000003</v>
      </c>
      <c r="AE37" s="626">
        <f>'Business Build-up'!BM80</f>
        <v>3354.0032000000001</v>
      </c>
      <c r="AF37" s="626">
        <f>'Business Build-up'!BN80</f>
        <v>3343.0141440000002</v>
      </c>
      <c r="AG37" s="626">
        <f>'Business Build-up'!BO80</f>
        <v>3315.9979392</v>
      </c>
      <c r="AH37" s="626">
        <f>'Business Build-up'!BP80</f>
        <v>13132.527603200002</v>
      </c>
      <c r="AI37" s="626"/>
      <c r="AJ37" s="626">
        <f>'Business Build-up'!BR80</f>
        <v>3241.0928128000005</v>
      </c>
      <c r="AK37" s="626">
        <f>'Business Build-up'!BS80</f>
        <v>3484.9633279999998</v>
      </c>
      <c r="AL37" s="626">
        <f>'Business Build-up'!BT80</f>
        <v>3473.5347097600006</v>
      </c>
      <c r="AM37" s="626">
        <f>'Business Build-up'!BU80</f>
        <v>3445.4378567680001</v>
      </c>
      <c r="AN37" s="626">
        <f>'Business Build-up'!BV80</f>
        <v>13645.028707328001</v>
      </c>
      <c r="AO37" s="626"/>
      <c r="AP37" s="626">
        <f>'Business Build-up'!BX80</f>
        <v>3367.5365253120008</v>
      </c>
      <c r="AQ37" s="626">
        <f>'Business Build-up'!BY80</f>
        <v>3621.1618611200001</v>
      </c>
      <c r="AR37" s="626">
        <f>'Business Build-up'!BZ80</f>
        <v>3609.2760981504007</v>
      </c>
      <c r="AS37" s="626">
        <f>'Business Build-up'!CA80</f>
        <v>3580.0553710387203</v>
      </c>
      <c r="AT37" s="626">
        <f>'Business Build-up'!CB80</f>
        <v>14178.029855621122</v>
      </c>
      <c r="AU37" s="626"/>
      <c r="AV37" s="626">
        <f>'Business Build-up'!CD80</f>
        <v>3499.0379863244807</v>
      </c>
      <c r="AW37" s="626">
        <f>'Business Build-up'!CE80</f>
        <v>3762.8083355648005</v>
      </c>
      <c r="AX37" s="626">
        <f>'Business Build-up'!CF80</f>
        <v>3750.4471420764166</v>
      </c>
      <c r="AY37" s="626">
        <f>'Business Build-up'!CG80</f>
        <v>3720.057585880269</v>
      </c>
      <c r="AZ37" s="626">
        <f>'Business Build-up'!CH80</f>
        <v>14732.351049845965</v>
      </c>
    </row>
    <row r="38" spans="1:52" x14ac:dyDescent="0.25">
      <c r="B38" t="s">
        <v>283</v>
      </c>
      <c r="F38" s="626">
        <f>'Business Build-up'!AN110</f>
        <v>764</v>
      </c>
      <c r="G38" s="626">
        <f>'Business Build-up'!AO110</f>
        <v>740</v>
      </c>
      <c r="H38" s="626">
        <f>'Business Build-up'!AP110</f>
        <v>730</v>
      </c>
      <c r="I38" s="626">
        <f>'Business Build-up'!AQ110</f>
        <v>600</v>
      </c>
      <c r="J38" s="626">
        <f>'Business Build-up'!AR110</f>
        <v>2834</v>
      </c>
      <c r="K38" s="626"/>
      <c r="L38" s="626">
        <f>'Business Build-up'!AT110</f>
        <v>730</v>
      </c>
      <c r="M38" s="626">
        <f>'Business Build-up'!AU110</f>
        <v>718</v>
      </c>
      <c r="N38" s="626">
        <f>'Business Build-up'!AV110</f>
        <v>619</v>
      </c>
      <c r="O38" s="626">
        <f>'Business Build-up'!AW110</f>
        <v>574.91</v>
      </c>
      <c r="P38" s="626">
        <f>'Business Build-up'!AX110</f>
        <v>2641.91</v>
      </c>
      <c r="Q38" s="626"/>
      <c r="R38" s="626">
        <f>'Business Build-up'!AZ110</f>
        <v>639.16000000000008</v>
      </c>
      <c r="S38" s="626">
        <f>'Business Build-up'!BA110</f>
        <v>688.3</v>
      </c>
      <c r="T38" s="626">
        <f>'Business Build-up'!BB110</f>
        <v>639.65200000000004</v>
      </c>
      <c r="U38" s="626">
        <f>'Business Build-up'!BC110</f>
        <v>599.1386</v>
      </c>
      <c r="V38" s="626">
        <f>'Business Build-up'!BD110</f>
        <v>2566.2506000000003</v>
      </c>
      <c r="W38" s="626"/>
      <c r="X38" s="626">
        <f>'Business Build-up'!BF110</f>
        <v>670.07220000000018</v>
      </c>
      <c r="Y38" s="626">
        <f>'Business Build-up'!BG110</f>
        <v>721.59699999999998</v>
      </c>
      <c r="Z38" s="626">
        <f>'Business Build-up'!BH110</f>
        <v>672.83724000000007</v>
      </c>
      <c r="AA38" s="626">
        <f>'Business Build-up'!BI110</f>
        <v>632.049082</v>
      </c>
      <c r="AB38" s="626">
        <f>'Business Build-up'!BJ110</f>
        <v>2696.5555220000001</v>
      </c>
      <c r="AC38" s="626"/>
      <c r="AD38" s="626">
        <f>'Business Build-up'!BL110</f>
        <v>702.22088800000006</v>
      </c>
      <c r="AE38" s="626">
        <f>'Business Build-up'!BM110</f>
        <v>756.22588000000007</v>
      </c>
      <c r="AF38" s="626">
        <f>'Business Build-up'!BN110</f>
        <v>707.3498896000001</v>
      </c>
      <c r="AG38" s="626">
        <f>'Business Build-up'!BO110</f>
        <v>666.27598327999999</v>
      </c>
      <c r="AH38" s="626">
        <f>'Business Build-up'!BP110</f>
        <v>2832.0726408800001</v>
      </c>
      <c r="AI38" s="626"/>
      <c r="AJ38" s="626">
        <f>'Business Build-up'!BR110</f>
        <v>735.65552352000009</v>
      </c>
      <c r="AK38" s="626">
        <f>'Business Build-up'!BS110</f>
        <v>792.23991520000004</v>
      </c>
      <c r="AL38" s="626">
        <f>'Business Build-up'!BT110</f>
        <v>743.24304518400027</v>
      </c>
      <c r="AM38" s="626">
        <f>'Business Build-up'!BU110</f>
        <v>701.87196061120005</v>
      </c>
      <c r="AN38" s="626">
        <f>'Business Build-up'!BV110</f>
        <v>2973.0104445152001</v>
      </c>
      <c r="AO38" s="626"/>
      <c r="AP38" s="626">
        <f>'Business Build-up'!BX110</f>
        <v>770.42754446080016</v>
      </c>
      <c r="AQ38" s="626">
        <f>'Business Build-up'!BY110</f>
        <v>829.69451180800013</v>
      </c>
      <c r="AR38" s="626">
        <f>'Business Build-up'!BZ110</f>
        <v>780.57192699136033</v>
      </c>
      <c r="AS38" s="626">
        <f>'Business Build-up'!CA110</f>
        <v>738.89177703564815</v>
      </c>
      <c r="AT38" s="626">
        <f>'Business Build-up'!CB110</f>
        <v>3119.5857602958085</v>
      </c>
      <c r="AU38" s="626"/>
      <c r="AV38" s="626">
        <f>'Business Build-up'!CD110</f>
        <v>806.59044623923216</v>
      </c>
      <c r="AW38" s="626">
        <f>'Business Build-up'!CE110</f>
        <v>868.64729228032024</v>
      </c>
      <c r="AX38" s="626">
        <f>'Business Build-up'!CF110</f>
        <v>819.39396407101469</v>
      </c>
      <c r="AY38" s="626">
        <f>'Business Build-up'!CG110</f>
        <v>777.39238611707401</v>
      </c>
      <c r="AZ38" s="626">
        <f>'Business Build-up'!CH110</f>
        <v>3272.0240887076407</v>
      </c>
    </row>
    <row r="39" spans="1:52" x14ac:dyDescent="0.25">
      <c r="C39" s="624" t="s">
        <v>614</v>
      </c>
      <c r="F39" s="629"/>
      <c r="G39" s="629"/>
      <c r="H39" s="629"/>
      <c r="I39" s="629"/>
      <c r="J39" s="629"/>
      <c r="K39" s="629"/>
      <c r="L39" s="629">
        <f>L37/F37-1</f>
        <v>-6.8281295593813796E-2</v>
      </c>
      <c r="M39" s="629">
        <f t="shared" ref="M39" si="154">M37/G37-1</f>
        <v>-0.10019646365422397</v>
      </c>
      <c r="N39" s="629">
        <f t="shared" ref="N39" si="155">N37/H37-1</f>
        <v>-9.6389137570874417E-2</v>
      </c>
      <c r="O39" s="629">
        <f t="shared" ref="O39" si="156">O37/I37-1</f>
        <v>-7.7390499691548431E-2</v>
      </c>
      <c r="P39" s="629">
        <f t="shared" ref="P39" si="157">P37/J37-1</f>
        <v>-8.5761613781933366E-2</v>
      </c>
      <c r="Q39" s="629"/>
      <c r="R39" s="629">
        <f>R37/L37-1</f>
        <v>-9.48324459755715E-2</v>
      </c>
      <c r="S39" s="629">
        <f t="shared" ref="S39" si="158">S37/M37-1</f>
        <v>-3.0879600748596414E-2</v>
      </c>
      <c r="T39" s="629">
        <f t="shared" ref="T39" si="159">T37/N37-1</f>
        <v>2.273447820343466E-2</v>
      </c>
      <c r="U39" s="629">
        <f t="shared" ref="U39" si="160">U37/O37-1</f>
        <v>2.7000768947878839E-2</v>
      </c>
      <c r="V39" s="629">
        <f t="shared" ref="V39" si="161">V37/P37-1</f>
        <v>-2.0308903938605516E-2</v>
      </c>
      <c r="W39" s="629"/>
      <c r="X39" s="629">
        <f>X37/R37-1</f>
        <v>3.889281018614632E-2</v>
      </c>
      <c r="Y39" s="629">
        <f t="shared" ref="Y39" si="162">Y37/S37-1</f>
        <v>3.8970067589314539E-2</v>
      </c>
      <c r="Z39" s="629">
        <f t="shared" ref="Z39" si="163">Z37/T37-1</f>
        <v>3.8966688624533452E-2</v>
      </c>
      <c r="AA39" s="629">
        <f t="shared" ref="AA39" si="164">AA37/U37-1</f>
        <v>3.8958286537611464E-2</v>
      </c>
      <c r="AB39" s="629">
        <f t="shared" ref="AB39" si="165">AB37/V37-1</f>
        <v>3.8947879080400094E-2</v>
      </c>
      <c r="AC39" s="629"/>
      <c r="AD39" s="629">
        <f>AD37/X37-1</f>
        <v>3.893425981679921E-2</v>
      </c>
      <c r="AE39" s="629">
        <f t="shared" ref="AE39" si="166">AE37/Y37-1</f>
        <v>3.9008698669177999E-2</v>
      </c>
      <c r="AF39" s="629">
        <f t="shared" ref="AF39" si="167">AF37/Z37-1</f>
        <v>3.9005443209315427E-2</v>
      </c>
      <c r="AG39" s="629">
        <f t="shared" ref="AG39" si="168">AG37/AA37-1</f>
        <v>3.8997348136218024E-2</v>
      </c>
      <c r="AH39" s="629">
        <f t="shared" ref="AH39" si="169">AH37/AB37-1</f>
        <v>3.898732078790057E-2</v>
      </c>
      <c r="AI39" s="629"/>
      <c r="AJ39" s="629">
        <f>AJ37/AD37-1</f>
        <v>3.8974198633714652E-2</v>
      </c>
      <c r="AK39" s="629">
        <f t="shared" ref="AK39" si="170">AK37/AE37-1</f>
        <v>3.9045916235261657E-2</v>
      </c>
      <c r="AL39" s="629">
        <f t="shared" ref="AL39" si="171">AL37/AF37-1</f>
        <v>3.9042779999676869E-2</v>
      </c>
      <c r="AM39" s="629">
        <f t="shared" ref="AM39" si="172">AM37/AG37-1</f>
        <v>3.9034981306178995E-2</v>
      </c>
      <c r="AN39" s="629">
        <f t="shared" ref="AN39" si="173">AN37/AH37-1</f>
        <v>3.9025320914088057E-2</v>
      </c>
      <c r="AO39" s="629"/>
      <c r="AP39" s="629">
        <f>AP37/AJ37-1</f>
        <v>3.90126786905447E-2</v>
      </c>
      <c r="AQ39" s="629">
        <f t="shared" ref="AQ39" si="174">AQ37/AK37-1</f>
        <v>3.9081769390716614E-2</v>
      </c>
      <c r="AR39" s="629">
        <f t="shared" ref="AR39" si="175">AR37/AL37-1</f>
        <v>3.9078748229862681E-2</v>
      </c>
      <c r="AS39" s="629">
        <f t="shared" ref="AS39" si="176">AS37/AM37-1</f>
        <v>3.90712356069014E-2</v>
      </c>
      <c r="AT39" s="629">
        <f t="shared" ref="AT39" si="177">AT37/AN37-1</f>
        <v>3.9061929419530905E-2</v>
      </c>
      <c r="AU39" s="629"/>
      <c r="AV39" s="629">
        <f>AV37/AP37-1</f>
        <v>3.9049750470129263E-2</v>
      </c>
      <c r="AW39" s="629">
        <f t="shared" ref="AW39" si="178">AW37/AQ37-1</f>
        <v>3.911630572652447E-2</v>
      </c>
      <c r="AX39" s="629">
        <f t="shared" ref="AX39" si="179">AX37/AR37-1</f>
        <v>3.9113395619237989E-2</v>
      </c>
      <c r="AY39" s="629">
        <f t="shared" ref="AY39" si="180">AY37/AS37-1</f>
        <v>3.9106159076229163E-2</v>
      </c>
      <c r="AZ39" s="629">
        <f t="shared" ref="AZ39" si="181">AZ37/AT37-1</f>
        <v>3.9097194735069118E-2</v>
      </c>
    </row>
    <row r="40" spans="1:52" x14ac:dyDescent="0.25">
      <c r="C40" s="624" t="s">
        <v>612</v>
      </c>
      <c r="F40" s="629">
        <f>F38/F37</f>
        <v>0.22293551210971696</v>
      </c>
      <c r="G40" s="629">
        <f>G38/G37</f>
        <v>0.20769014875105249</v>
      </c>
      <c r="H40" s="629">
        <f>H38/H37</f>
        <v>0.21784541927782752</v>
      </c>
      <c r="I40" s="629">
        <f>I38/I37</f>
        <v>0.18507094386181369</v>
      </c>
      <c r="J40" s="629">
        <f>J38/J37</f>
        <v>0.20864315688728557</v>
      </c>
      <c r="K40" s="629"/>
      <c r="L40" s="629">
        <f>L38/L37</f>
        <v>0.22862511744440964</v>
      </c>
      <c r="M40" s="629">
        <f>M38/M37</f>
        <v>0.22395508421709295</v>
      </c>
      <c r="N40" s="629">
        <f>N38/N37</f>
        <v>0.20442536327608982</v>
      </c>
      <c r="O40" s="629">
        <f>O38/O37</f>
        <v>0.1922068804118886</v>
      </c>
      <c r="P40" s="629">
        <f>P38/P37</f>
        <v>0.21274671648641902</v>
      </c>
      <c r="Q40" s="629"/>
      <c r="R40" s="629">
        <f>R38/R37</f>
        <v>0.22114732544460591</v>
      </c>
      <c r="S40" s="629">
        <f>S38/S37</f>
        <v>0.22153202446089473</v>
      </c>
      <c r="T40" s="629">
        <f>T38/T37</f>
        <v>0.20654990248123895</v>
      </c>
      <c r="U40" s="629">
        <f>U38/U37</f>
        <v>0.19504085795520762</v>
      </c>
      <c r="V40" s="629">
        <f>V38/V37</f>
        <v>0.2109379641558842</v>
      </c>
      <c r="W40" s="629"/>
      <c r="X40" s="629">
        <f>X38/X37</f>
        <v>0.22316339662053788</v>
      </c>
      <c r="Y40" s="629">
        <f>Y38/Y37</f>
        <v>0.22353752075537162</v>
      </c>
      <c r="Z40" s="629">
        <f>Z38/Z37</f>
        <v>0.20911713939608523</v>
      </c>
      <c r="AA40" s="629">
        <f>AA38/AA37</f>
        <v>0.19803912189654807</v>
      </c>
      <c r="AB40" s="629">
        <f>AB38/AB37</f>
        <v>0.21333950948451935</v>
      </c>
      <c r="AC40" s="629"/>
      <c r="AD40" s="629">
        <f>AD38/AD37</f>
        <v>0.22510598323266118</v>
      </c>
      <c r="AE40" s="629">
        <f>AE38/AE37</f>
        <v>0.22546963580714535</v>
      </c>
      <c r="AF40" s="629">
        <f>AF38/AF37</f>
        <v>0.21159045673484295</v>
      </c>
      <c r="AG40" s="629">
        <f>AG38/AG37</f>
        <v>0.20092774347162054</v>
      </c>
      <c r="AH40" s="629">
        <f>AH38/AH37</f>
        <v>0.21565327912883345</v>
      </c>
      <c r="AI40" s="629"/>
      <c r="AJ40" s="629">
        <f>AJ38/AJ37</f>
        <v>0.22697761712181969</v>
      </c>
      <c r="AK40" s="629">
        <f>AK38/AK37</f>
        <v>0.22733091876024472</v>
      </c>
      <c r="AL40" s="629">
        <f>AL38/AL37</f>
        <v>0.21397311594314072</v>
      </c>
      <c r="AM40" s="629">
        <f>AM38/AM37</f>
        <v>0.2037105267281159</v>
      </c>
      <c r="AN40" s="629">
        <f>AN38/AN37</f>
        <v>0.21788231511147779</v>
      </c>
      <c r="AO40" s="629"/>
      <c r="AP40" s="629">
        <f>AP38/AP37</f>
        <v>0.22878075372602541</v>
      </c>
      <c r="AQ40" s="629">
        <f>AQ38/AQ37</f>
        <v>0.22912384025589549</v>
      </c>
      <c r="AR40" s="629">
        <f>AR38/AR37</f>
        <v>0.21626827811576121</v>
      </c>
      <c r="AS40" s="629">
        <f>AS38/AS37</f>
        <v>0.20639115892256868</v>
      </c>
      <c r="AT40" s="629">
        <f>AT38/AT37</f>
        <v>0.22002956631234596</v>
      </c>
      <c r="AU40" s="629"/>
      <c r="AV40" s="629">
        <f>AV38/AV37</f>
        <v>0.23051777356853009</v>
      </c>
      <c r="AW40" s="629">
        <f>AW38/AW37</f>
        <v>0.23085079409178452</v>
      </c>
      <c r="AX40" s="629">
        <f>AX38/AX37</f>
        <v>0.21847900611055174</v>
      </c>
      <c r="AY40" s="629">
        <f>AY38/AY37</f>
        <v>0.20897321295985297</v>
      </c>
      <c r="AZ40" s="629">
        <f>AZ38/AZ37</f>
        <v>0.22209789039352626</v>
      </c>
    </row>
    <row r="41" spans="1:52" x14ac:dyDescent="0.25">
      <c r="C41" s="624" t="s">
        <v>611</v>
      </c>
      <c r="F41" s="629">
        <f>F40/F38</f>
        <v>2.9180040852057196E-4</v>
      </c>
      <c r="G41" s="629">
        <f>G40/G38</f>
        <v>2.8066236317709798E-4</v>
      </c>
      <c r="H41" s="629">
        <f>H40/H38</f>
        <v>2.9841838257236647E-4</v>
      </c>
      <c r="I41" s="629">
        <f>I40/I38</f>
        <v>3.0845157310302283E-4</v>
      </c>
      <c r="J41" s="629">
        <f>J40/J38</f>
        <v>7.3621438562909518E-5</v>
      </c>
      <c r="K41" s="629"/>
      <c r="L41" s="629">
        <f>(L38-F38)/(L37-F37)</f>
        <v>0.14529914529914531</v>
      </c>
      <c r="M41" s="629">
        <f t="shared" ref="M41" si="182">(M38-G38)/(M37-G37)</f>
        <v>6.1624649859943981E-2</v>
      </c>
      <c r="N41" s="629">
        <f t="shared" ref="N41" si="183">(N38-H38)/(N37-H37)</f>
        <v>0.34365325077399383</v>
      </c>
      <c r="O41" s="629">
        <f t="shared" ref="O41" si="184">(O38-I38)/(O37-I37)</f>
        <v>0.10000000000000009</v>
      </c>
      <c r="P41" s="629">
        <f t="shared" ref="P41" si="185">(P38-J38)/(P37-J37)</f>
        <v>0.1648982745300025</v>
      </c>
      <c r="Q41" s="629"/>
      <c r="R41" s="629">
        <f>(R38-L38)/(R37-L37)</f>
        <v>0.3</v>
      </c>
      <c r="S41" s="629">
        <f t="shared" ref="S41" si="186">(S38-M38)/(S37-M37)</f>
        <v>0.30000000000000043</v>
      </c>
      <c r="T41" s="629">
        <f t="shared" ref="T41" si="187">(T38-N38)/(T37-N37)</f>
        <v>0.3</v>
      </c>
      <c r="U41" s="629">
        <f t="shared" ref="U41" si="188">(U38-O38)/(U37-O37)</f>
        <v>0.29999999999999971</v>
      </c>
      <c r="V41" s="629">
        <f t="shared" ref="V41" si="189">(V38-P38)/(V37-P37)</f>
        <v>0.30000000000000215</v>
      </c>
      <c r="W41" s="629"/>
      <c r="X41" s="629">
        <f>(X38-R38)/(X37-R37)</f>
        <v>0.27500000000000002</v>
      </c>
      <c r="Y41" s="629">
        <f t="shared" ref="Y41" si="190">(Y38-S38)/(Y37-S37)</f>
        <v>0.27500000000000036</v>
      </c>
      <c r="Z41" s="629">
        <f t="shared" ref="Z41" si="191">(Z38-T38)/(Z37-T37)</f>
        <v>0.27500000000000002</v>
      </c>
      <c r="AA41" s="629">
        <f t="shared" ref="AA41" si="192">(AA38-U38)/(AA37-U37)</f>
        <v>0.27499999999999969</v>
      </c>
      <c r="AB41" s="629">
        <f t="shared" ref="AB41" si="193">(AB38-V38)/(AB37-V37)</f>
        <v>0.27500000000000113</v>
      </c>
      <c r="AC41" s="629"/>
      <c r="AD41" s="629">
        <f>(AD38-X38)/(AD37-X37)</f>
        <v>0.2749999999999998</v>
      </c>
      <c r="AE41" s="629">
        <f t="shared" ref="AE41" si="194">(AE38-Y38)/(AE37-Y37)</f>
        <v>0.27500000000000036</v>
      </c>
      <c r="AF41" s="629">
        <f t="shared" ref="AF41" si="195">(AF38-Z38)/(AF37-Z37)</f>
        <v>0.27500000000000024</v>
      </c>
      <c r="AG41" s="629">
        <f t="shared" ref="AG41" si="196">(AG38-AA38)/(AG37-AA37)</f>
        <v>0.27500000000000036</v>
      </c>
      <c r="AH41" s="629">
        <f t="shared" ref="AH41" si="197">(AH38-AB38)/(AH37-AB37)</f>
        <v>0.27499999999999841</v>
      </c>
      <c r="AI41" s="629"/>
      <c r="AJ41" s="629">
        <f>(AJ38-AD38)/(AJ37-AD37)</f>
        <v>0.27499999999999974</v>
      </c>
      <c r="AK41" s="629">
        <f t="shared" ref="AK41" si="198">(AK38-AE38)/(AK37-AE37)</f>
        <v>0.27500000000000036</v>
      </c>
      <c r="AL41" s="629">
        <f t="shared" ref="AL41" si="199">(AL38-AF38)/(AL37-AF37)</f>
        <v>0.27500000000000041</v>
      </c>
      <c r="AM41" s="629">
        <f t="shared" ref="AM41" si="200">(AM38-AG38)/(AM37-AG37)</f>
        <v>0.27500000000000036</v>
      </c>
      <c r="AN41" s="629">
        <f t="shared" ref="AN41" si="201">(AN38-AH38)/(AN37-AH37)</f>
        <v>0.27500000000000024</v>
      </c>
      <c r="AO41" s="629"/>
      <c r="AP41" s="629">
        <f>(AP38-AJ38)/(AP37-AJ37)</f>
        <v>0.27500000000000002</v>
      </c>
      <c r="AQ41" s="629">
        <f t="shared" ref="AQ41" si="202">(AQ38-AK38)/(AQ37-AK37)</f>
        <v>0.27500000000000002</v>
      </c>
      <c r="AR41" s="629">
        <f t="shared" ref="AR41" si="203">(AR38-AL38)/(AR37-AL37)</f>
        <v>0.27500000000000036</v>
      </c>
      <c r="AS41" s="629">
        <f t="shared" ref="AS41" si="204">(AS38-AM38)/(AS37-AM37)</f>
        <v>0.27500000000000024</v>
      </c>
      <c r="AT41" s="629">
        <f t="shared" ref="AT41" si="205">(AT38-AN38)/(AT37-AN37)</f>
        <v>0.27500000000000058</v>
      </c>
      <c r="AU41" s="629"/>
      <c r="AV41" s="629">
        <f>(AV38-AP38)/(AV37-AP37)</f>
        <v>0.27500000000000019</v>
      </c>
      <c r="AW41" s="629">
        <f t="shared" ref="AW41" si="206">(AW38-AQ38)/(AW37-AQ37)</f>
        <v>0.27500000000000013</v>
      </c>
      <c r="AX41" s="629">
        <f t="shared" ref="AX41" si="207">(AX38-AR38)/(AX37-AR37)</f>
        <v>0.27499999999999986</v>
      </c>
      <c r="AY41" s="629">
        <f t="shared" ref="AY41" si="208">(AY38-AS38)/(AY37-AS37)</f>
        <v>0.27499999999999974</v>
      </c>
      <c r="AZ41" s="629">
        <f t="shared" ref="AZ41" si="209">(AZ38-AT38)/(AZ37-AT37)</f>
        <v>0.27500000000000024</v>
      </c>
    </row>
    <row r="42" spans="1:52" x14ac:dyDescent="0.25">
      <c r="A42" s="625" t="s">
        <v>610</v>
      </c>
    </row>
    <row r="43" spans="1:52" x14ac:dyDescent="0.25">
      <c r="B43" t="s">
        <v>132</v>
      </c>
      <c r="F43" s="626">
        <v>3427</v>
      </c>
      <c r="G43" s="626">
        <v>3563</v>
      </c>
      <c r="H43" s="626">
        <v>3351</v>
      </c>
      <c r="I43" s="626">
        <v>3242</v>
      </c>
      <c r="J43" s="626">
        <v>13583</v>
      </c>
      <c r="K43" s="626"/>
      <c r="L43" s="626">
        <v>3193</v>
      </c>
      <c r="M43" s="626">
        <v>3206</v>
      </c>
      <c r="N43" s="626">
        <v>3028</v>
      </c>
      <c r="O43" s="626">
        <v>3099.482708425825</v>
      </c>
      <c r="P43" s="626">
        <v>12526.482708425825</v>
      </c>
      <c r="Q43" s="626"/>
      <c r="R43" s="626">
        <v>3040.8405686998044</v>
      </c>
      <c r="S43" s="626">
        <v>3067.7285353003163</v>
      </c>
      <c r="T43" s="626">
        <v>3027.1046447968715</v>
      </c>
      <c r="U43" s="626">
        <v>3109.0896412869633</v>
      </c>
      <c r="V43" s="626">
        <v>12244.763390083954</v>
      </c>
      <c r="X43" s="626">
        <v>3131.9577689999032</v>
      </c>
      <c r="Y43" s="626">
        <v>3162.0793487023739</v>
      </c>
      <c r="Z43" s="626">
        <v>3121.5997120485458</v>
      </c>
      <c r="AA43" s="626">
        <v>3203.2197242352413</v>
      </c>
      <c r="AB43" s="626">
        <v>12618.856553986065</v>
      </c>
      <c r="AC43" s="626"/>
      <c r="AD43" s="626"/>
      <c r="AE43" s="626"/>
      <c r="AF43" s="626"/>
      <c r="AG43" s="626"/>
      <c r="AH43" s="626"/>
      <c r="AI43" s="626"/>
      <c r="AJ43" s="626"/>
      <c r="AK43" s="626"/>
      <c r="AL43" s="626"/>
      <c r="AM43" s="626"/>
      <c r="AN43" s="626"/>
      <c r="AO43" s="626"/>
      <c r="AP43" s="626"/>
      <c r="AQ43" s="626"/>
      <c r="AR43" s="626"/>
      <c r="AS43" s="626"/>
      <c r="AT43" s="626"/>
      <c r="AU43" s="626"/>
      <c r="AV43" s="626"/>
      <c r="AW43" s="626"/>
      <c r="AX43" s="626"/>
      <c r="AY43" s="626"/>
      <c r="AZ43" s="626"/>
    </row>
    <row r="44" spans="1:52" x14ac:dyDescent="0.25">
      <c r="B44" t="s">
        <v>283</v>
      </c>
      <c r="F44" s="626">
        <v>764</v>
      </c>
      <c r="G44" s="626">
        <v>740</v>
      </c>
      <c r="H44" s="626">
        <v>730</v>
      </c>
      <c r="I44" s="626">
        <v>600</v>
      </c>
      <c r="J44" s="626">
        <v>2834</v>
      </c>
      <c r="K44" s="626"/>
      <c r="L44" s="626">
        <v>730</v>
      </c>
      <c r="M44" s="626">
        <v>718</v>
      </c>
      <c r="N44" s="626">
        <v>619</v>
      </c>
      <c r="O44" s="626">
        <v>565.65559428771303</v>
      </c>
      <c r="P44" s="626">
        <v>2632.655594287713</v>
      </c>
      <c r="Q44" s="628"/>
      <c r="R44" s="626">
        <v>680.00832930521915</v>
      </c>
      <c r="S44" s="626">
        <v>671.69475980185996</v>
      </c>
      <c r="T44" s="626">
        <v>618.81696668733935</v>
      </c>
      <c r="U44" s="626">
        <v>567.40885953487077</v>
      </c>
      <c r="V44" s="626">
        <v>2537.9289153292893</v>
      </c>
      <c r="X44" s="626">
        <v>703.51638169253442</v>
      </c>
      <c r="Y44" s="626">
        <v>695.51542944496111</v>
      </c>
      <c r="Z44" s="626">
        <v>641.25575485010984</v>
      </c>
      <c r="AA44" s="626">
        <v>587.79081939716673</v>
      </c>
      <c r="AB44" s="626">
        <v>2628.078385384772</v>
      </c>
      <c r="AC44" s="626"/>
      <c r="AD44" s="626"/>
      <c r="AE44" s="626"/>
      <c r="AF44" s="626"/>
      <c r="AG44" s="626"/>
      <c r="AH44" s="626"/>
      <c r="AI44" s="626"/>
      <c r="AJ44" s="626"/>
      <c r="AK44" s="626"/>
      <c r="AL44" s="626"/>
      <c r="AM44" s="626"/>
      <c r="AN44" s="626"/>
      <c r="AO44" s="626"/>
      <c r="AP44" s="626"/>
      <c r="AQ44" s="626"/>
      <c r="AR44" s="626"/>
      <c r="AS44" s="626"/>
      <c r="AT44" s="626"/>
      <c r="AU44" s="626"/>
      <c r="AV44" s="626"/>
      <c r="AW44" s="626"/>
      <c r="AX44" s="626"/>
      <c r="AY44" s="626"/>
      <c r="AZ44" s="626"/>
    </row>
    <row r="45" spans="1:52" x14ac:dyDescent="0.25">
      <c r="C45" s="624" t="s">
        <v>614</v>
      </c>
      <c r="F45" s="629"/>
      <c r="G45" s="629"/>
      <c r="H45" s="629"/>
      <c r="I45" s="629"/>
      <c r="J45" s="629"/>
      <c r="K45" s="629"/>
      <c r="L45" s="629">
        <f>L43/F43-1</f>
        <v>-6.8281295593813796E-2</v>
      </c>
      <c r="M45" s="629">
        <f t="shared" ref="M45" si="210">M43/G43-1</f>
        <v>-0.10019646365422397</v>
      </c>
      <c r="N45" s="629">
        <f t="shared" ref="N45" si="211">N43/H43-1</f>
        <v>-9.6389137570874417E-2</v>
      </c>
      <c r="O45" s="629">
        <f t="shared" ref="O45" si="212">O43/I43-1</f>
        <v>-4.3959682780436493E-2</v>
      </c>
      <c r="P45" s="629">
        <f t="shared" ref="P45" si="213">P43/J43-1</f>
        <v>-7.7782322872279708E-2</v>
      </c>
      <c r="Q45" s="629"/>
      <c r="R45" s="629">
        <f>R43/L43-1</f>
        <v>-4.7654065549701086E-2</v>
      </c>
      <c r="S45" s="629">
        <f t="shared" ref="S45" si="214">S43/M43-1</f>
        <v>-4.3128965907574424E-2</v>
      </c>
      <c r="T45" s="629">
        <f t="shared" ref="T45" si="215">T43/N43-1</f>
        <v>-2.9569194290901546E-4</v>
      </c>
      <c r="U45" s="629">
        <f t="shared" ref="U45" si="216">U43/O43-1</f>
        <v>3.0995278131484838E-3</v>
      </c>
      <c r="V45" s="629">
        <f t="shared" ref="V45" si="217">V43/P43-1</f>
        <v>-2.248989799446055E-2</v>
      </c>
      <c r="W45" s="629"/>
      <c r="X45" s="629">
        <f>X43/R43-1</f>
        <v>2.996447799269486E-2</v>
      </c>
      <c r="Y45" s="629">
        <f t="shared" ref="Y45" si="218">Y43/S43-1</f>
        <v>3.075591999629812E-2</v>
      </c>
      <c r="Z45" s="629">
        <f t="shared" ref="Z45" si="219">Z43/T43-1</f>
        <v>3.1216319995444053E-2</v>
      </c>
      <c r="AA45" s="629">
        <f t="shared" ref="AA45" si="220">AA43/U43-1</f>
        <v>3.0275770019070336E-2</v>
      </c>
      <c r="AB45" s="629">
        <f t="shared" ref="AB45" si="221">AB43/V43-1</f>
        <v>3.0551277471401184E-2</v>
      </c>
      <c r="AC45" s="629"/>
      <c r="AD45" s="629"/>
      <c r="AE45" s="629"/>
      <c r="AF45" s="629"/>
      <c r="AG45" s="629"/>
      <c r="AH45" s="629"/>
      <c r="AI45" s="629"/>
      <c r="AJ45" s="629"/>
      <c r="AK45" s="629"/>
      <c r="AL45" s="629"/>
      <c r="AM45" s="629"/>
      <c r="AN45" s="629"/>
      <c r="AO45" s="629"/>
      <c r="AP45" s="629"/>
      <c r="AQ45" s="629"/>
      <c r="AR45" s="629"/>
      <c r="AS45" s="629"/>
      <c r="AT45" s="629"/>
      <c r="AU45" s="629"/>
      <c r="AV45" s="629"/>
      <c r="AW45" s="629"/>
      <c r="AX45" s="629"/>
      <c r="AY45" s="629"/>
      <c r="AZ45" s="629"/>
    </row>
    <row r="46" spans="1:52" x14ac:dyDescent="0.25">
      <c r="C46" s="624" t="s">
        <v>612</v>
      </c>
      <c r="F46" s="629">
        <f>F44/F43</f>
        <v>0.22293551210971696</v>
      </c>
      <c r="G46" s="629">
        <f>G44/G43</f>
        <v>0.20769014875105249</v>
      </c>
      <c r="H46" s="629">
        <f>H44/H43</f>
        <v>0.21784541927782752</v>
      </c>
      <c r="I46" s="629">
        <f>I44/I43</f>
        <v>0.18507094386181369</v>
      </c>
      <c r="J46" s="629">
        <f>J44/J43</f>
        <v>0.20864315688728557</v>
      </c>
      <c r="K46" s="629"/>
      <c r="L46" s="629">
        <f>L44/L43</f>
        <v>0.22862511744440964</v>
      </c>
      <c r="M46" s="629">
        <f t="shared" ref="M46" si="222">M44/M43</f>
        <v>0.22395508421709295</v>
      </c>
      <c r="N46" s="629">
        <f t="shared" ref="N46" si="223">N44/N43</f>
        <v>0.20442536327608982</v>
      </c>
      <c r="O46" s="629">
        <f t="shared" ref="O46" si="224">O44/O43</f>
        <v>0.1825</v>
      </c>
      <c r="P46" s="629">
        <f t="shared" ref="P46" si="225">P44/P43</f>
        <v>0.2101671838429858</v>
      </c>
      <c r="Q46" s="629"/>
      <c r="R46" s="629">
        <f>R44/R43</f>
        <v>0.22362511744440963</v>
      </c>
      <c r="S46" s="629">
        <f t="shared" ref="S46" si="226">S44/S43</f>
        <v>0.21895508421709295</v>
      </c>
      <c r="T46" s="629">
        <f t="shared" ref="T46" si="227">T44/T43</f>
        <v>0.20442536327608984</v>
      </c>
      <c r="U46" s="629">
        <f t="shared" ref="U46" si="228">U44/U43</f>
        <v>0.1825</v>
      </c>
      <c r="V46" s="629">
        <f t="shared" ref="V46" si="229">V44/V43</f>
        <v>0.20726647257100561</v>
      </c>
      <c r="W46" s="627"/>
      <c r="X46" s="629">
        <f>X44/X43</f>
        <v>0.22462511744440963</v>
      </c>
      <c r="Y46" s="629">
        <f t="shared" ref="Y46" si="230">Y44/Y43</f>
        <v>0.21995508421709298</v>
      </c>
      <c r="Z46" s="629">
        <f t="shared" ref="Z46" si="231">Z44/Z43</f>
        <v>0.20542536327608979</v>
      </c>
      <c r="AA46" s="629">
        <f t="shared" ref="AA46" si="232">AA44/AA43</f>
        <v>0.1835</v>
      </c>
      <c r="AB46" s="629">
        <f t="shared" ref="AB46" si="233">AB44/AB43</f>
        <v>0.20826596880163523</v>
      </c>
      <c r="AC46" s="627"/>
      <c r="AD46" s="627"/>
      <c r="AE46" s="627"/>
      <c r="AF46" s="627"/>
      <c r="AG46" s="627"/>
      <c r="AH46" s="627"/>
      <c r="AI46" s="627"/>
      <c r="AJ46" s="627"/>
      <c r="AK46" s="627"/>
      <c r="AL46" s="627"/>
      <c r="AM46" s="627"/>
      <c r="AN46" s="627"/>
      <c r="AO46" s="627"/>
      <c r="AP46" s="627"/>
      <c r="AQ46" s="627"/>
      <c r="AR46" s="627"/>
      <c r="AS46" s="627"/>
      <c r="AT46" s="627"/>
      <c r="AU46" s="627"/>
      <c r="AV46" s="627"/>
      <c r="AW46" s="627"/>
      <c r="AX46" s="627"/>
      <c r="AY46" s="627"/>
      <c r="AZ46" s="627"/>
    </row>
    <row r="47" spans="1:52" x14ac:dyDescent="0.25">
      <c r="C47" s="624" t="s">
        <v>611</v>
      </c>
      <c r="F47" s="629"/>
      <c r="G47" s="629"/>
      <c r="H47" s="629"/>
      <c r="I47" s="629"/>
      <c r="J47" s="629"/>
      <c r="K47" s="629"/>
      <c r="L47" s="629">
        <f>(L44-F44)/(L43-F43)</f>
        <v>0.14529914529914531</v>
      </c>
      <c r="M47" s="629">
        <f t="shared" ref="M47" si="234">(M44-G44)/(M43-G43)</f>
        <v>6.1624649859943981E-2</v>
      </c>
      <c r="N47" s="629">
        <f t="shared" ref="N47" si="235">(N44-H44)/(N43-H43)</f>
        <v>0.34365325077399383</v>
      </c>
      <c r="O47" s="629">
        <f t="shared" ref="O47" si="236">(O44-I44)/(O43-I43)</f>
        <v>0.24098413134950691</v>
      </c>
      <c r="P47" s="629">
        <f t="shared" ref="P47" si="237">(P44-J44)/(P43-J43)</f>
        <v>0.19057369653864406</v>
      </c>
      <c r="Q47" s="629"/>
      <c r="R47" s="629">
        <f>(R44-L44)/(R43-L43)</f>
        <v>0.32854795964735306</v>
      </c>
      <c r="S47" s="629">
        <f t="shared" ref="S47" si="238">(S44-M44)/(S43-M43)</f>
        <v>0.33488645179764231</v>
      </c>
      <c r="T47" s="629">
        <f t="shared" ref="T47" si="239">(T44-N44)/(T43-N43)</f>
        <v>0.2044253632760665</v>
      </c>
      <c r="U47" s="629">
        <f t="shared" ref="U47" si="240">(U44-O44)/(U43-O43)</f>
        <v>0.18249999999999883</v>
      </c>
      <c r="V47" s="629">
        <f t="shared" ref="V47" si="241">(V44-P44)/(V43-P43)</f>
        <v>0.33624488201931269</v>
      </c>
      <c r="W47" s="627"/>
      <c r="X47" s="629">
        <f>(X44-R44)/(X43-R43)</f>
        <v>0.25799796646396495</v>
      </c>
      <c r="Y47" s="629">
        <f t="shared" ref="Y47" si="242">(Y44-S44)/(Y43-S43)</f>
        <v>0.25246914980577867</v>
      </c>
      <c r="Z47" s="629">
        <f t="shared" ref="Z47" si="243">(Z44-T44)/(Z43-T43)</f>
        <v>0.23745988881099944</v>
      </c>
      <c r="AA47" s="629">
        <f t="shared" ref="AA47" si="244">(AA44-U44)/(AA43-U43)</f>
        <v>0.21652971317889219</v>
      </c>
      <c r="AB47" s="629">
        <f t="shared" ref="AB47" si="245">(AB44-V44)/(AB43-V43)</f>
        <v>0.2409813350106341</v>
      </c>
      <c r="AC47" s="627"/>
      <c r="AD47" s="627"/>
      <c r="AE47" s="627"/>
      <c r="AF47" s="627"/>
      <c r="AG47" s="627"/>
      <c r="AH47" s="627"/>
      <c r="AI47" s="627"/>
      <c r="AJ47" s="627"/>
      <c r="AK47" s="627"/>
      <c r="AL47" s="627"/>
      <c r="AM47" s="627"/>
      <c r="AN47" s="627"/>
      <c r="AO47" s="627"/>
      <c r="AP47" s="627"/>
      <c r="AQ47" s="627"/>
      <c r="AR47" s="627"/>
      <c r="AS47" s="627"/>
      <c r="AT47" s="627"/>
      <c r="AU47" s="627"/>
      <c r="AV47" s="627"/>
      <c r="AW47" s="627"/>
      <c r="AX47" s="627"/>
      <c r="AY47" s="627"/>
      <c r="AZ47" s="627"/>
    </row>
    <row r="48" spans="1:52" x14ac:dyDescent="0.25">
      <c r="C48" s="624"/>
      <c r="F48" s="627"/>
      <c r="G48" s="627"/>
      <c r="H48" s="627"/>
      <c r="I48" s="627"/>
      <c r="J48" s="627"/>
      <c r="K48" s="627"/>
      <c r="L48" s="627"/>
      <c r="M48" s="627"/>
      <c r="N48" s="627"/>
      <c r="O48" s="627"/>
      <c r="P48" s="627"/>
      <c r="Q48" s="627"/>
      <c r="R48" s="627"/>
      <c r="S48" s="627"/>
      <c r="T48" s="627"/>
      <c r="U48" s="627"/>
      <c r="V48" s="627"/>
      <c r="W48" s="627"/>
      <c r="X48" s="627"/>
      <c r="Y48" s="627"/>
      <c r="Z48" s="627"/>
      <c r="AA48" s="627"/>
      <c r="AB48" s="627"/>
      <c r="AC48" s="627"/>
      <c r="AD48" s="627"/>
      <c r="AE48" s="627"/>
      <c r="AF48" s="627"/>
      <c r="AG48" s="627"/>
      <c r="AH48" s="627"/>
      <c r="AI48" s="627"/>
      <c r="AJ48" s="627"/>
      <c r="AK48" s="627"/>
      <c r="AL48" s="627"/>
      <c r="AM48" s="627"/>
      <c r="AN48" s="627"/>
      <c r="AO48" s="627"/>
      <c r="AP48" s="627"/>
      <c r="AQ48" s="627"/>
      <c r="AR48" s="627"/>
      <c r="AS48" s="627"/>
      <c r="AT48" s="627"/>
      <c r="AU48" s="627"/>
      <c r="AV48" s="627"/>
      <c r="AW48" s="627"/>
      <c r="AX48" s="627"/>
      <c r="AY48" s="627"/>
      <c r="AZ48" s="627"/>
    </row>
    <row r="49" spans="1:45" x14ac:dyDescent="0.25">
      <c r="C49" s="632" t="s">
        <v>615</v>
      </c>
      <c r="L49" s="633">
        <f>L$39-L45</f>
        <v>0</v>
      </c>
      <c r="M49" s="633">
        <f t="shared" ref="M49:P49" si="246">M$39-M45</f>
        <v>0</v>
      </c>
      <c r="N49" s="633">
        <f t="shared" si="246"/>
        <v>0</v>
      </c>
      <c r="O49" s="633">
        <f t="shared" si="246"/>
        <v>-3.3430816911111938E-2</v>
      </c>
      <c r="P49" s="633">
        <f t="shared" si="246"/>
        <v>-7.9792909096536579E-3</v>
      </c>
      <c r="Q49" s="634"/>
      <c r="R49" s="633">
        <f>R$39-R45</f>
        <v>-4.7178380425870414E-2</v>
      </c>
      <c r="S49" s="633">
        <f t="shared" ref="S49:V49" si="247">S$39-S45</f>
        <v>1.2249365158978009E-2</v>
      </c>
      <c r="T49" s="633">
        <f t="shared" si="247"/>
        <v>2.3030170146343676E-2</v>
      </c>
      <c r="U49" s="633">
        <f t="shared" si="247"/>
        <v>2.3901241134730355E-2</v>
      </c>
      <c r="V49" s="633">
        <f t="shared" si="247"/>
        <v>2.1809940558550345E-3</v>
      </c>
      <c r="W49" s="634"/>
      <c r="X49" s="633">
        <f>X$39-X45</f>
        <v>8.9283321934514603E-3</v>
      </c>
      <c r="Y49" s="633">
        <f t="shared" ref="Y49:AB49" si="248">Y$39-Y45</f>
        <v>8.2141475930164187E-3</v>
      </c>
      <c r="Z49" s="633">
        <f t="shared" si="248"/>
        <v>7.7503686290893992E-3</v>
      </c>
      <c r="AA49" s="633">
        <f t="shared" si="248"/>
        <v>8.6825165185411279E-3</v>
      </c>
      <c r="AB49" s="633">
        <f t="shared" si="248"/>
        <v>8.3966016089989104E-3</v>
      </c>
      <c r="AD49" s="630"/>
      <c r="AE49" s="630"/>
      <c r="AF49" s="630"/>
      <c r="AG49" s="630"/>
      <c r="AH49" s="630"/>
    </row>
    <row r="50" spans="1:45" x14ac:dyDescent="0.25">
      <c r="C50" s="632" t="s">
        <v>616</v>
      </c>
      <c r="L50" s="633">
        <f>L$40-L46</f>
        <v>0</v>
      </c>
      <c r="M50" s="633">
        <f t="shared" ref="M50:P50" si="249">M$40-M46</f>
        <v>0</v>
      </c>
      <c r="N50" s="633">
        <f t="shared" si="249"/>
        <v>0</v>
      </c>
      <c r="O50" s="633">
        <f t="shared" si="249"/>
        <v>9.7068804118886076E-3</v>
      </c>
      <c r="P50" s="633">
        <f t="shared" si="249"/>
        <v>2.5795326434332189E-3</v>
      </c>
      <c r="Q50" s="634"/>
      <c r="R50" s="633">
        <f>R$40-R46</f>
        <v>-2.477791999803719E-3</v>
      </c>
      <c r="S50" s="633">
        <f t="shared" ref="S50:V50" si="250">S$40-S46</f>
        <v>2.5769402438017841E-3</v>
      </c>
      <c r="T50" s="633">
        <f t="shared" si="250"/>
        <v>2.1245392051491008E-3</v>
      </c>
      <c r="U50" s="633">
        <f t="shared" si="250"/>
        <v>1.2540857955207624E-2</v>
      </c>
      <c r="V50" s="633">
        <f t="shared" si="250"/>
        <v>3.671491584878589E-3</v>
      </c>
      <c r="W50" s="634"/>
      <c r="X50" s="633">
        <f>X$40-X46</f>
        <v>-1.4617208238717483E-3</v>
      </c>
      <c r="Y50" s="633">
        <f t="shared" ref="Y50:AB50" si="251">Y$40-Y46</f>
        <v>3.5824365382786383E-3</v>
      </c>
      <c r="Z50" s="633">
        <f t="shared" si="251"/>
        <v>3.691776119995438E-3</v>
      </c>
      <c r="AA50" s="633">
        <f t="shared" si="251"/>
        <v>1.4539121896548074E-2</v>
      </c>
      <c r="AB50" s="633">
        <f t="shared" si="251"/>
        <v>5.0735406828841256E-3</v>
      </c>
      <c r="AD50" s="630"/>
      <c r="AE50" s="630"/>
      <c r="AF50" s="630"/>
      <c r="AG50" s="630"/>
      <c r="AH50" s="630"/>
    </row>
    <row r="51" spans="1:45" x14ac:dyDescent="0.25">
      <c r="C51" s="632" t="s">
        <v>617</v>
      </c>
      <c r="L51" s="633">
        <f>L$41-L47</f>
        <v>0</v>
      </c>
      <c r="M51" s="633">
        <f t="shared" ref="M51:P51" si="252">M$41-M47</f>
        <v>0</v>
      </c>
      <c r="N51" s="633">
        <f t="shared" si="252"/>
        <v>0</v>
      </c>
      <c r="O51" s="633">
        <f t="shared" si="252"/>
        <v>-0.14098413134950682</v>
      </c>
      <c r="P51" s="633">
        <f t="shared" si="252"/>
        <v>-2.5675422008641563E-2</v>
      </c>
      <c r="Q51" s="634"/>
      <c r="R51" s="633">
        <f>R$41-R47</f>
        <v>-2.8547959647353072E-2</v>
      </c>
      <c r="S51" s="633">
        <f t="shared" ref="S51:V51" si="253">S$41-S47</f>
        <v>-3.4886451797641882E-2</v>
      </c>
      <c r="T51" s="633">
        <f t="shared" si="253"/>
        <v>9.5574636723933487E-2</v>
      </c>
      <c r="U51" s="633">
        <f t="shared" si="253"/>
        <v>0.11750000000000088</v>
      </c>
      <c r="V51" s="633">
        <f t="shared" si="253"/>
        <v>-3.6244882019310531E-2</v>
      </c>
      <c r="W51" s="634"/>
      <c r="X51" s="633">
        <f>X$41-X47</f>
        <v>1.7002033536035077E-2</v>
      </c>
      <c r="Y51" s="633">
        <f t="shared" ref="Y51:AB51" si="254">Y$41-Y47</f>
        <v>2.2530850194221685E-2</v>
      </c>
      <c r="Z51" s="633">
        <f t="shared" si="254"/>
        <v>3.754011118900058E-2</v>
      </c>
      <c r="AA51" s="633">
        <f t="shared" si="254"/>
        <v>5.8470286821107498E-2</v>
      </c>
      <c r="AB51" s="633">
        <f t="shared" si="254"/>
        <v>3.4018664989367037E-2</v>
      </c>
      <c r="AD51" s="630"/>
      <c r="AE51" s="630"/>
      <c r="AF51" s="630"/>
      <c r="AG51" s="630"/>
      <c r="AH51" s="630"/>
    </row>
    <row r="53" spans="1:45" x14ac:dyDescent="0.25">
      <c r="A53" s="625" t="s">
        <v>619</v>
      </c>
    </row>
    <row r="54" spans="1:45" x14ac:dyDescent="0.25">
      <c r="B54" t="s">
        <v>132</v>
      </c>
      <c r="F54" s="626">
        <v>3359</v>
      </c>
      <c r="G54" s="626">
        <v>3473</v>
      </c>
      <c r="H54" s="626">
        <v>3259</v>
      </c>
      <c r="I54" s="626">
        <v>3153</v>
      </c>
      <c r="J54" s="626">
        <v>13244</v>
      </c>
      <c r="L54" s="626">
        <v>3096</v>
      </c>
      <c r="M54" s="626">
        <v>3122</v>
      </c>
      <c r="N54" s="626">
        <v>2934</v>
      </c>
      <c r="O54" s="626">
        <v>3057.1500000000005</v>
      </c>
      <c r="P54" s="626">
        <v>12209.149999999998</v>
      </c>
      <c r="R54" s="626">
        <v>3152.4900000000002</v>
      </c>
      <c r="S54">
        <v>3218.5</v>
      </c>
      <c r="T54" s="626">
        <v>3047.71</v>
      </c>
      <c r="U54" s="626">
        <v>3176.0699999999997</v>
      </c>
      <c r="V54" s="626">
        <v>12594.77</v>
      </c>
      <c r="X54" s="626">
        <v>3310.1145000000001</v>
      </c>
      <c r="Y54" s="626">
        <v>3379.4250000000002</v>
      </c>
      <c r="Z54">
        <v>3200.0954999999999</v>
      </c>
      <c r="AA54" s="626">
        <v>3334.8735000000006</v>
      </c>
      <c r="AB54" s="626">
        <v>13224.508500000002</v>
      </c>
      <c r="AD54" s="626">
        <v>3475.6202250000001</v>
      </c>
      <c r="AE54" s="626">
        <v>3548.3962500000007</v>
      </c>
      <c r="AF54" s="626">
        <v>3360.1002750000002</v>
      </c>
      <c r="AG54">
        <v>3501.6171750000008</v>
      </c>
      <c r="AH54" s="626">
        <v>13885.733925000002</v>
      </c>
      <c r="AJ54" s="626">
        <v>3649.4012362499998</v>
      </c>
      <c r="AK54" s="626">
        <v>3725.8160625000005</v>
      </c>
      <c r="AL54" s="626">
        <v>3528.1052887500005</v>
      </c>
      <c r="AM54" s="626">
        <v>3676.6980337500008</v>
      </c>
      <c r="AN54">
        <v>14580.020621250002</v>
      </c>
      <c r="AO54" s="626"/>
      <c r="AP54" s="626"/>
      <c r="AQ54" s="626"/>
      <c r="AR54" s="626"/>
      <c r="AS54" s="626"/>
    </row>
    <row r="55" spans="1:45" x14ac:dyDescent="0.25">
      <c r="B55" t="s">
        <v>283</v>
      </c>
      <c r="F55" s="626">
        <v>764</v>
      </c>
      <c r="G55" s="626">
        <v>740</v>
      </c>
      <c r="H55" s="626">
        <v>730</v>
      </c>
      <c r="I55" s="626">
        <v>600</v>
      </c>
      <c r="J55" s="626">
        <v>2834</v>
      </c>
      <c r="L55">
        <v>730</v>
      </c>
      <c r="M55">
        <v>718</v>
      </c>
      <c r="N55" s="626">
        <v>619</v>
      </c>
      <c r="O55" s="626">
        <v>571.24500000000012</v>
      </c>
      <c r="P55" s="626">
        <v>2638.2449999999999</v>
      </c>
      <c r="R55" s="626">
        <v>730</v>
      </c>
      <c r="S55">
        <v>718</v>
      </c>
      <c r="T55" s="626">
        <v>619</v>
      </c>
      <c r="U55">
        <v>571.24500000000012</v>
      </c>
      <c r="V55" s="626">
        <v>2638.2449999999999</v>
      </c>
      <c r="X55" s="628">
        <v>761.5249</v>
      </c>
      <c r="Y55" s="626">
        <v>750.18500000000006</v>
      </c>
      <c r="Z55">
        <v>649.47709999999995</v>
      </c>
      <c r="AA55" s="626">
        <v>603.00570000000027</v>
      </c>
      <c r="AB55" s="626">
        <v>2764.1927000000001</v>
      </c>
      <c r="AD55">
        <v>794.62604499999998</v>
      </c>
      <c r="AE55" s="626">
        <v>783.97925000000021</v>
      </c>
      <c r="AF55" s="626">
        <v>681.47805500000004</v>
      </c>
      <c r="AG55">
        <v>636.35443500000031</v>
      </c>
      <c r="AH55">
        <v>2896.4377850000005</v>
      </c>
      <c r="AJ55" s="626">
        <v>829.38224724999986</v>
      </c>
      <c r="AK55" s="626">
        <v>819.46321250000017</v>
      </c>
      <c r="AL55">
        <v>715.07905775000006</v>
      </c>
      <c r="AM55" s="626">
        <v>671.37060675000032</v>
      </c>
      <c r="AN55">
        <v>3035.2951242500003</v>
      </c>
      <c r="AP55" s="626"/>
      <c r="AQ55" s="626"/>
      <c r="AR55" s="626"/>
      <c r="AS55" s="626"/>
    </row>
    <row r="56" spans="1:45" x14ac:dyDescent="0.25">
      <c r="C56" s="624" t="s">
        <v>614</v>
      </c>
      <c r="F56" s="629"/>
      <c r="G56" s="629"/>
      <c r="H56" s="629"/>
      <c r="I56" s="629"/>
      <c r="J56" s="629"/>
      <c r="K56" s="629"/>
      <c r="L56" s="629">
        <f>L54/F54-1</f>
        <v>-7.8297112235784505E-2</v>
      </c>
      <c r="M56" s="629">
        <f t="shared" ref="M56" si="255">M54/G54-1</f>
        <v>-0.10106536135905553</v>
      </c>
      <c r="N56" s="629">
        <f t="shared" ref="N56" si="256">N54/H54-1</f>
        <v>-9.9723841669223656E-2</v>
      </c>
      <c r="O56" s="629">
        <f t="shared" ref="O56" si="257">O54/I54-1</f>
        <v>-3.039961941008551E-2</v>
      </c>
      <c r="P56" s="629">
        <f t="shared" ref="P56" si="258">P54/J54-1</f>
        <v>-7.8137269707037271E-2</v>
      </c>
      <c r="Q56" s="629"/>
      <c r="R56" s="629">
        <f>R54/L54-1</f>
        <v>1.8246124031007893E-2</v>
      </c>
      <c r="S56" s="629">
        <f t="shared" ref="S56" si="259">S54/M54-1</f>
        <v>3.0909673286354966E-2</v>
      </c>
      <c r="T56" s="629">
        <f t="shared" ref="T56" si="260">T54/N54-1</f>
        <v>3.8755964553510491E-2</v>
      </c>
      <c r="U56" s="629">
        <f t="shared" ref="U56" si="261">U54/O54-1</f>
        <v>3.8898974535106046E-2</v>
      </c>
      <c r="V56" s="629">
        <f t="shared" ref="V56" si="262">V54/P54-1</f>
        <v>3.158450834005655E-2</v>
      </c>
      <c r="W56" s="629"/>
      <c r="X56" s="629">
        <f>X54/R54-1</f>
        <v>5.0000000000000044E-2</v>
      </c>
      <c r="Y56" s="629">
        <f t="shared" ref="Y56" si="263">Y54/S54-1</f>
        <v>5.0000000000000044E-2</v>
      </c>
      <c r="Z56" s="629">
        <f t="shared" ref="Z56" si="264">Z54/T54-1</f>
        <v>5.0000000000000044E-2</v>
      </c>
      <c r="AA56" s="629">
        <f t="shared" ref="AA56" si="265">AA54/U54-1</f>
        <v>5.0000000000000266E-2</v>
      </c>
      <c r="AB56" s="629">
        <f t="shared" ref="AB56" si="266">AB54/V54-1</f>
        <v>5.0000000000000044E-2</v>
      </c>
      <c r="AD56" s="629">
        <f>AD54/X54-1</f>
        <v>5.0000000000000044E-2</v>
      </c>
      <c r="AE56" s="629">
        <f t="shared" ref="AE56" si="267">AE54/Y54-1</f>
        <v>5.0000000000000044E-2</v>
      </c>
      <c r="AF56" s="629">
        <f t="shared" ref="AF56" si="268">AF54/Z54-1</f>
        <v>5.0000000000000044E-2</v>
      </c>
      <c r="AG56" s="629">
        <f t="shared" ref="AG56" si="269">AG54/AA54-1</f>
        <v>5.0000000000000044E-2</v>
      </c>
      <c r="AH56" s="629">
        <f t="shared" ref="AH56" si="270">AH54/AB54-1</f>
        <v>5.0000000000000044E-2</v>
      </c>
      <c r="AJ56" s="629">
        <f>AJ54/AD54-1</f>
        <v>4.9999999999999822E-2</v>
      </c>
      <c r="AK56" s="629">
        <f t="shared" ref="AK56" si="271">AK54/AE54-1</f>
        <v>5.0000000000000044E-2</v>
      </c>
      <c r="AL56" s="629">
        <f t="shared" ref="AL56" si="272">AL54/AF54-1</f>
        <v>5.0000000000000044E-2</v>
      </c>
      <c r="AM56" s="629">
        <f t="shared" ref="AM56" si="273">AM54/AG54-1</f>
        <v>5.0000000000000044E-2</v>
      </c>
      <c r="AN56" s="629">
        <f t="shared" ref="AN56" si="274">AN54/AH54-1</f>
        <v>5.0000000000000044E-2</v>
      </c>
    </row>
    <row r="57" spans="1:45" x14ac:dyDescent="0.25">
      <c r="C57" s="624" t="s">
        <v>612</v>
      </c>
      <c r="F57" s="629">
        <f>F55/F54</f>
        <v>0.22744864543018756</v>
      </c>
      <c r="G57" s="629">
        <f>G55/G54</f>
        <v>0.21307227181111432</v>
      </c>
      <c r="H57" s="629">
        <f>H55/H54</f>
        <v>0.22399509051856398</v>
      </c>
      <c r="I57" s="629">
        <f>I55/I54</f>
        <v>0.19029495718363462</v>
      </c>
      <c r="J57" s="629">
        <f>J55/J54</f>
        <v>0.21398369072787676</v>
      </c>
      <c r="K57" s="629"/>
      <c r="L57" s="629">
        <f>L55/L54</f>
        <v>0.23578811369509045</v>
      </c>
      <c r="M57" s="629">
        <f t="shared" ref="M57" si="275">M55/M54</f>
        <v>0.22998078155028828</v>
      </c>
      <c r="N57" s="629">
        <f t="shared" ref="N57" si="276">N55/N54</f>
        <v>0.21097477845944104</v>
      </c>
      <c r="O57" s="629">
        <f t="shared" ref="O57" si="277">O55/O54</f>
        <v>0.18685540454344735</v>
      </c>
      <c r="P57" s="629">
        <f t="shared" ref="P57" si="278">P55/P54</f>
        <v>0.21608752452054406</v>
      </c>
      <c r="Q57" s="629"/>
      <c r="R57" s="629">
        <f>R55/R54</f>
        <v>0.23156298671843525</v>
      </c>
      <c r="S57" s="629">
        <f t="shared" ref="S57" si="279">S55/S54</f>
        <v>0.22308528817772255</v>
      </c>
      <c r="T57" s="629">
        <f t="shared" ref="T57" si="280">T55/T54</f>
        <v>0.2031033136354837</v>
      </c>
      <c r="U57" s="629">
        <f t="shared" ref="U57" si="281">U55/U54</f>
        <v>0.17985907111619082</v>
      </c>
      <c r="V57" s="629">
        <f t="shared" ref="V57" si="282">V55/V54</f>
        <v>0.20947147109474804</v>
      </c>
      <c r="W57" s="627"/>
      <c r="X57" s="629">
        <f>X55/X54</f>
        <v>0.23005998735089073</v>
      </c>
      <c r="Y57" s="629">
        <f t="shared" ref="Y57" si="283">Y55/Y54</f>
        <v>0.22198598874068814</v>
      </c>
      <c r="Z57" s="629">
        <f t="shared" ref="Z57" si="284">Z55/Z54</f>
        <v>0.20295553679569875</v>
      </c>
      <c r="AA57" s="629">
        <f t="shared" ref="AA57" si="285">AA55/AA54</f>
        <v>0.18081816296780079</v>
      </c>
      <c r="AB57" s="629">
        <f t="shared" ref="AB57" si="286">AB55/AB54</f>
        <v>0.2090204486616648</v>
      </c>
      <c r="AD57" s="629">
        <f>AD55/AD54</f>
        <v>0.22862855938180068</v>
      </c>
      <c r="AE57" s="629">
        <f t="shared" ref="AE57" si="287">AE55/AE54</f>
        <v>0.22093903689589348</v>
      </c>
      <c r="AF57" s="629">
        <f t="shared" ref="AF57" si="288">AF55/AF54</f>
        <v>0.20281479694828453</v>
      </c>
      <c r="AG57" s="629">
        <f t="shared" ref="AG57" si="289">AG55/AG54</f>
        <v>0.1817315837788579</v>
      </c>
      <c r="AH57" s="629">
        <f t="shared" ref="AH57" si="290">AH55/AH54</f>
        <v>0.20859090348729983</v>
      </c>
      <c r="AJ57" s="629">
        <f>AJ55/AJ54</f>
        <v>0.22726529464933398</v>
      </c>
      <c r="AK57" s="629">
        <f t="shared" ref="AK57" si="291">AK55/AK54</f>
        <v>0.21994193990085092</v>
      </c>
      <c r="AL57" s="629">
        <f t="shared" ref="AL57" si="292">AL55/AL54</f>
        <v>0.20268075899836621</v>
      </c>
      <c r="AM57" s="629">
        <f t="shared" ref="AM57" si="293">AM55/AM54</f>
        <v>0.18260150836081704</v>
      </c>
      <c r="AN57" s="629">
        <f t="shared" ref="AN57" si="294">AN55/AN54</f>
        <v>0.20818181284504744</v>
      </c>
    </row>
    <row r="58" spans="1:45" x14ac:dyDescent="0.25">
      <c r="C58" s="624" t="s">
        <v>611</v>
      </c>
      <c r="F58" s="629"/>
      <c r="G58" s="629"/>
      <c r="H58" s="629"/>
      <c r="I58" s="629"/>
      <c r="J58" s="629"/>
      <c r="K58" s="629"/>
      <c r="L58" s="629">
        <f>(L55-F55)/(L54-F54)</f>
        <v>0.12927756653992395</v>
      </c>
      <c r="M58" s="629">
        <f t="shared" ref="M58" si="295">(M55-G55)/(M54-G54)</f>
        <v>6.2678062678062682E-2</v>
      </c>
      <c r="N58" s="629">
        <f t="shared" ref="N58" si="296">(N55-H55)/(N54-H54)</f>
        <v>0.34153846153846151</v>
      </c>
      <c r="O58" s="629">
        <f t="shared" ref="O58" si="297">(O55-I55)/(O54-I54)</f>
        <v>0.30000000000000049</v>
      </c>
      <c r="P58" s="629">
        <f t="shared" ref="P58" si="298">(P55-J55)/(P54-J54)</f>
        <v>0.18916268058172653</v>
      </c>
      <c r="Q58" s="629"/>
      <c r="R58" s="629">
        <f>(R55-L55)/(R54-L54)</f>
        <v>0</v>
      </c>
      <c r="S58" s="629">
        <f t="shared" ref="S58" si="299">(S55-M55)/(S54-M54)</f>
        <v>0</v>
      </c>
      <c r="T58" s="629">
        <f t="shared" ref="T58" si="300">(T55-N55)/(T54-N54)</f>
        <v>0</v>
      </c>
      <c r="U58" s="629">
        <f t="shared" ref="U58" si="301">(U55-O55)/(U54-O54)</f>
        <v>0</v>
      </c>
      <c r="V58" s="629">
        <f t="shared" ref="V58" si="302">(V55-P55)/(V54-P54)</f>
        <v>0</v>
      </c>
      <c r="W58" s="627"/>
      <c r="X58" s="629">
        <f>(X55-R55)/(X54-R54)</f>
        <v>0.20000000000000015</v>
      </c>
      <c r="Y58" s="629">
        <f t="shared" ref="Y58" si="303">(Y55-S55)/(Y54-S54)</f>
        <v>0.20000000000000015</v>
      </c>
      <c r="Z58" s="629">
        <f t="shared" ref="Z58" si="304">(Z55-T55)/(Z54-T54)</f>
        <v>0.19999999999999984</v>
      </c>
      <c r="AA58" s="629">
        <f t="shared" ref="AA58" si="305">(AA55-U55)/(AA54-U54)</f>
        <v>0.19999999999999984</v>
      </c>
      <c r="AB58" s="629">
        <f t="shared" ref="AB58" si="306">(AB55-V55)/(AB54-V54)</f>
        <v>0.19999999999999984</v>
      </c>
      <c r="AD58" s="629">
        <f>(AD55-X55)/(AD54-X54)</f>
        <v>0.19999999999999987</v>
      </c>
      <c r="AE58" s="629">
        <f t="shared" ref="AE58" si="307">(AE55-Y55)/(AE54-Y54)</f>
        <v>0.20000000000000026</v>
      </c>
      <c r="AF58" s="629">
        <f t="shared" ref="AF58" si="308">(AF55-Z55)/(AF54-Z54)</f>
        <v>0.20000000000000015</v>
      </c>
      <c r="AG58" s="629">
        <f t="shared" ref="AG58" si="309">(AG55-AA55)/(AG54-AA54)</f>
        <v>0.2</v>
      </c>
      <c r="AH58" s="629">
        <f t="shared" ref="AH58" si="310">(AH55-AB55)/(AH54-AB54)</f>
        <v>0.20000000000000054</v>
      </c>
      <c r="AJ58" s="629">
        <f>(AJ55-AD55)/(AJ54-AD54)</f>
        <v>0.19999999999999973</v>
      </c>
      <c r="AK58" s="629">
        <f t="shared" ref="AK58" si="311">(AK55-AE55)/(AK54-AE54)</f>
        <v>0.2</v>
      </c>
      <c r="AL58" s="629">
        <f t="shared" ref="AL58" si="312">(AL55-AF55)/(AL54-AF54)</f>
        <v>0.19999999999999987</v>
      </c>
      <c r="AM58" s="629">
        <f t="shared" ref="AM58" si="313">(AM55-AG55)/(AM54-AG54)</f>
        <v>0.2</v>
      </c>
      <c r="AN58" s="629">
        <f t="shared" ref="AN58" si="314">(AN55-AH55)/(AN54-AH54)</f>
        <v>0.19999999999999987</v>
      </c>
    </row>
    <row r="59" spans="1:45" x14ac:dyDescent="0.25">
      <c r="C59" s="624"/>
      <c r="F59" s="627"/>
      <c r="G59" s="627"/>
      <c r="H59" s="627"/>
      <c r="I59" s="627"/>
      <c r="J59" s="627"/>
      <c r="K59" s="627"/>
      <c r="L59" s="627"/>
      <c r="M59" s="627"/>
      <c r="N59" s="627"/>
      <c r="O59" s="627"/>
      <c r="P59" s="627"/>
      <c r="Q59" s="627"/>
      <c r="R59" s="627"/>
      <c r="S59" s="627"/>
      <c r="T59" s="627"/>
      <c r="U59" s="627"/>
      <c r="V59" s="627"/>
      <c r="W59" s="627"/>
      <c r="X59" s="627"/>
      <c r="Y59" s="627"/>
      <c r="Z59" s="627"/>
      <c r="AA59" s="627"/>
      <c r="AB59" s="627"/>
      <c r="AD59" s="627"/>
      <c r="AE59" s="627"/>
      <c r="AF59" s="627"/>
      <c r="AG59" s="627"/>
      <c r="AH59" s="627"/>
      <c r="AJ59" s="627"/>
      <c r="AK59" s="627"/>
      <c r="AL59" s="627"/>
      <c r="AM59" s="627"/>
      <c r="AN59" s="627"/>
    </row>
    <row r="60" spans="1:45" x14ac:dyDescent="0.25">
      <c r="C60" s="632" t="s">
        <v>615</v>
      </c>
      <c r="L60" s="633">
        <f>L$39-L56</f>
        <v>1.001581664197071E-2</v>
      </c>
      <c r="M60" s="633">
        <f t="shared" ref="M60:P60" si="315">M$39-M56</f>
        <v>8.6889770483156159E-4</v>
      </c>
      <c r="N60" s="633">
        <f t="shared" si="315"/>
        <v>3.3347040983492393E-3</v>
      </c>
      <c r="O60" s="633">
        <f t="shared" si="315"/>
        <v>-4.6990880281462921E-2</v>
      </c>
      <c r="P60" s="633">
        <f t="shared" si="315"/>
        <v>-7.6243440748960944E-3</v>
      </c>
      <c r="Q60" s="634"/>
      <c r="R60" s="633">
        <f>R$39-R56</f>
        <v>-0.11307857000657939</v>
      </c>
      <c r="S60" s="633">
        <f t="shared" ref="S60:V60" si="316">S$39-S56</f>
        <v>-6.178927403495138E-2</v>
      </c>
      <c r="T60" s="633">
        <f t="shared" si="316"/>
        <v>-1.6021486350075831E-2</v>
      </c>
      <c r="U60" s="633">
        <f t="shared" si="316"/>
        <v>-1.1898205587227206E-2</v>
      </c>
      <c r="V60" s="633">
        <f t="shared" si="316"/>
        <v>-5.1893412278662066E-2</v>
      </c>
      <c r="W60" s="634"/>
      <c r="X60" s="633">
        <f>X$39-X56</f>
        <v>-1.1107189813853724E-2</v>
      </c>
      <c r="Y60" s="633">
        <f t="shared" ref="Y60:AB60" si="317">Y$39-Y56</f>
        <v>-1.1029932410685506E-2</v>
      </c>
      <c r="Z60" s="633">
        <f t="shared" si="317"/>
        <v>-1.1033311375466592E-2</v>
      </c>
      <c r="AA60" s="633">
        <f t="shared" si="317"/>
        <v>-1.1041713462388802E-2</v>
      </c>
      <c r="AB60" s="633">
        <f t="shared" si="317"/>
        <v>-1.105212091959995E-2</v>
      </c>
      <c r="AD60" s="633">
        <f>AD$39-AD56</f>
        <v>-1.1065740183200834E-2</v>
      </c>
      <c r="AE60" s="633">
        <f t="shared" ref="AE60:AH60" si="318">AE$39-AE56</f>
        <v>-1.0991301330822045E-2</v>
      </c>
      <c r="AF60" s="633">
        <f t="shared" si="318"/>
        <v>-1.0994556790684618E-2</v>
      </c>
      <c r="AG60" s="633">
        <f t="shared" si="318"/>
        <v>-1.100265186378202E-2</v>
      </c>
      <c r="AH60" s="633">
        <f t="shared" si="318"/>
        <v>-1.1012679212099474E-2</v>
      </c>
      <c r="AJ60" s="633">
        <f>AJ$39-AJ56</f>
        <v>-1.1025801366285171E-2</v>
      </c>
      <c r="AK60" s="633">
        <f t="shared" ref="AK60:AN60" si="319">AK$39-AK56</f>
        <v>-1.0954083764738387E-2</v>
      </c>
      <c r="AL60" s="633">
        <f t="shared" si="319"/>
        <v>-1.0957220000323176E-2</v>
      </c>
      <c r="AM60" s="633">
        <f t="shared" si="319"/>
        <v>-1.0965018693821049E-2</v>
      </c>
      <c r="AN60" s="633">
        <f t="shared" si="319"/>
        <v>-1.0974679085911987E-2</v>
      </c>
    </row>
    <row r="61" spans="1:45" x14ac:dyDescent="0.25">
      <c r="C61" s="632" t="s">
        <v>616</v>
      </c>
      <c r="L61" s="633">
        <f>L$40-L57</f>
        <v>-7.1629962506808142E-3</v>
      </c>
      <c r="M61" s="633">
        <f t="shared" ref="M61:P61" si="320">M$40-M57</f>
        <v>-6.025697333195329E-3</v>
      </c>
      <c r="N61" s="633">
        <f t="shared" si="320"/>
        <v>-6.549415183351226E-3</v>
      </c>
      <c r="O61" s="633">
        <f t="shared" si="320"/>
        <v>5.3514758684412578E-3</v>
      </c>
      <c r="P61" s="633">
        <f t="shared" si="320"/>
        <v>-3.3408080341250368E-3</v>
      </c>
      <c r="Q61" s="634"/>
      <c r="R61" s="633">
        <f>R$40-R57</f>
        <v>-1.0415661273829341E-2</v>
      </c>
      <c r="S61" s="633">
        <f t="shared" ref="S61:V61" si="321">S$40-S57</f>
        <v>-1.5532637168278185E-3</v>
      </c>
      <c r="T61" s="633">
        <f t="shared" si="321"/>
        <v>3.446588845755244E-3</v>
      </c>
      <c r="U61" s="633">
        <f t="shared" si="321"/>
        <v>1.5181786839016803E-2</v>
      </c>
      <c r="V61" s="633">
        <f t="shared" si="321"/>
        <v>1.4664930611361648E-3</v>
      </c>
      <c r="W61" s="634"/>
      <c r="X61" s="633">
        <f>X$40-X57</f>
        <v>-6.8965907303528418E-3</v>
      </c>
      <c r="Y61" s="633">
        <f t="shared" ref="Y61:AB61" si="322">Y$40-Y57</f>
        <v>1.551532014683471E-3</v>
      </c>
      <c r="Z61" s="633">
        <f t="shared" si="322"/>
        <v>6.1616026003864788E-3</v>
      </c>
      <c r="AA61" s="633">
        <f t="shared" si="322"/>
        <v>1.7220958928747282E-2</v>
      </c>
      <c r="AB61" s="633">
        <f t="shared" si="322"/>
        <v>4.319060822854548E-3</v>
      </c>
      <c r="AD61" s="633">
        <f>AD$40-AD57</f>
        <v>-3.5225761491395058E-3</v>
      </c>
      <c r="AE61" s="633">
        <f t="shared" ref="AE61:AH61" si="323">AE$40-AE57</f>
        <v>4.5305989112518763E-3</v>
      </c>
      <c r="AF61" s="633">
        <f t="shared" si="323"/>
        <v>8.7756597865584207E-3</v>
      </c>
      <c r="AG61" s="633">
        <f t="shared" si="323"/>
        <v>1.9196159692762643E-2</v>
      </c>
      <c r="AH61" s="633">
        <f t="shared" si="323"/>
        <v>7.0623756415336136E-3</v>
      </c>
      <c r="AJ61" s="633">
        <f>AJ$40-AJ57</f>
        <v>-2.8767752751429621E-4</v>
      </c>
      <c r="AK61" s="633">
        <f t="shared" ref="AK61:AN61" si="324">AK$40-AK57</f>
        <v>7.3889788593937966E-3</v>
      </c>
      <c r="AL61" s="633">
        <f t="shared" si="324"/>
        <v>1.1292356944774512E-2</v>
      </c>
      <c r="AM61" s="633">
        <f t="shared" si="324"/>
        <v>2.1109018367298865E-2</v>
      </c>
      <c r="AN61" s="633">
        <f t="shared" si="324"/>
        <v>9.7005022664303497E-3</v>
      </c>
    </row>
    <row r="62" spans="1:45" x14ac:dyDescent="0.25">
      <c r="C62" s="632" t="s">
        <v>617</v>
      </c>
      <c r="L62" s="633">
        <f>L$41-L58</f>
        <v>1.6021578759221361E-2</v>
      </c>
      <c r="M62" s="633">
        <f t="shared" ref="M62:P62" si="325">M$41-M58</f>
        <v>-1.0534128181187014E-3</v>
      </c>
      <c r="N62" s="633">
        <f t="shared" si="325"/>
        <v>2.1147892355323217E-3</v>
      </c>
      <c r="O62" s="633">
        <f t="shared" si="325"/>
        <v>-0.2000000000000004</v>
      </c>
      <c r="P62" s="633">
        <f t="shared" si="325"/>
        <v>-2.426440605172403E-2</v>
      </c>
      <c r="Q62" s="634"/>
      <c r="R62" s="633">
        <f>R$41-R58</f>
        <v>0.3</v>
      </c>
      <c r="S62" s="633">
        <f t="shared" ref="S62:V62" si="326">S$41-S58</f>
        <v>0.30000000000000043</v>
      </c>
      <c r="T62" s="633">
        <f t="shared" si="326"/>
        <v>0.3</v>
      </c>
      <c r="U62" s="633">
        <f t="shared" si="326"/>
        <v>0.29999999999999971</v>
      </c>
      <c r="V62" s="633">
        <f t="shared" si="326"/>
        <v>0.30000000000000215</v>
      </c>
      <c r="W62" s="634"/>
      <c r="X62" s="633">
        <f>X$41-X58</f>
        <v>7.4999999999999872E-2</v>
      </c>
      <c r="Y62" s="633">
        <f t="shared" ref="Y62:AB62" si="327">Y$41-Y58</f>
        <v>7.5000000000000205E-2</v>
      </c>
      <c r="Z62" s="633">
        <f t="shared" si="327"/>
        <v>7.5000000000000178E-2</v>
      </c>
      <c r="AA62" s="633">
        <f t="shared" si="327"/>
        <v>7.4999999999999845E-2</v>
      </c>
      <c r="AB62" s="633">
        <f t="shared" si="327"/>
        <v>7.5000000000001288E-2</v>
      </c>
      <c r="AD62" s="633">
        <f>AD$41-AD58</f>
        <v>7.4999999999999928E-2</v>
      </c>
      <c r="AE62" s="633">
        <f t="shared" ref="AE62:AH62" si="328">AE$41-AE58</f>
        <v>7.5000000000000094E-2</v>
      </c>
      <c r="AF62" s="633">
        <f t="shared" si="328"/>
        <v>7.5000000000000094E-2</v>
      </c>
      <c r="AG62" s="633">
        <f t="shared" si="328"/>
        <v>7.5000000000000344E-2</v>
      </c>
      <c r="AH62" s="633">
        <f t="shared" si="328"/>
        <v>7.4999999999997874E-2</v>
      </c>
      <c r="AJ62" s="633">
        <f>AJ$41-AJ58</f>
        <v>7.5000000000000011E-2</v>
      </c>
      <c r="AK62" s="633">
        <f t="shared" ref="AK62:AN62" si="329">AK$41-AK58</f>
        <v>7.5000000000000344E-2</v>
      </c>
      <c r="AL62" s="633">
        <f t="shared" si="329"/>
        <v>7.5000000000000538E-2</v>
      </c>
      <c r="AM62" s="633">
        <f t="shared" si="329"/>
        <v>7.5000000000000344E-2</v>
      </c>
      <c r="AN62" s="633">
        <f t="shared" si="329"/>
        <v>7.5000000000000372E-2</v>
      </c>
    </row>
    <row r="64" spans="1:45" x14ac:dyDescent="0.25">
      <c r="A64" s="631"/>
      <c r="B64" s="631" t="s">
        <v>618</v>
      </c>
      <c r="C64" s="631"/>
      <c r="D64" s="631"/>
      <c r="E64" s="631"/>
    </row>
    <row r="65" spans="1:52" x14ac:dyDescent="0.25">
      <c r="A65" s="625" t="s">
        <v>613</v>
      </c>
    </row>
    <row r="66" spans="1:52" x14ac:dyDescent="0.25">
      <c r="B66" t="s">
        <v>132</v>
      </c>
      <c r="F66" s="626">
        <f>'Business Build-up'!AN81</f>
        <v>6254</v>
      </c>
      <c r="G66" s="626">
        <f>'Business Build-up'!AO81</f>
        <v>7219</v>
      </c>
      <c r="H66" s="626">
        <f>'Business Build-up'!AP81</f>
        <v>6859</v>
      </c>
      <c r="I66" s="626">
        <f>'Business Build-up'!AQ81</f>
        <v>7669</v>
      </c>
      <c r="J66" s="626">
        <f>'Business Build-up'!AR81</f>
        <v>28001</v>
      </c>
      <c r="K66" s="626"/>
      <c r="L66" s="626">
        <f>'Business Build-up'!AT81</f>
        <v>6681</v>
      </c>
      <c r="M66" s="626">
        <f>'Business Build-up'!AU81</f>
        <v>7337</v>
      </c>
      <c r="N66" s="626">
        <f>'Business Build-up'!AV81</f>
        <v>7187</v>
      </c>
      <c r="O66" s="626">
        <f>'Business Build-up'!AW81</f>
        <v>7928.9207048967764</v>
      </c>
      <c r="P66" s="626">
        <f>'Business Build-up'!AX81</f>
        <v>29133.920704896773</v>
      </c>
      <c r="Q66" s="626"/>
      <c r="R66" s="626">
        <f>'Business Build-up'!AZ81</f>
        <v>7000.812370973008</v>
      </c>
      <c r="S66" s="626">
        <f>'Business Build-up'!BA81</f>
        <v>7733.7714115400122</v>
      </c>
      <c r="T66" s="626">
        <f>'Business Build-up'!BB81</f>
        <v>7492.3101664527458</v>
      </c>
      <c r="U66" s="626">
        <f>'Business Build-up'!BC81</f>
        <v>8281.855068933055</v>
      </c>
      <c r="V66" s="626">
        <f>'Business Build-up'!BD81</f>
        <v>30508.749017898823</v>
      </c>
      <c r="W66" s="626"/>
      <c r="X66" s="626">
        <f>'Business Build-up'!BF81</f>
        <v>7332.8135499773398</v>
      </c>
      <c r="Y66" s="626">
        <f>'Business Build-up'!BG81</f>
        <v>8101.0477035170561</v>
      </c>
      <c r="Z66" s="626">
        <f>'Business Build-up'!BH81</f>
        <v>7846.6569910481176</v>
      </c>
      <c r="AA66" s="626">
        <f>'Business Build-up'!BI81</f>
        <v>8670.3547307188164</v>
      </c>
      <c r="AB66" s="626">
        <f>'Business Build-up'!BJ81</f>
        <v>31950.872975261333</v>
      </c>
      <c r="AC66" s="626"/>
      <c r="AD66" s="626">
        <f>'Business Build-up'!BL81</f>
        <v>7671.5550834839369</v>
      </c>
      <c r="AE66" s="626">
        <f>'Business Build-up'!BM81</f>
        <v>8475.9969730393241</v>
      </c>
      <c r="AF66" s="626">
        <f>'Business Build-up'!BN81</f>
        <v>8208.2531740003178</v>
      </c>
      <c r="AG66" s="626">
        <f>'Business Build-up'!BO81</f>
        <v>9068.8084131357191</v>
      </c>
      <c r="AH66" s="626">
        <f>'Business Build-up'!BP81</f>
        <v>33424.613643659293</v>
      </c>
      <c r="AI66" s="626"/>
      <c r="AJ66" s="626">
        <f>'Business Build-up'!BR81</f>
        <v>8026.4535513656101</v>
      </c>
      <c r="AK66" s="626">
        <f>'Business Build-up'!BS81</f>
        <v>8868.8489826629302</v>
      </c>
      <c r="AL66" s="626">
        <f>'Business Build-up'!BT81</f>
        <v>8587.075987050619</v>
      </c>
      <c r="AM66" s="626">
        <f>'Business Build-up'!BU81</f>
        <v>9486.2703145173346</v>
      </c>
      <c r="AN66" s="626">
        <f>'Business Build-up'!BV81</f>
        <v>34968.648835596498</v>
      </c>
      <c r="AO66" s="626"/>
      <c r="AP66" s="626">
        <f>'Business Build-up'!BX81</f>
        <v>8398.292233940736</v>
      </c>
      <c r="AQ66" s="626">
        <f>'Business Build-up'!BY81</f>
        <v>9280.4722469713142</v>
      </c>
      <c r="AR66" s="626">
        <f>'Business Build-up'!BZ81</f>
        <v>8983.960119878062</v>
      </c>
      <c r="AS66" s="626">
        <f>'Business Build-up'!CA81</f>
        <v>9923.6639747296667</v>
      </c>
      <c r="AT66" s="626">
        <f>'Business Build-up'!CB81</f>
        <v>36586.388575519777</v>
      </c>
      <c r="AU66" s="626"/>
      <c r="AV66" s="626">
        <f>'Business Build-up'!CD81</f>
        <v>8787.8927533275291</v>
      </c>
      <c r="AW66" s="626">
        <f>'Business Build-up'!CE81</f>
        <v>9711.7778147268509</v>
      </c>
      <c r="AX66" s="626">
        <f>'Business Build-up'!CF81</f>
        <v>9399.7811094766748</v>
      </c>
      <c r="AY66" s="626">
        <f>'Business Build-up'!CG81</f>
        <v>10381.958255214662</v>
      </c>
      <c r="AZ66" s="626">
        <f>'Business Build-up'!CH81</f>
        <v>38281.409932745722</v>
      </c>
    </row>
    <row r="67" spans="1:52" x14ac:dyDescent="0.25">
      <c r="B67" t="s">
        <v>283</v>
      </c>
      <c r="F67" s="626">
        <f>'Business Build-up'!AN111</f>
        <v>1057</v>
      </c>
      <c r="G67" s="626">
        <f>'Business Build-up'!AO111</f>
        <v>1269</v>
      </c>
      <c r="H67" s="626">
        <f>'Business Build-up'!AP111</f>
        <v>1181</v>
      </c>
      <c r="I67" s="626">
        <f>'Business Build-up'!AQ111</f>
        <v>1429</v>
      </c>
      <c r="J67" s="626">
        <f>'Business Build-up'!AR111</f>
        <v>4936</v>
      </c>
      <c r="K67" s="626"/>
      <c r="L67" s="626">
        <f>'Business Build-up'!AT111</f>
        <v>1301</v>
      </c>
      <c r="M67" s="626">
        <f>'Business Build-up'!AU111</f>
        <v>1525</v>
      </c>
      <c r="N67" s="626">
        <f>'Business Build-up'!AV111</f>
        <v>1433</v>
      </c>
      <c r="O67" s="626">
        <f>'Business Build-up'!AW111</f>
        <v>1571.956387693227</v>
      </c>
      <c r="P67" s="626">
        <f>'Business Build-up'!AX111</f>
        <v>5830.956387693227</v>
      </c>
      <c r="Q67" s="626"/>
      <c r="R67" s="626">
        <f>'Business Build-up'!AZ111</f>
        <v>1444.9155669378536</v>
      </c>
      <c r="S67" s="626">
        <f>'Business Build-up'!BA111</f>
        <v>1703.5471351930055</v>
      </c>
      <c r="T67" s="626">
        <f>'Business Build-up'!BB111</f>
        <v>1570.3895749037356</v>
      </c>
      <c r="U67" s="626">
        <f>'Business Build-up'!BC111</f>
        <v>1730.7768515095524</v>
      </c>
      <c r="V67" s="626">
        <f>'Business Build-up'!BD111</f>
        <v>6449.6291285441466</v>
      </c>
      <c r="W67" s="626"/>
      <c r="X67" s="626">
        <f>'Business Build-up'!BF111</f>
        <v>1577.7160385395862</v>
      </c>
      <c r="Y67" s="626">
        <f>'Business Build-up'!BG111</f>
        <v>1850.4576519838231</v>
      </c>
      <c r="Z67" s="626">
        <f>'Business Build-up'!BH111</f>
        <v>1712.1283047418842</v>
      </c>
      <c r="AA67" s="626">
        <f>'Business Build-up'!BI111</f>
        <v>1886.1767162238571</v>
      </c>
      <c r="AB67" s="626">
        <f>'Business Build-up'!BJ111</f>
        <v>7026.4787114891515</v>
      </c>
      <c r="AC67" s="626"/>
      <c r="AD67" s="626">
        <f>'Business Build-up'!BL111</f>
        <v>1679.3384985915652</v>
      </c>
      <c r="AE67" s="626">
        <f>'Business Build-up'!BM111</f>
        <v>1962.9424328405034</v>
      </c>
      <c r="AF67" s="626">
        <f>'Business Build-up'!BN111</f>
        <v>1820.6071596275442</v>
      </c>
      <c r="AG67" s="626">
        <f>'Business Build-up'!BO111</f>
        <v>2005.7128209489279</v>
      </c>
      <c r="AH67" s="626">
        <f>'Business Build-up'!BP111</f>
        <v>7468.60091200854</v>
      </c>
      <c r="AI67" s="626"/>
      <c r="AJ67" s="626">
        <f>'Business Build-up'!BR111</f>
        <v>1785.8080389560671</v>
      </c>
      <c r="AK67" s="626">
        <f>'Business Build-up'!BS111</f>
        <v>2080.7980357275851</v>
      </c>
      <c r="AL67" s="626">
        <f>'Business Build-up'!BT111</f>
        <v>1934.2540035426346</v>
      </c>
      <c r="AM67" s="626">
        <f>'Business Build-up'!BU111</f>
        <v>2130.9513913634123</v>
      </c>
      <c r="AN67" s="626">
        <f>'Business Build-up'!BV111</f>
        <v>7931.8114695896984</v>
      </c>
      <c r="AO67" s="626"/>
      <c r="AP67" s="626">
        <f>'Business Build-up'!BX111</f>
        <v>1897.3596437286049</v>
      </c>
      <c r="AQ67" s="626">
        <f>'Business Build-up'!BY111</f>
        <v>2204.2850150201002</v>
      </c>
      <c r="AR67" s="626">
        <f>'Business Build-up'!BZ111</f>
        <v>2053.3192433908675</v>
      </c>
      <c r="AS67" s="626">
        <f>'Business Build-up'!CA111</f>
        <v>2262.1694894271118</v>
      </c>
      <c r="AT67" s="626">
        <f>'Business Build-up'!CB111</f>
        <v>8417.1333915666837</v>
      </c>
      <c r="AU67" s="626"/>
      <c r="AV67" s="626">
        <f>'Business Build-up'!CD111</f>
        <v>2014.2397995446429</v>
      </c>
      <c r="AW67" s="626">
        <f>'Business Build-up'!CE111</f>
        <v>2333.6766853467611</v>
      </c>
      <c r="AX67" s="626">
        <f>'Business Build-up'!CF111</f>
        <v>2178.0655402704515</v>
      </c>
      <c r="AY67" s="626">
        <f>'Business Build-up'!CG111</f>
        <v>2399.6577735726105</v>
      </c>
      <c r="AZ67" s="626">
        <f>'Business Build-up'!CH111</f>
        <v>8925.6397987344662</v>
      </c>
    </row>
    <row r="68" spans="1:52" x14ac:dyDescent="0.25">
      <c r="C68" s="624" t="s">
        <v>614</v>
      </c>
      <c r="F68" s="629"/>
      <c r="G68" s="629"/>
      <c r="H68" s="629"/>
      <c r="I68" s="629"/>
      <c r="J68" s="629"/>
      <c r="K68" s="629"/>
      <c r="L68" s="629">
        <f>L66/F66-1</f>
        <v>6.8276303165973884E-2</v>
      </c>
      <c r="M68" s="629">
        <f t="shared" ref="M68" si="330">M66/G66-1</f>
        <v>1.6345754259592837E-2</v>
      </c>
      <c r="N68" s="629">
        <f t="shared" ref="N68" si="331">N66/H66-1</f>
        <v>4.7820381979880366E-2</v>
      </c>
      <c r="O68" s="629">
        <f t="shared" ref="O68" si="332">O66/I66-1</f>
        <v>3.3892385564842309E-2</v>
      </c>
      <c r="P68" s="629">
        <f t="shared" ref="P68" si="333">P66/J66-1</f>
        <v>4.0460008746000975E-2</v>
      </c>
      <c r="Q68" s="629"/>
      <c r="R68" s="629">
        <f>R66/L66-1</f>
        <v>4.7868937430475711E-2</v>
      </c>
      <c r="S68" s="629">
        <f t="shared" ref="S68" si="334">S66/M66-1</f>
        <v>5.4078153406025953E-2</v>
      </c>
      <c r="T68" s="629">
        <f t="shared" ref="T68" si="335">T66/N66-1</f>
        <v>4.2480891394566012E-2</v>
      </c>
      <c r="U68" s="629">
        <f t="shared" ref="U68" si="336">U66/O66-1</f>
        <v>4.4512283218863802E-2</v>
      </c>
      <c r="V68" s="629">
        <f t="shared" ref="V68" si="337">V66/P66-1</f>
        <v>4.7189951772298677E-2</v>
      </c>
      <c r="W68" s="629"/>
      <c r="X68" s="629">
        <f>X66/R66-1</f>
        <v>4.7423236249108047E-2</v>
      </c>
      <c r="Y68" s="629">
        <f t="shared" ref="Y68" si="338">Y66/S66-1</f>
        <v>4.7489933750693769E-2</v>
      </c>
      <c r="Z68" s="629">
        <f t="shared" ref="Z68" si="339">Z66/T66-1</f>
        <v>4.7294735098124985E-2</v>
      </c>
      <c r="AA68" s="629">
        <f t="shared" ref="AA68" si="340">AA66/U66-1</f>
        <v>4.6909739249495486E-2</v>
      </c>
      <c r="AB68" s="629">
        <f t="shared" ref="AB68" si="341">AB66/V66-1</f>
        <v>4.7269193388311148E-2</v>
      </c>
      <c r="AC68" s="629"/>
      <c r="AD68" s="629">
        <f>AD66/X66-1</f>
        <v>4.6195301598476401E-2</v>
      </c>
      <c r="AE68" s="629">
        <f t="shared" ref="AE68" si="342">AE66/Y66-1</f>
        <v>4.6284046612820706E-2</v>
      </c>
      <c r="AF68" s="629">
        <f t="shared" ref="AF68" si="343">AF66/Z66-1</f>
        <v>4.6082832901288784E-2</v>
      </c>
      <c r="AG68" s="629">
        <f t="shared" ref="AG68" si="344">AG66/AA66-1</f>
        <v>4.5955868565007219E-2</v>
      </c>
      <c r="AH68" s="629">
        <f t="shared" ref="AH68" si="345">AH66/AB66-1</f>
        <v>4.6125208207582924E-2</v>
      </c>
      <c r="AI68" s="629"/>
      <c r="AJ68" s="629">
        <f>AJ66/AD66-1</f>
        <v>4.6261607199527655E-2</v>
      </c>
      <c r="AK68" s="629">
        <f t="shared" ref="AK68" si="346">AK66/AE66-1</f>
        <v>4.6348767097628807E-2</v>
      </c>
      <c r="AL68" s="629">
        <f t="shared" ref="AL68" si="347">AL66/AF66-1</f>
        <v>4.6151453301930934E-2</v>
      </c>
      <c r="AM68" s="629">
        <f t="shared" ref="AM68" si="348">AM66/AG66-1</f>
        <v>4.6032718121704175E-2</v>
      </c>
      <c r="AN68" s="629">
        <f t="shared" ref="AN68" si="349">AN66/AH66-1</f>
        <v>4.619455615547885E-2</v>
      </c>
      <c r="AO68" s="629"/>
      <c r="AP68" s="629">
        <f>AP66/AJ66-1</f>
        <v>4.6326647278966959E-2</v>
      </c>
      <c r="AQ68" s="629">
        <f t="shared" ref="AQ68" si="350">AQ66/AK66-1</f>
        <v>4.6412253169834772E-2</v>
      </c>
      <c r="AR68" s="629">
        <f t="shared" ref="AR68" si="351">AR66/AL66-1</f>
        <v>4.6218774985332223E-2</v>
      </c>
      <c r="AS68" s="629">
        <f t="shared" ref="AS68" si="352">AS66/AM66-1</f>
        <v>4.610807469221756E-2</v>
      </c>
      <c r="AT68" s="629">
        <f t="shared" ref="AT68" si="353">AT66/AN66-1</f>
        <v>4.626257501480846E-2</v>
      </c>
      <c r="AU68" s="629"/>
      <c r="AV68" s="629">
        <f>AV66/AP66-1</f>
        <v>4.6390445644683309E-2</v>
      </c>
      <c r="AW68" s="629">
        <f t="shared" ref="AW68" si="354">AW66/AQ66-1</f>
        <v>4.6474528049614383E-2</v>
      </c>
      <c r="AX68" s="629">
        <f t="shared" ref="AX68" si="355">AX66/AR66-1</f>
        <v>4.6284821398367537E-2</v>
      </c>
      <c r="AY68" s="629">
        <f t="shared" ref="AY68" si="356">AY66/AS66-1</f>
        <v>4.6181962796405518E-2</v>
      </c>
      <c r="AZ68" s="629">
        <f t="shared" ref="AZ68" si="357">AZ66/AT66-1</f>
        <v>4.6329288656822953E-2</v>
      </c>
    </row>
    <row r="69" spans="1:52" x14ac:dyDescent="0.25">
      <c r="C69" s="624" t="s">
        <v>612</v>
      </c>
      <c r="F69" s="629">
        <f>F67/F66</f>
        <v>0.16901183242724657</v>
      </c>
      <c r="G69" s="629">
        <f>G67/G66</f>
        <v>0.17578611996121346</v>
      </c>
      <c r="H69" s="629">
        <f>H67/H66</f>
        <v>0.17218253389706956</v>
      </c>
      <c r="I69" s="629">
        <f>I67/I66</f>
        <v>0.18633459381927239</v>
      </c>
      <c r="J69" s="629">
        <f>J67/J66</f>
        <v>0.17627941859219315</v>
      </c>
      <c r="K69" s="629"/>
      <c r="L69" s="629">
        <f>L67/L66</f>
        <v>0.19473132764556203</v>
      </c>
      <c r="M69" s="629">
        <f>M67/M66</f>
        <v>0.20785062014447322</v>
      </c>
      <c r="N69" s="629">
        <f>N67/N66</f>
        <v>0.19938778349798247</v>
      </c>
      <c r="O69" s="629">
        <f>O67/O66</f>
        <v>0.19825603587161764</v>
      </c>
      <c r="P69" s="629">
        <f>P67/P66</f>
        <v>0.20014320924245432</v>
      </c>
      <c r="Q69" s="629"/>
      <c r="R69" s="629">
        <f>R67/R66</f>
        <v>0.20639255708791862</v>
      </c>
      <c r="S69" s="629">
        <f>S67/S66</f>
        <v>0.22027378940254727</v>
      </c>
      <c r="T69" s="629">
        <f>T67/T66</f>
        <v>0.20960018205536207</v>
      </c>
      <c r="U69" s="629">
        <f>U67/U66</f>
        <v>0.20898419944609428</v>
      </c>
      <c r="V69" s="629">
        <f>V67/V66</f>
        <v>0.21140260863401147</v>
      </c>
      <c r="W69" s="629"/>
      <c r="X69" s="629">
        <f>X67/X66</f>
        <v>0.21515834649095389</v>
      </c>
      <c r="Y69" s="629">
        <f>Y67/Y66</f>
        <v>0.22842201647330754</v>
      </c>
      <c r="Z69" s="629">
        <f>Z67/Z66</f>
        <v>0.21819843873577893</v>
      </c>
      <c r="AA69" s="629">
        <f>AA67/AA66</f>
        <v>0.21754320034233288</v>
      </c>
      <c r="AB69" s="629">
        <f>AB67/AB66</f>
        <v>0.21991507765467183</v>
      </c>
      <c r="AC69" s="629"/>
      <c r="AD69" s="629">
        <f>AD67/AD66</f>
        <v>0.21890457414651263</v>
      </c>
      <c r="AE69" s="629">
        <f>AE67/AE66</f>
        <v>0.23158838294589801</v>
      </c>
      <c r="AF69" s="629">
        <f>AF67/AF66</f>
        <v>0.22180202304119059</v>
      </c>
      <c r="AG69" s="629">
        <f>AG67/AG66</f>
        <v>0.22116608153765299</v>
      </c>
      <c r="AH69" s="629">
        <f>AH67/AH66</f>
        <v>0.22344614036923494</v>
      </c>
      <c r="AI69" s="629"/>
      <c r="AJ69" s="629">
        <f>AJ67/AJ66</f>
        <v>0.22249029755516769</v>
      </c>
      <c r="AK69" s="629">
        <f>AK67/AK66</f>
        <v>0.23461872445851611</v>
      </c>
      <c r="AL69" s="629">
        <f>AL67/AL66</f>
        <v>0.22525176281885773</v>
      </c>
      <c r="AM69" s="629">
        <f>AM67/AM66</f>
        <v>0.22463532249363655</v>
      </c>
      <c r="AN69" s="629">
        <f>AN67/AN66</f>
        <v>0.22682636400624878</v>
      </c>
      <c r="AO69" s="629"/>
      <c r="AP69" s="629">
        <f>AP67/AP66</f>
        <v>0.22592207926042907</v>
      </c>
      <c r="AQ69" s="629">
        <f>AQ67/AQ66</f>
        <v>0.23751862581556338</v>
      </c>
      <c r="AR69" s="629">
        <f>AR67/AR66</f>
        <v>0.22855391341816608</v>
      </c>
      <c r="AS69" s="629">
        <f>AS67/AS66</f>
        <v>0.22795708270530554</v>
      </c>
      <c r="AT69" s="629">
        <f>AT67/AT66</f>
        <v>0.23006188146152939</v>
      </c>
      <c r="AU69" s="629"/>
      <c r="AV69" s="629">
        <f>AV67/AV66</f>
        <v>0.22920623363114581</v>
      </c>
      <c r="AW69" s="629">
        <f>AW67/AW66</f>
        <v>0.24029345912423936</v>
      </c>
      <c r="AX69" s="629">
        <f>AX67/AX66</f>
        <v>0.23171449578486125</v>
      </c>
      <c r="AY69" s="629">
        <f>AY67/AY66</f>
        <v>0.23113729747153505</v>
      </c>
      <c r="AZ69" s="629">
        <f>AZ67/AZ66</f>
        <v>0.23315859615451415</v>
      </c>
    </row>
    <row r="70" spans="1:52" x14ac:dyDescent="0.25">
      <c r="C70" s="624" t="s">
        <v>611</v>
      </c>
      <c r="F70" s="629">
        <f>F69/F67</f>
        <v>1.5989766549408379E-4</v>
      </c>
      <c r="G70" s="629">
        <f>G69/G67</f>
        <v>1.3852334118298932E-4</v>
      </c>
      <c r="H70" s="629">
        <f>H69/H67</f>
        <v>1.4579384749963554E-4</v>
      </c>
      <c r="I70" s="629">
        <f>I69/I67</f>
        <v>1.3039509714434736E-4</v>
      </c>
      <c r="J70" s="629">
        <f>J69/J67</f>
        <v>3.5713010249633941E-5</v>
      </c>
      <c r="K70" s="629"/>
      <c r="L70" s="629">
        <f>(L67-F67)/(L66-F66)</f>
        <v>0.5714285714285714</v>
      </c>
      <c r="M70" s="629">
        <f t="shared" ref="M70" si="358">(M67-G67)/(M66-G66)</f>
        <v>2.1694915254237288</v>
      </c>
      <c r="N70" s="629">
        <f t="shared" ref="N70" si="359">(N67-H67)/(N66-H66)</f>
        <v>0.76829268292682928</v>
      </c>
      <c r="O70" s="629">
        <f t="shared" ref="O70" si="360">(O67-I67)/(O66-I66)</f>
        <v>0.55000000000000004</v>
      </c>
      <c r="P70" s="629">
        <f t="shared" ref="P70" si="361">(P67-J67)/(P66-J66)</f>
        <v>0.78995501081849495</v>
      </c>
      <c r="Q70" s="629"/>
      <c r="R70" s="629">
        <f>(R67-L67)/(R66-L66)</f>
        <v>0.44999999999999984</v>
      </c>
      <c r="S70" s="629">
        <f t="shared" ref="S70" si="362">(S67-M67)/(S66-M66)</f>
        <v>0.45</v>
      </c>
      <c r="T70" s="629">
        <f t="shared" ref="T70" si="363">(T67-N67)/(T66-N66)</f>
        <v>0.45</v>
      </c>
      <c r="U70" s="629">
        <f t="shared" ref="U70" si="364">(U67-O67)/(U66-O66)</f>
        <v>0.45000000000000012</v>
      </c>
      <c r="V70" s="629">
        <f t="shared" ref="V70" si="365">(V67-P67)/(V66-P66)</f>
        <v>0.4499999999999979</v>
      </c>
      <c r="W70" s="629"/>
      <c r="X70" s="629">
        <f>(X67-R67)/(X66-R66)</f>
        <v>0.39999999999999974</v>
      </c>
      <c r="Y70" s="629">
        <f t="shared" ref="Y70" si="366">(Y67-S67)/(Y66-S66)</f>
        <v>0.40000000000000013</v>
      </c>
      <c r="Z70" s="629">
        <f t="shared" ref="Z70" si="367">(Z67-T67)/(Z66-T66)</f>
        <v>0.39999999999999974</v>
      </c>
      <c r="AA70" s="629">
        <f t="shared" ref="AA70" si="368">(AA67-U67)/(AA66-U66)</f>
        <v>0.40000000000000013</v>
      </c>
      <c r="AB70" s="629">
        <f t="shared" ref="AB70" si="369">(AB67-V67)/(AB66-V66)</f>
        <v>0.40000000000000063</v>
      </c>
      <c r="AC70" s="629"/>
      <c r="AD70" s="629">
        <f>(AD67-X67)/(AD66-X66)</f>
        <v>0.29999999999999971</v>
      </c>
      <c r="AE70" s="629">
        <f t="shared" ref="AE70" si="370">(AE67-Y67)/(AE66-Y66)</f>
        <v>0.29999999999999988</v>
      </c>
      <c r="AF70" s="629">
        <f t="shared" ref="AF70" si="371">(AF67-Z67)/(AF66-Z66)</f>
        <v>0.29999999999999977</v>
      </c>
      <c r="AG70" s="629">
        <f t="shared" ref="AG70" si="372">(AG67-AA67)/(AG66-AA66)</f>
        <v>0.3</v>
      </c>
      <c r="AH70" s="629">
        <f t="shared" ref="AH70" si="373">(AH67-AB67)/(AH66-AB66)</f>
        <v>0.30000000000000027</v>
      </c>
      <c r="AI70" s="629"/>
      <c r="AJ70" s="629">
        <f>(AJ67-AD67)/(AJ66-AD66)</f>
        <v>0.29999999999999977</v>
      </c>
      <c r="AK70" s="629">
        <f t="shared" ref="AK70" si="374">(AK67-AE67)/(AK66-AE66)</f>
        <v>0.29999999999999954</v>
      </c>
      <c r="AL70" s="629">
        <f t="shared" ref="AL70" si="375">(AL67-AF67)/(AL66-AF66)</f>
        <v>0.3</v>
      </c>
      <c r="AM70" s="629">
        <f t="shared" ref="AM70" si="376">(AM67-AG67)/(AM66-AG66)</f>
        <v>0.29999999999999954</v>
      </c>
      <c r="AN70" s="629">
        <f t="shared" ref="AN70" si="377">(AN67-AH67)/(AN66-AH66)</f>
        <v>0.2999999999999981</v>
      </c>
      <c r="AO70" s="629"/>
      <c r="AP70" s="629">
        <f>(AP67-AJ67)/(AP66-AJ66)</f>
        <v>0.3</v>
      </c>
      <c r="AQ70" s="629">
        <f t="shared" ref="AQ70" si="378">(AQ67-AK67)/(AQ66-AK66)</f>
        <v>0.29999999999999977</v>
      </c>
      <c r="AR70" s="629">
        <f t="shared" ref="AR70" si="379">(AR67-AL67)/(AR66-AL66)</f>
        <v>0.30000000000000021</v>
      </c>
      <c r="AS70" s="629">
        <f t="shared" ref="AS70" si="380">(AS67-AM67)/(AS66-AM66)</f>
        <v>0.2999999999999996</v>
      </c>
      <c r="AT70" s="629">
        <f t="shared" ref="AT70" si="381">(AT67-AN67)/(AT66-AN66)</f>
        <v>0.30000000000000088</v>
      </c>
      <c r="AU70" s="629"/>
      <c r="AV70" s="629">
        <f>(AV67-AP67)/(AV66-AP66)</f>
        <v>0.30000000000000021</v>
      </c>
      <c r="AW70" s="629">
        <f t="shared" ref="AW70" si="382">(AW67-AQ67)/(AW66-AQ66)</f>
        <v>0.29999999999999977</v>
      </c>
      <c r="AX70" s="629">
        <f t="shared" ref="AX70" si="383">(AX67-AR67)/(AX66-AR66)</f>
        <v>0.30000000000000021</v>
      </c>
      <c r="AY70" s="629">
        <f t="shared" ref="AY70" si="384">(AY67-AS67)/(AY66-AS66)</f>
        <v>0.30000000000000021</v>
      </c>
      <c r="AZ70" s="629">
        <f t="shared" ref="AZ70" si="385">(AZ67-AT67)/(AZ66-AT66)</f>
        <v>0.29999999999999938</v>
      </c>
    </row>
    <row r="71" spans="1:52" x14ac:dyDescent="0.25">
      <c r="A71" s="625" t="s">
        <v>610</v>
      </c>
    </row>
    <row r="72" spans="1:52" x14ac:dyDescent="0.25">
      <c r="B72" t="s">
        <v>132</v>
      </c>
      <c r="F72" s="626">
        <v>6254</v>
      </c>
      <c r="G72" s="626">
        <v>7219</v>
      </c>
      <c r="H72" s="626">
        <v>6859</v>
      </c>
      <c r="I72" s="626">
        <v>7669</v>
      </c>
      <c r="J72" s="626">
        <v>28001</v>
      </c>
      <c r="K72" s="626"/>
      <c r="L72" s="626">
        <v>6681</v>
      </c>
      <c r="M72" s="626">
        <v>7337</v>
      </c>
      <c r="N72" s="626">
        <v>7187</v>
      </c>
      <c r="O72" s="626">
        <v>7966.3606694821174</v>
      </c>
      <c r="P72" s="626">
        <v>29171.360669482117</v>
      </c>
      <c r="Q72" s="626"/>
      <c r="R72" s="626">
        <v>6928.5828674351587</v>
      </c>
      <c r="S72" s="626">
        <v>7574.9679330814888</v>
      </c>
      <c r="T72" s="626">
        <v>7584.2169982693813</v>
      </c>
      <c r="U72" s="626">
        <v>8296.9374429882846</v>
      </c>
      <c r="V72" s="626">
        <v>30384.705241774314</v>
      </c>
      <c r="X72" s="626">
        <v>7320.8555902142798</v>
      </c>
      <c r="Y72" s="626">
        <v>8007.4722659209783</v>
      </c>
      <c r="Z72" s="626">
        <v>7982.3334041268836</v>
      </c>
      <c r="AA72" s="626">
        <v>8742.2972390543637</v>
      </c>
      <c r="AB72" s="626">
        <v>32052.958499316504</v>
      </c>
      <c r="AC72" s="626"/>
      <c r="AD72" s="626"/>
      <c r="AE72" s="626"/>
      <c r="AF72" s="626"/>
      <c r="AG72" s="626"/>
      <c r="AH72" s="626"/>
      <c r="AI72" s="626"/>
      <c r="AJ72" s="626"/>
      <c r="AK72" s="626"/>
      <c r="AL72" s="626"/>
      <c r="AM72" s="626"/>
      <c r="AN72" s="626"/>
      <c r="AO72" s="626"/>
      <c r="AP72" s="626"/>
      <c r="AQ72" s="626"/>
      <c r="AR72" s="626"/>
      <c r="AS72" s="626"/>
      <c r="AT72" s="626"/>
      <c r="AU72" s="626"/>
      <c r="AV72" s="626"/>
      <c r="AW72" s="626"/>
      <c r="AX72" s="626"/>
      <c r="AY72" s="626"/>
      <c r="AZ72" s="626"/>
    </row>
    <row r="73" spans="1:52" x14ac:dyDescent="0.25">
      <c r="B73" t="s">
        <v>283</v>
      </c>
      <c r="F73" s="626">
        <v>1057</v>
      </c>
      <c r="G73" s="626">
        <v>1269</v>
      </c>
      <c r="H73" s="626">
        <v>1181</v>
      </c>
      <c r="I73" s="626">
        <v>1429</v>
      </c>
      <c r="J73" s="626">
        <v>4936</v>
      </c>
      <c r="K73" s="626"/>
      <c r="L73" s="626">
        <v>1301</v>
      </c>
      <c r="M73" s="626">
        <v>1525</v>
      </c>
      <c r="N73" s="626">
        <v>1433</v>
      </c>
      <c r="O73" s="626">
        <v>1533.5244288753076</v>
      </c>
      <c r="P73" s="626">
        <v>5792.5244288753074</v>
      </c>
      <c r="Q73" s="628"/>
      <c r="R73" s="626">
        <v>1369.997889080249</v>
      </c>
      <c r="S73" s="626">
        <v>1597.1866862647305</v>
      </c>
      <c r="T73" s="626">
        <v>1534.9528678474621</v>
      </c>
      <c r="U73" s="626">
        <v>1622.0512701042096</v>
      </c>
      <c r="V73" s="626">
        <v>6124.1887132966513</v>
      </c>
      <c r="X73" s="626">
        <v>1484.1667733055756</v>
      </c>
      <c r="Y73" s="626">
        <v>1728.4178543887135</v>
      </c>
      <c r="Z73" s="626">
        <v>1655.4384318237796</v>
      </c>
      <c r="AA73" s="626">
        <v>1752.8305964304</v>
      </c>
      <c r="AB73" s="626">
        <v>6620.8536559484692</v>
      </c>
      <c r="AC73" s="626"/>
      <c r="AD73" s="626"/>
      <c r="AE73" s="626"/>
      <c r="AF73" s="626"/>
      <c r="AG73" s="626"/>
      <c r="AH73" s="626"/>
      <c r="AI73" s="626"/>
      <c r="AJ73" s="626"/>
      <c r="AK73" s="626"/>
      <c r="AL73" s="626"/>
      <c r="AM73" s="626"/>
      <c r="AN73" s="626"/>
      <c r="AO73" s="626"/>
      <c r="AP73" s="626"/>
      <c r="AQ73" s="626"/>
      <c r="AR73" s="626"/>
      <c r="AS73" s="626"/>
      <c r="AT73" s="626"/>
      <c r="AU73" s="626"/>
      <c r="AV73" s="626"/>
      <c r="AW73" s="626"/>
      <c r="AX73" s="626"/>
      <c r="AY73" s="626"/>
      <c r="AZ73" s="626"/>
    </row>
    <row r="74" spans="1:52" x14ac:dyDescent="0.25">
      <c r="C74" s="624" t="s">
        <v>614</v>
      </c>
      <c r="F74" s="629"/>
      <c r="G74" s="629"/>
      <c r="H74" s="629"/>
      <c r="I74" s="629"/>
      <c r="J74" s="629"/>
      <c r="K74" s="629"/>
      <c r="L74" s="629">
        <f>L72/F72-1</f>
        <v>6.8276303165973884E-2</v>
      </c>
      <c r="M74" s="629">
        <f t="shared" ref="M74" si="386">M72/G72-1</f>
        <v>1.6345754259592837E-2</v>
      </c>
      <c r="N74" s="629">
        <f t="shared" ref="N74" si="387">N72/H72-1</f>
        <v>4.7820381979880366E-2</v>
      </c>
      <c r="O74" s="629">
        <f t="shared" ref="O74" si="388">O72/I72-1</f>
        <v>3.8774373384028893E-2</v>
      </c>
      <c r="P74" s="629">
        <f t="shared" ref="P74" si="389">P72/J72-1</f>
        <v>4.1797102584983259E-2</v>
      </c>
      <c r="Q74" s="629"/>
      <c r="R74" s="629">
        <f>R72/L72-1</f>
        <v>3.7057755940002712E-2</v>
      </c>
      <c r="S74" s="629">
        <f t="shared" ref="S74" si="390">S72/M72-1</f>
        <v>3.2433955715072793E-2</v>
      </c>
      <c r="T74" s="629">
        <f t="shared" ref="T74" si="391">T72/N72-1</f>
        <v>5.5268818459632829E-2</v>
      </c>
      <c r="U74" s="629">
        <f t="shared" ref="U74" si="392">U72/O72-1</f>
        <v>4.1496586361267296E-2</v>
      </c>
      <c r="V74" s="629">
        <f t="shared" ref="V74" si="393">V72/P72-1</f>
        <v>4.1593691361868856E-2</v>
      </c>
      <c r="W74" s="629"/>
      <c r="X74" s="629">
        <f>X72/R72-1</f>
        <v>5.6616588165933734E-2</v>
      </c>
      <c r="Y74" s="629">
        <f t="shared" ref="Y74" si="394">Y72/S72-1</f>
        <v>5.709652326720116E-2</v>
      </c>
      <c r="Z74" s="629">
        <f t="shared" ref="Z74" si="395">Z72/T72-1</f>
        <v>5.2492749870994837E-2</v>
      </c>
      <c r="AA74" s="629">
        <f t="shared" ref="AA74" si="396">AA72/U72-1</f>
        <v>5.3677612869366786E-2</v>
      </c>
      <c r="AB74" s="629">
        <f t="shared" ref="AB74" si="397">AB72/V72-1</f>
        <v>5.4904375219957613E-2</v>
      </c>
      <c r="AC74" s="629"/>
      <c r="AD74" s="629"/>
      <c r="AE74" s="629"/>
      <c r="AF74" s="629"/>
      <c r="AG74" s="629"/>
      <c r="AH74" s="629"/>
      <c r="AI74" s="629"/>
      <c r="AJ74" s="629"/>
      <c r="AK74" s="629"/>
      <c r="AL74" s="629"/>
      <c r="AM74" s="629"/>
      <c r="AN74" s="629"/>
      <c r="AO74" s="629"/>
      <c r="AP74" s="629"/>
      <c r="AQ74" s="629"/>
      <c r="AR74" s="629"/>
      <c r="AS74" s="629"/>
      <c r="AT74" s="629"/>
      <c r="AU74" s="629"/>
      <c r="AV74" s="629"/>
      <c r="AW74" s="629"/>
      <c r="AX74" s="629"/>
      <c r="AY74" s="629"/>
      <c r="AZ74" s="629"/>
    </row>
    <row r="75" spans="1:52" x14ac:dyDescent="0.25">
      <c r="C75" s="624" t="s">
        <v>612</v>
      </c>
      <c r="F75" s="629">
        <f>F73/F72</f>
        <v>0.16901183242724657</v>
      </c>
      <c r="G75" s="629">
        <f>G73/G72</f>
        <v>0.17578611996121346</v>
      </c>
      <c r="H75" s="629">
        <f>H73/H72</f>
        <v>0.17218253389706956</v>
      </c>
      <c r="I75" s="629">
        <f>I73/I72</f>
        <v>0.18633459381927239</v>
      </c>
      <c r="J75" s="629">
        <f>J73/J72</f>
        <v>0.17627941859219315</v>
      </c>
      <c r="K75" s="629"/>
      <c r="L75" s="629">
        <f>L73/L72</f>
        <v>0.19473132764556203</v>
      </c>
      <c r="M75" s="629">
        <f t="shared" ref="M75" si="398">M73/M72</f>
        <v>0.20785062014447322</v>
      </c>
      <c r="N75" s="629">
        <f t="shared" ref="N75" si="399">N73/N72</f>
        <v>0.19938778349798247</v>
      </c>
      <c r="O75" s="629">
        <f t="shared" ref="O75" si="400">O73/O72</f>
        <v>0.1925</v>
      </c>
      <c r="P75" s="629">
        <f t="shared" ref="P75" si="401">P73/P72</f>
        <v>0.19856888043399393</v>
      </c>
      <c r="Q75" s="629"/>
      <c r="R75" s="629">
        <f>R73/R72</f>
        <v>0.19773132764556203</v>
      </c>
      <c r="S75" s="629">
        <f t="shared" ref="S75" si="402">S73/S72</f>
        <v>0.21085062014447323</v>
      </c>
      <c r="T75" s="629">
        <f t="shared" ref="T75" si="403">T73/T72</f>
        <v>0.20238778349798248</v>
      </c>
      <c r="U75" s="629">
        <f t="shared" ref="U75" si="404">U73/U72</f>
        <v>0.19550000000000001</v>
      </c>
      <c r="V75" s="629">
        <f t="shared" ref="V75" si="405">V73/V72</f>
        <v>0.2015549818425367</v>
      </c>
      <c r="W75" s="627"/>
      <c r="X75" s="629">
        <f>X73/X72</f>
        <v>0.20273132764556204</v>
      </c>
      <c r="Y75" s="629">
        <f t="shared" ref="Y75" si="406">Y73/Y72</f>
        <v>0.21585062014447323</v>
      </c>
      <c r="Z75" s="629">
        <f t="shared" ref="Z75" si="407">Z73/Z72</f>
        <v>0.20738778349798248</v>
      </c>
      <c r="AA75" s="629">
        <f t="shared" ref="AA75" si="408">AA73/AA72</f>
        <v>0.20050000000000001</v>
      </c>
      <c r="AB75" s="629">
        <f t="shared" ref="AB75" si="409">AB73/AB72</f>
        <v>0.20655982991678137</v>
      </c>
      <c r="AC75" s="627"/>
      <c r="AD75" s="627"/>
      <c r="AE75" s="627"/>
      <c r="AF75" s="627"/>
      <c r="AG75" s="627"/>
      <c r="AH75" s="627"/>
      <c r="AI75" s="627"/>
      <c r="AJ75" s="627"/>
      <c r="AK75" s="627"/>
      <c r="AL75" s="627"/>
      <c r="AM75" s="627"/>
      <c r="AN75" s="627"/>
      <c r="AO75" s="627"/>
      <c r="AP75" s="627"/>
      <c r="AQ75" s="627"/>
      <c r="AR75" s="627"/>
      <c r="AS75" s="627"/>
      <c r="AT75" s="627"/>
      <c r="AU75" s="627"/>
      <c r="AV75" s="627"/>
      <c r="AW75" s="627"/>
      <c r="AX75" s="627"/>
      <c r="AY75" s="627"/>
      <c r="AZ75" s="627"/>
    </row>
    <row r="76" spans="1:52" x14ac:dyDescent="0.25">
      <c r="C76" s="624" t="s">
        <v>611</v>
      </c>
      <c r="F76" s="629"/>
      <c r="G76" s="629"/>
      <c r="H76" s="629"/>
      <c r="I76" s="629"/>
      <c r="J76" s="629"/>
      <c r="K76" s="629"/>
      <c r="L76" s="629">
        <f>(L73-F73)/(L72-F72)</f>
        <v>0.5714285714285714</v>
      </c>
      <c r="M76" s="629">
        <f t="shared" ref="M76" si="410">(M73-G73)/(M72-G72)</f>
        <v>2.1694915254237288</v>
      </c>
      <c r="N76" s="629">
        <f t="shared" ref="N76" si="411">(N73-H73)/(N72-H72)</f>
        <v>0.76829268292682928</v>
      </c>
      <c r="O76" s="629">
        <f t="shared" ref="O76" si="412">(O73-I73)/(O72-I72)</f>
        <v>0.35150724222321378</v>
      </c>
      <c r="P76" s="629">
        <f t="shared" ref="P76" si="413">(P73-J73)/(P72-J72)</f>
        <v>0.73184655910755958</v>
      </c>
      <c r="Q76" s="629"/>
      <c r="R76" s="629">
        <f>(R73-L73)/(R72-L72)</f>
        <v>0.27868604073874126</v>
      </c>
      <c r="S76" s="629">
        <f t="shared" ref="S76" si="414">(S73-M73)/(S72-M72)</f>
        <v>0.30334627581948687</v>
      </c>
      <c r="T76" s="629">
        <f t="shared" ref="T76" si="415">(T73-N73)/(T72-N72)</f>
        <v>0.25666793790712999</v>
      </c>
      <c r="U76" s="629">
        <f t="shared" ref="U76" si="416">(U73-O73)/(U72-O72)</f>
        <v>0.26779510335819284</v>
      </c>
      <c r="V76" s="629">
        <f t="shared" ref="V76" si="417">(V73-P73)/(V72-P72)</f>
        <v>0.27334715298126594</v>
      </c>
      <c r="W76" s="627"/>
      <c r="X76" s="629">
        <f>(X73-R73)/(X72-R72)</f>
        <v>0.29104466763959064</v>
      </c>
      <c r="Y76" s="629">
        <f t="shared" ref="Y76" si="418">(Y73-S73)/(Y72-S72)</f>
        <v>0.30342162646653847</v>
      </c>
      <c r="Z76" s="629">
        <f t="shared" ref="Z76" si="419">(Z73-T73)/(Z72-T72)</f>
        <v>0.30263903271407228</v>
      </c>
      <c r="AA76" s="629">
        <f t="shared" ref="AA76" si="420">(AA73-U73)/(AA72-U72)</f>
        <v>0.29364870264756976</v>
      </c>
      <c r="AB76" s="629">
        <f t="shared" ref="AB76" si="421">(AB73-V73)/(AB72-V72)</f>
        <v>0.29771555392227805</v>
      </c>
      <c r="AC76" s="627"/>
      <c r="AD76" s="627"/>
      <c r="AE76" s="627"/>
      <c r="AF76" s="627"/>
      <c r="AG76" s="627"/>
      <c r="AH76" s="627"/>
      <c r="AI76" s="627"/>
      <c r="AJ76" s="627"/>
      <c r="AK76" s="627"/>
      <c r="AL76" s="627"/>
      <c r="AM76" s="627"/>
      <c r="AN76" s="627"/>
      <c r="AO76" s="627"/>
      <c r="AP76" s="627"/>
      <c r="AQ76" s="627"/>
      <c r="AR76" s="627"/>
      <c r="AS76" s="627"/>
      <c r="AT76" s="627"/>
      <c r="AU76" s="627"/>
      <c r="AV76" s="627"/>
      <c r="AW76" s="627"/>
      <c r="AX76" s="627"/>
      <c r="AY76" s="627"/>
      <c r="AZ76" s="627"/>
    </row>
    <row r="77" spans="1:52" x14ac:dyDescent="0.25">
      <c r="C77" s="624"/>
      <c r="F77" s="627"/>
      <c r="G77" s="627"/>
      <c r="H77" s="627"/>
      <c r="I77" s="627"/>
      <c r="J77" s="627"/>
      <c r="K77" s="627"/>
      <c r="L77" s="627"/>
      <c r="M77" s="627"/>
      <c r="N77" s="627"/>
      <c r="O77" s="627"/>
      <c r="P77" s="627"/>
      <c r="Q77" s="627"/>
      <c r="R77" s="627"/>
      <c r="S77" s="627"/>
      <c r="T77" s="627"/>
      <c r="U77" s="627"/>
      <c r="V77" s="627"/>
      <c r="W77" s="627"/>
      <c r="X77" s="627"/>
      <c r="Y77" s="627"/>
      <c r="Z77" s="627"/>
      <c r="AA77" s="627"/>
      <c r="AB77" s="627"/>
      <c r="AC77" s="627"/>
      <c r="AD77" s="627"/>
      <c r="AE77" s="627"/>
      <c r="AF77" s="627"/>
      <c r="AG77" s="627"/>
      <c r="AH77" s="627"/>
      <c r="AI77" s="627"/>
      <c r="AJ77" s="627"/>
      <c r="AK77" s="627"/>
      <c r="AL77" s="627"/>
      <c r="AM77" s="627"/>
      <c r="AN77" s="627"/>
      <c r="AO77" s="627"/>
      <c r="AP77" s="627"/>
      <c r="AQ77" s="627"/>
      <c r="AR77" s="627"/>
      <c r="AS77" s="627"/>
      <c r="AT77" s="627"/>
      <c r="AU77" s="627"/>
      <c r="AV77" s="627"/>
      <c r="AW77" s="627"/>
      <c r="AX77" s="627"/>
      <c r="AY77" s="627"/>
      <c r="AZ77" s="627"/>
    </row>
    <row r="78" spans="1:52" x14ac:dyDescent="0.25">
      <c r="C78" s="632" t="s">
        <v>615</v>
      </c>
      <c r="L78" s="633">
        <f>L$68-L74</f>
        <v>0</v>
      </c>
      <c r="M78" s="633">
        <f>M$68-M74</f>
        <v>0</v>
      </c>
      <c r="N78" s="633">
        <f>N$68-N74</f>
        <v>0</v>
      </c>
      <c r="O78" s="633">
        <f>O$68-O74</f>
        <v>-4.881987819186584E-3</v>
      </c>
      <c r="P78" s="633">
        <f>P$68-P74</f>
        <v>-1.337093838982284E-3</v>
      </c>
      <c r="Q78" s="634"/>
      <c r="R78" s="633">
        <f>R$68-R74</f>
        <v>1.0811181490472999E-2</v>
      </c>
      <c r="S78" s="633">
        <f t="shared" ref="S78:V78" si="422">S$68-S74</f>
        <v>2.164419769095316E-2</v>
      </c>
      <c r="T78" s="633">
        <f t="shared" si="422"/>
        <v>-1.2787927065066818E-2</v>
      </c>
      <c r="U78" s="633">
        <f t="shared" si="422"/>
        <v>3.015696857596506E-3</v>
      </c>
      <c r="V78" s="633">
        <f t="shared" si="422"/>
        <v>5.5962604104298208E-3</v>
      </c>
      <c r="W78" s="634"/>
      <c r="X78" s="633">
        <f>X$68-X74</f>
        <v>-9.1933519168256872E-3</v>
      </c>
      <c r="Y78" s="633">
        <f>Y$68-Y74</f>
        <v>-9.6065895165073911E-3</v>
      </c>
      <c r="Z78" s="633">
        <f>Z$68-Z74</f>
        <v>-5.1980147728698523E-3</v>
      </c>
      <c r="AA78" s="633">
        <f>AA$68-AA74</f>
        <v>-6.7678736198713008E-3</v>
      </c>
      <c r="AB78" s="633">
        <f>AB$68-AB74</f>
        <v>-7.6351818316464648E-3</v>
      </c>
      <c r="AD78" s="630"/>
      <c r="AE78" s="630"/>
      <c r="AF78" s="630"/>
      <c r="AG78" s="630"/>
      <c r="AH78" s="630"/>
    </row>
    <row r="79" spans="1:52" x14ac:dyDescent="0.25">
      <c r="C79" s="632" t="s">
        <v>616</v>
      </c>
      <c r="L79" s="633">
        <f>L$69-L75</f>
        <v>0</v>
      </c>
      <c r="M79" s="633">
        <f>M$69-M75</f>
        <v>0</v>
      </c>
      <c r="N79" s="633">
        <f>N$69-N75</f>
        <v>0</v>
      </c>
      <c r="O79" s="633">
        <f>O$69-O75</f>
        <v>5.7560358716176319E-3</v>
      </c>
      <c r="P79" s="633">
        <f>P$69-P75</f>
        <v>1.5743288084603957E-3</v>
      </c>
      <c r="Q79" s="634"/>
      <c r="R79" s="633">
        <f>R$69-R75</f>
        <v>8.6612294423565883E-3</v>
      </c>
      <c r="S79" s="633">
        <f t="shared" ref="S79:V79" si="423">S$69-S75</f>
        <v>9.4231692580740434E-3</v>
      </c>
      <c r="T79" s="633">
        <f t="shared" si="423"/>
        <v>7.2123985573795957E-3</v>
      </c>
      <c r="U79" s="633">
        <f t="shared" si="423"/>
        <v>1.3484199446094275E-2</v>
      </c>
      <c r="V79" s="633">
        <f t="shared" si="423"/>
        <v>9.8476267914747728E-3</v>
      </c>
      <c r="W79" s="634"/>
      <c r="X79" s="633">
        <f>X$69-X75</f>
        <v>1.2427018845391852E-2</v>
      </c>
      <c r="Y79" s="633">
        <f>Y$69-Y75</f>
        <v>1.2571396328834306E-2</v>
      </c>
      <c r="Z79" s="633">
        <f>Z$69-Z75</f>
        <v>1.0810655237796452E-2</v>
      </c>
      <c r="AA79" s="633">
        <f>AA$69-AA75</f>
        <v>1.7043200342332865E-2</v>
      </c>
      <c r="AB79" s="633">
        <f>AB$69-AB75</f>
        <v>1.3355247737890458E-2</v>
      </c>
      <c r="AD79" s="630"/>
      <c r="AE79" s="630"/>
      <c r="AF79" s="630"/>
      <c r="AG79" s="630"/>
      <c r="AH79" s="630"/>
    </row>
    <row r="80" spans="1:52" x14ac:dyDescent="0.25">
      <c r="C80" s="632" t="s">
        <v>617</v>
      </c>
      <c r="L80" s="633">
        <f>L$70-L76</f>
        <v>0</v>
      </c>
      <c r="M80" s="633">
        <f>M$70-M76</f>
        <v>0</v>
      </c>
      <c r="N80" s="633">
        <f>N$70-N76</f>
        <v>0</v>
      </c>
      <c r="O80" s="633">
        <f>O$70-O76</f>
        <v>0.19849275777678627</v>
      </c>
      <c r="P80" s="633">
        <f>P$70-P76</f>
        <v>5.8108451710935372E-2</v>
      </c>
      <c r="Q80" s="634"/>
      <c r="R80" s="633">
        <f>R$70-R76</f>
        <v>0.17131395926125859</v>
      </c>
      <c r="S80" s="633">
        <f t="shared" ref="S80:V80" si="424">S$70-S76</f>
        <v>0.14665372418051315</v>
      </c>
      <c r="T80" s="633">
        <f t="shared" si="424"/>
        <v>0.19333206209287002</v>
      </c>
      <c r="U80" s="633">
        <f t="shared" si="424"/>
        <v>0.18220489664180728</v>
      </c>
      <c r="V80" s="633">
        <f t="shared" si="424"/>
        <v>0.17665284701873196</v>
      </c>
      <c r="W80" s="634"/>
      <c r="X80" s="633">
        <f>X$70-X76</f>
        <v>0.10895533236040911</v>
      </c>
      <c r="Y80" s="633">
        <f>Y$70-Y76</f>
        <v>9.6578373533461659E-2</v>
      </c>
      <c r="Z80" s="633">
        <f>Z$70-Z76</f>
        <v>9.7360967285927469E-2</v>
      </c>
      <c r="AA80" s="633">
        <f>AA$70-AA76</f>
        <v>0.10635129735243037</v>
      </c>
      <c r="AB80" s="633">
        <f>AB$70-AB76</f>
        <v>0.10228444607772258</v>
      </c>
      <c r="AD80" s="630"/>
      <c r="AE80" s="630"/>
      <c r="AF80" s="630"/>
      <c r="AG80" s="630"/>
      <c r="AH80" s="630"/>
    </row>
    <row r="82" spans="1:44" x14ac:dyDescent="0.25">
      <c r="A82" s="625" t="s">
        <v>619</v>
      </c>
    </row>
    <row r="83" spans="1:44" x14ac:dyDescent="0.25">
      <c r="B83" t="s">
        <v>132</v>
      </c>
      <c r="F83" s="626">
        <v>5055</v>
      </c>
      <c r="G83" s="626">
        <v>5957</v>
      </c>
      <c r="H83" s="626">
        <v>5755</v>
      </c>
      <c r="I83" s="626">
        <v>6588</v>
      </c>
      <c r="J83" s="626">
        <v>23355</v>
      </c>
      <c r="L83">
        <v>5487</v>
      </c>
      <c r="M83" s="626">
        <v>6080</v>
      </c>
      <c r="N83" s="626">
        <v>6005</v>
      </c>
      <c r="O83" s="626">
        <v>6719.2800000000007</v>
      </c>
      <c r="P83" s="626">
        <v>24291.279999999999</v>
      </c>
      <c r="R83" s="626">
        <v>5526.3719999999994</v>
      </c>
      <c r="S83">
        <v>6090.7740000000003</v>
      </c>
      <c r="T83" s="626">
        <v>6151.8519999999999</v>
      </c>
      <c r="U83">
        <v>6898.5751199999995</v>
      </c>
      <c r="V83" s="626">
        <v>24667.573119999997</v>
      </c>
      <c r="X83" s="626">
        <v>5652.1895999999997</v>
      </c>
      <c r="Y83" s="626">
        <v>6229.9127000000008</v>
      </c>
      <c r="Z83">
        <v>6293.9236000000001</v>
      </c>
      <c r="AA83" s="626">
        <v>7065.4704359999996</v>
      </c>
      <c r="AB83" s="626">
        <v>25241.496336</v>
      </c>
      <c r="AD83">
        <v>5652.1895999999997</v>
      </c>
      <c r="AE83" s="626">
        <v>6229.9127000000008</v>
      </c>
      <c r="AF83" s="626">
        <v>6293.9236000000001</v>
      </c>
      <c r="AG83">
        <v>7065.4704359999996</v>
      </c>
      <c r="AH83" s="626">
        <v>25241.496336</v>
      </c>
      <c r="AJ83" s="626">
        <v>5652.1895999999997</v>
      </c>
      <c r="AK83" s="626">
        <v>6229.9127000000008</v>
      </c>
      <c r="AL83">
        <v>6293.9236000000001</v>
      </c>
      <c r="AM83" s="626">
        <v>7065.4704359999996</v>
      </c>
      <c r="AN83">
        <v>25241.496336</v>
      </c>
      <c r="AO83" s="626"/>
      <c r="AP83" s="626"/>
      <c r="AQ83" s="626"/>
      <c r="AR83" s="626"/>
    </row>
    <row r="84" spans="1:44" x14ac:dyDescent="0.25">
      <c r="B84" t="s">
        <v>283</v>
      </c>
      <c r="F84" s="626">
        <v>1057</v>
      </c>
      <c r="G84" s="626">
        <v>1269</v>
      </c>
      <c r="H84" s="626">
        <v>1181</v>
      </c>
      <c r="I84" s="626">
        <v>1429</v>
      </c>
      <c r="J84" s="626">
        <v>4936</v>
      </c>
      <c r="L84">
        <v>1301</v>
      </c>
      <c r="M84">
        <v>1525</v>
      </c>
      <c r="N84">
        <v>1433</v>
      </c>
      <c r="O84" s="626">
        <v>1586.5360000000007</v>
      </c>
      <c r="P84" s="626">
        <v>5845.536000000001</v>
      </c>
      <c r="R84" s="626">
        <v>1318.7173999999998</v>
      </c>
      <c r="S84">
        <v>1516.9194999999997</v>
      </c>
      <c r="T84" s="626">
        <v>1433</v>
      </c>
      <c r="U84">
        <v>1586.5360000000007</v>
      </c>
      <c r="V84" s="626">
        <v>5855.1729000000005</v>
      </c>
      <c r="X84">
        <v>1343.8809199999998</v>
      </c>
      <c r="Y84" s="626">
        <v>1544.7472399999999</v>
      </c>
      <c r="Z84">
        <v>1461.4143200000001</v>
      </c>
      <c r="AA84" s="628">
        <v>1619.9150632000008</v>
      </c>
      <c r="AB84" s="626">
        <v>5969.9575432000011</v>
      </c>
      <c r="AD84">
        <v>1343.8809199999998</v>
      </c>
      <c r="AE84" s="626">
        <v>1544.7472399999999</v>
      </c>
      <c r="AF84" s="626">
        <v>1461.4143200000001</v>
      </c>
      <c r="AG84">
        <v>1619.9150632000008</v>
      </c>
      <c r="AH84">
        <v>5969.9575432000011</v>
      </c>
      <c r="AJ84" s="626">
        <v>1343.8809199999998</v>
      </c>
      <c r="AK84" s="626">
        <v>1544.7472399999999</v>
      </c>
      <c r="AL84">
        <v>1461.4143200000001</v>
      </c>
      <c r="AM84">
        <v>1619.9150632000008</v>
      </c>
      <c r="AN84">
        <v>5969.9575432000011</v>
      </c>
      <c r="AO84" s="626"/>
      <c r="AP84" s="626"/>
      <c r="AR84" s="626"/>
    </row>
    <row r="85" spans="1:44" x14ac:dyDescent="0.25">
      <c r="C85" s="624" t="s">
        <v>614</v>
      </c>
      <c r="F85" s="629"/>
      <c r="G85" s="629"/>
      <c r="H85" s="629"/>
      <c r="I85" s="629"/>
      <c r="J85" s="629"/>
      <c r="K85" s="629"/>
      <c r="L85" s="629">
        <f>L83/F83-1</f>
        <v>8.5459940652818922E-2</v>
      </c>
      <c r="M85" s="629">
        <f t="shared" ref="M85" si="425">M83/G83-1</f>
        <v>2.0647977169716336E-2</v>
      </c>
      <c r="N85" s="629">
        <f t="shared" ref="N85" si="426">N83/H83-1</f>
        <v>4.344048653344923E-2</v>
      </c>
      <c r="O85" s="629">
        <f t="shared" ref="O85" si="427">O83/I83-1</f>
        <v>1.992714025500919E-2</v>
      </c>
      <c r="P85" s="629">
        <f t="shared" ref="P85" si="428">P83/J83-1</f>
        <v>4.0089060158424283E-2</v>
      </c>
      <c r="Q85" s="629"/>
      <c r="R85" s="629">
        <f>R83/L83-1</f>
        <v>7.1755057408418033E-3</v>
      </c>
      <c r="S85" s="629">
        <f t="shared" ref="S85" si="429">S83/M83-1</f>
        <v>1.772039473684206E-3</v>
      </c>
      <c r="T85" s="629">
        <f t="shared" ref="T85" si="430">T83/N83-1</f>
        <v>2.4454954204829349E-2</v>
      </c>
      <c r="U85" s="629">
        <f t="shared" ref="U85" si="431">U83/O83-1</f>
        <v>2.668368039432778E-2</v>
      </c>
      <c r="V85" s="629">
        <f t="shared" ref="V85" si="432">V83/P83-1</f>
        <v>1.5490872444761994E-2</v>
      </c>
      <c r="W85" s="629"/>
      <c r="X85" s="629">
        <f>X83/R83-1</f>
        <v>2.2766762715213495E-2</v>
      </c>
      <c r="Y85" s="629">
        <f t="shared" ref="Y85" si="433">Y83/S83-1</f>
        <v>2.284417382749715E-2</v>
      </c>
      <c r="Z85" s="629">
        <f t="shared" ref="Z85" si="434">Z83/T83-1</f>
        <v>2.3094118649148232E-2</v>
      </c>
      <c r="AA85" s="629">
        <f t="shared" ref="AA85" si="435">AA83/U83-1</f>
        <v>2.4192722858977778E-2</v>
      </c>
      <c r="AB85" s="629">
        <f t="shared" ref="AB85" si="436">AB83/V83-1</f>
        <v>2.3266302412809248E-2</v>
      </c>
      <c r="AD85" s="629">
        <f>AD83/X83-1</f>
        <v>0</v>
      </c>
      <c r="AE85" s="629">
        <f t="shared" ref="AE85" si="437">AE83/Y83-1</f>
        <v>0</v>
      </c>
      <c r="AF85" s="629">
        <f t="shared" ref="AF85" si="438">AF83/Z83-1</f>
        <v>0</v>
      </c>
      <c r="AG85" s="629">
        <f t="shared" ref="AG85" si="439">AG83/AA83-1</f>
        <v>0</v>
      </c>
      <c r="AH85" s="629">
        <f t="shared" ref="AH85" si="440">AH83/AB83-1</f>
        <v>0</v>
      </c>
      <c r="AJ85" s="629">
        <f>AJ83/AD83-1</f>
        <v>0</v>
      </c>
      <c r="AK85" s="629">
        <f t="shared" ref="AK85" si="441">AK83/AE83-1</f>
        <v>0</v>
      </c>
      <c r="AL85" s="629">
        <f t="shared" ref="AL85" si="442">AL83/AF83-1</f>
        <v>0</v>
      </c>
      <c r="AM85" s="629">
        <f t="shared" ref="AM85" si="443">AM83/AG83-1</f>
        <v>0</v>
      </c>
      <c r="AN85" s="629">
        <f t="shared" ref="AN85" si="444">AN83/AH83-1</f>
        <v>0</v>
      </c>
    </row>
    <row r="86" spans="1:44" x14ac:dyDescent="0.25">
      <c r="C86" s="624" t="s">
        <v>612</v>
      </c>
      <c r="F86" s="629">
        <f>F84/F83</f>
        <v>0.20909990108803164</v>
      </c>
      <c r="G86" s="629">
        <f>G84/G83</f>
        <v>0.21302669128756085</v>
      </c>
      <c r="H86" s="629">
        <f>H84/H83</f>
        <v>0.2052128583840139</v>
      </c>
      <c r="I86" s="629">
        <f>I84/I83</f>
        <v>0.21690953248330297</v>
      </c>
      <c r="J86" s="629">
        <f>J84/J83</f>
        <v>0.21134660672232927</v>
      </c>
      <c r="K86" s="629"/>
      <c r="L86" s="629">
        <f>L84/L83</f>
        <v>0.23710588664115181</v>
      </c>
      <c r="M86" s="629">
        <f t="shared" ref="M86" si="445">M84/M83</f>
        <v>0.25082236842105265</v>
      </c>
      <c r="N86" s="629">
        <f t="shared" ref="N86" si="446">N84/N83</f>
        <v>0.23863447127393839</v>
      </c>
      <c r="O86" s="629">
        <f t="shared" ref="O86" si="447">O84/O83</f>
        <v>0.23611696491290743</v>
      </c>
      <c r="P86" s="629">
        <f t="shared" ref="P86" si="448">P84/P83</f>
        <v>0.2406433913733653</v>
      </c>
      <c r="Q86" s="629"/>
      <c r="R86" s="629">
        <f>R84/R83</f>
        <v>0.23862262620033539</v>
      </c>
      <c r="S86" s="629">
        <f t="shared" ref="S86" si="449">S84/S83</f>
        <v>0.24905200882515091</v>
      </c>
      <c r="T86" s="629">
        <f t="shared" ref="T86" si="450">T84/T83</f>
        <v>0.23293798355357054</v>
      </c>
      <c r="U86" s="629">
        <f t="shared" ref="U86" si="451">U84/U83</f>
        <v>0.22998024554380744</v>
      </c>
      <c r="V86" s="629">
        <f t="shared" ref="V86" si="452">V84/V83</f>
        <v>0.23736315167756564</v>
      </c>
      <c r="W86" s="627"/>
      <c r="X86" s="629">
        <f>X84/X83</f>
        <v>0.23776288750115529</v>
      </c>
      <c r="Y86" s="629">
        <f t="shared" ref="Y86" si="453">Y84/Y83</f>
        <v>0.24795648260047043</v>
      </c>
      <c r="Z86" s="629">
        <f t="shared" ref="Z86" si="454">Z84/Z83</f>
        <v>0.2321944804032893</v>
      </c>
      <c r="AA86" s="629">
        <f t="shared" ref="AA86" si="455">AA84/AA83</f>
        <v>0.22927207436127767</v>
      </c>
      <c r="AB86" s="629">
        <f t="shared" ref="AB86" si="456">AB84/AB83</f>
        <v>0.23651361487177411</v>
      </c>
      <c r="AD86" s="629">
        <f>AD84/AD83</f>
        <v>0.23776288750115529</v>
      </c>
      <c r="AE86" s="629">
        <f t="shared" ref="AE86" si="457">AE84/AE83</f>
        <v>0.24795648260047043</v>
      </c>
      <c r="AF86" s="629">
        <f t="shared" ref="AF86" si="458">AF84/AF83</f>
        <v>0.2321944804032893</v>
      </c>
      <c r="AG86" s="629">
        <f t="shared" ref="AG86" si="459">AG84/AG83</f>
        <v>0.22927207436127767</v>
      </c>
      <c r="AH86" s="629">
        <f t="shared" ref="AH86" si="460">AH84/AH83</f>
        <v>0.23651361487177411</v>
      </c>
      <c r="AJ86" s="629">
        <f>AJ84/AJ83</f>
        <v>0.23776288750115529</v>
      </c>
      <c r="AK86" s="629">
        <f t="shared" ref="AK86" si="461">AK84/AK83</f>
        <v>0.24795648260047043</v>
      </c>
      <c r="AL86" s="629">
        <f t="shared" ref="AL86" si="462">AL84/AL83</f>
        <v>0.2321944804032893</v>
      </c>
      <c r="AM86" s="629">
        <f t="shared" ref="AM86" si="463">AM84/AM83</f>
        <v>0.22927207436127767</v>
      </c>
      <c r="AN86" s="629">
        <f t="shared" ref="AN86" si="464">AN84/AN83</f>
        <v>0.23651361487177411</v>
      </c>
    </row>
    <row r="87" spans="1:44" x14ac:dyDescent="0.25">
      <c r="C87" s="624" t="s">
        <v>611</v>
      </c>
      <c r="F87" s="629"/>
      <c r="G87" s="629"/>
      <c r="H87" s="629"/>
      <c r="I87" s="629"/>
      <c r="J87" s="629"/>
      <c r="K87" s="629"/>
      <c r="L87" s="629">
        <f>(L84-F84)/(L83-F83)</f>
        <v>0.56481481481481477</v>
      </c>
      <c r="M87" s="629">
        <f t="shared" ref="M87" si="465">(M84-G84)/(M83-G83)</f>
        <v>2.0813008130081303</v>
      </c>
      <c r="N87" s="629">
        <f t="shared" ref="N87" si="466">(N84-H84)/(N83-H83)</f>
        <v>1.008</v>
      </c>
      <c r="O87" s="629">
        <f t="shared" ref="O87" si="467">(O84-I84)/(O83-I83)</f>
        <v>1.1999999999999997</v>
      </c>
      <c r="P87" s="629">
        <f t="shared" ref="P87" si="468">(P84-J84)/(P83-J83)</f>
        <v>0.97143589524501439</v>
      </c>
      <c r="Q87" s="629"/>
      <c r="R87" s="629">
        <f>(R84-L84)/(R83-L83)</f>
        <v>0.45000000000000118</v>
      </c>
      <c r="S87" s="629">
        <f t="shared" ref="S87" si="469">(S84-M84)/(S83-M83)</f>
        <v>-0.75</v>
      </c>
      <c r="T87" s="629">
        <f t="shared" ref="T87" si="470">(T84-N84)/(T83-N83)</f>
        <v>0</v>
      </c>
      <c r="U87" s="629">
        <f t="shared" ref="U87" si="471">(U84-O84)/(U83-O83)</f>
        <v>0</v>
      </c>
      <c r="V87" s="629">
        <f t="shared" ref="V87" si="472">(V84-P84)/(V83-P83)</f>
        <v>2.5610088220585997E-2</v>
      </c>
      <c r="W87" s="627"/>
      <c r="X87" s="629">
        <f>(X84-R84)/(X83-R83)</f>
        <v>0.2</v>
      </c>
      <c r="Y87" s="629">
        <f t="shared" ref="Y87" si="473">(Y84-S84)/(Y83-S83)</f>
        <v>0.20000000000000065</v>
      </c>
      <c r="Z87" s="629">
        <f t="shared" ref="Z87" si="474">(Z84-T84)/(Z83-T83)</f>
        <v>0.20000000000000032</v>
      </c>
      <c r="AA87" s="629">
        <f t="shared" ref="AA87" si="475">(AA84-U84)/(AA83-U83)</f>
        <v>0.2</v>
      </c>
      <c r="AB87" s="629">
        <f t="shared" ref="AB87" si="476">(AB84-V84)/(AB83-V83)</f>
        <v>0.2</v>
      </c>
      <c r="AD87" s="629" t="e">
        <f>(AD84-X84)/(AD83-X83)</f>
        <v>#DIV/0!</v>
      </c>
      <c r="AE87" s="629" t="e">
        <f t="shared" ref="AE87" si="477">(AE84-Y84)/(AE83-Y83)</f>
        <v>#DIV/0!</v>
      </c>
      <c r="AF87" s="629" t="e">
        <f t="shared" ref="AF87" si="478">(AF84-Z84)/(AF83-Z83)</f>
        <v>#DIV/0!</v>
      </c>
      <c r="AG87" s="629" t="e">
        <f t="shared" ref="AG87" si="479">(AG84-AA84)/(AG83-AA83)</f>
        <v>#DIV/0!</v>
      </c>
      <c r="AH87" s="629" t="e">
        <f t="shared" ref="AH87" si="480">(AH84-AB84)/(AH83-AB83)</f>
        <v>#DIV/0!</v>
      </c>
      <c r="AJ87" s="629" t="e">
        <f>(AJ84-AD84)/(AJ83-AD83)</f>
        <v>#DIV/0!</v>
      </c>
      <c r="AK87" s="629" t="e">
        <f t="shared" ref="AK87" si="481">(AK84-AE84)/(AK83-AE83)</f>
        <v>#DIV/0!</v>
      </c>
      <c r="AL87" s="629" t="e">
        <f t="shared" ref="AL87" si="482">(AL84-AF84)/(AL83-AF83)</f>
        <v>#DIV/0!</v>
      </c>
      <c r="AM87" s="629" t="e">
        <f t="shared" ref="AM87" si="483">(AM84-AG84)/(AM83-AG83)</f>
        <v>#DIV/0!</v>
      </c>
      <c r="AN87" s="629" t="e">
        <f t="shared" ref="AN87" si="484">(AN84-AH84)/(AN83-AH83)</f>
        <v>#DIV/0!</v>
      </c>
    </row>
    <row r="88" spans="1:44" x14ac:dyDescent="0.25">
      <c r="C88" s="624"/>
      <c r="F88" s="627"/>
      <c r="G88" s="627"/>
      <c r="H88" s="627"/>
      <c r="I88" s="627"/>
      <c r="J88" s="627"/>
      <c r="K88" s="627"/>
      <c r="L88" s="627"/>
      <c r="M88" s="627"/>
      <c r="N88" s="627"/>
      <c r="O88" s="627"/>
      <c r="P88" s="627"/>
      <c r="Q88" s="627"/>
      <c r="R88" s="627"/>
      <c r="S88" s="627"/>
      <c r="T88" s="627"/>
      <c r="U88" s="627"/>
      <c r="V88" s="627"/>
      <c r="W88" s="627"/>
      <c r="X88" s="627"/>
      <c r="Y88" s="627"/>
      <c r="Z88" s="627"/>
      <c r="AA88" s="627"/>
      <c r="AB88" s="627"/>
      <c r="AD88" s="627"/>
      <c r="AE88" s="627"/>
      <c r="AF88" s="627"/>
      <c r="AG88" s="627"/>
      <c r="AH88" s="627"/>
      <c r="AJ88" s="627"/>
      <c r="AK88" s="627"/>
      <c r="AL88" s="627"/>
      <c r="AM88" s="627"/>
      <c r="AN88" s="627"/>
    </row>
    <row r="89" spans="1:44" x14ac:dyDescent="0.25">
      <c r="C89" s="632" t="s">
        <v>615</v>
      </c>
      <c r="L89" s="633">
        <f>L$68-L85</f>
        <v>-1.7183637486845038E-2</v>
      </c>
      <c r="M89" s="633">
        <f t="shared" ref="M89:P89" si="485">M$68-M85</f>
        <v>-4.3022229101234988E-3</v>
      </c>
      <c r="N89" s="633">
        <f t="shared" si="485"/>
        <v>4.3798954464311368E-3</v>
      </c>
      <c r="O89" s="633">
        <f t="shared" si="485"/>
        <v>1.3965245309833119E-2</v>
      </c>
      <c r="P89" s="633">
        <f t="shared" si="485"/>
        <v>3.7094858757669158E-4</v>
      </c>
      <c r="Q89" s="634"/>
      <c r="R89" s="633">
        <f>R$68-R85</f>
        <v>4.0693431689633908E-2</v>
      </c>
      <c r="S89" s="633">
        <f t="shared" ref="S89:V89" si="486">S$68-S85</f>
        <v>5.2306113932341747E-2</v>
      </c>
      <c r="T89" s="633">
        <f t="shared" si="486"/>
        <v>1.8025937189736663E-2</v>
      </c>
      <c r="U89" s="633">
        <f t="shared" si="486"/>
        <v>1.7828602824536022E-2</v>
      </c>
      <c r="V89" s="633">
        <f t="shared" si="486"/>
        <v>3.1699079327536683E-2</v>
      </c>
      <c r="W89" s="634"/>
      <c r="X89" s="633">
        <f t="shared" ref="X89:AB89" si="487">X$68-X85</f>
        <v>2.4656473533894552E-2</v>
      </c>
      <c r="Y89" s="633">
        <f t="shared" si="487"/>
        <v>2.464575992319662E-2</v>
      </c>
      <c r="Z89" s="633">
        <f t="shared" si="487"/>
        <v>2.4200616448976753E-2</v>
      </c>
      <c r="AA89" s="633">
        <f t="shared" si="487"/>
        <v>2.2717016390517708E-2</v>
      </c>
      <c r="AB89" s="633">
        <f t="shared" si="487"/>
        <v>2.40028909755019E-2</v>
      </c>
      <c r="AD89" s="633">
        <f t="shared" ref="AD89:AH89" si="488">AD$68-AD85</f>
        <v>4.6195301598476401E-2</v>
      </c>
      <c r="AE89" s="633">
        <f t="shared" si="488"/>
        <v>4.6284046612820706E-2</v>
      </c>
      <c r="AF89" s="633">
        <f t="shared" si="488"/>
        <v>4.6082832901288784E-2</v>
      </c>
      <c r="AG89" s="633">
        <f t="shared" si="488"/>
        <v>4.5955868565007219E-2</v>
      </c>
      <c r="AH89" s="633">
        <f t="shared" si="488"/>
        <v>4.6125208207582924E-2</v>
      </c>
      <c r="AJ89" s="633">
        <f t="shared" ref="AJ89:AN89" si="489">AJ$68-AJ85</f>
        <v>4.6261607199527655E-2</v>
      </c>
      <c r="AK89" s="633">
        <f t="shared" si="489"/>
        <v>4.6348767097628807E-2</v>
      </c>
      <c r="AL89" s="633">
        <f t="shared" si="489"/>
        <v>4.6151453301930934E-2</v>
      </c>
      <c r="AM89" s="633">
        <f t="shared" si="489"/>
        <v>4.6032718121704175E-2</v>
      </c>
      <c r="AN89" s="633">
        <f t="shared" si="489"/>
        <v>4.619455615547885E-2</v>
      </c>
    </row>
    <row r="90" spans="1:44" x14ac:dyDescent="0.25">
      <c r="C90" s="632" t="s">
        <v>616</v>
      </c>
      <c r="L90" s="633">
        <f>L$69-L86</f>
        <v>-4.2374558995589784E-2</v>
      </c>
      <c r="M90" s="633">
        <f t="shared" ref="M90:P90" si="490">M$69-M86</f>
        <v>-4.297174827657943E-2</v>
      </c>
      <c r="N90" s="633">
        <f t="shared" si="490"/>
        <v>-3.9246687775955913E-2</v>
      </c>
      <c r="O90" s="633">
        <f t="shared" si="490"/>
        <v>-3.7860929041289793E-2</v>
      </c>
      <c r="P90" s="633">
        <f t="shared" si="490"/>
        <v>-4.0500182130910972E-2</v>
      </c>
      <c r="Q90" s="634"/>
      <c r="R90" s="633">
        <f>R$69-R86</f>
        <v>-3.223006911241677E-2</v>
      </c>
      <c r="S90" s="633">
        <f t="shared" ref="S90:V90" si="491">S$69-S86</f>
        <v>-2.877821942260364E-2</v>
      </c>
      <c r="T90" s="633">
        <f t="shared" si="491"/>
        <v>-2.3337801498208466E-2</v>
      </c>
      <c r="U90" s="633">
        <f t="shared" si="491"/>
        <v>-2.0996046097713161E-2</v>
      </c>
      <c r="V90" s="633">
        <f t="shared" si="491"/>
        <v>-2.5960543043554163E-2</v>
      </c>
      <c r="W90" s="634"/>
      <c r="X90" s="633">
        <f t="shared" ref="X90:AB90" si="492">X$69-X86</f>
        <v>-2.2604541010201401E-2</v>
      </c>
      <c r="Y90" s="633">
        <f t="shared" si="492"/>
        <v>-1.9534466127162892E-2</v>
      </c>
      <c r="Z90" s="633">
        <f t="shared" si="492"/>
        <v>-1.3996041667510367E-2</v>
      </c>
      <c r="AA90" s="633">
        <f t="shared" si="492"/>
        <v>-1.172887401894479E-2</v>
      </c>
      <c r="AB90" s="633">
        <f t="shared" si="492"/>
        <v>-1.6598537217102277E-2</v>
      </c>
      <c r="AD90" s="633">
        <f t="shared" ref="AD90:AH90" si="493">AD$69-AD86</f>
        <v>-1.8858313354642664E-2</v>
      </c>
      <c r="AE90" s="633">
        <f t="shared" si="493"/>
        <v>-1.6368099654572421E-2</v>
      </c>
      <c r="AF90" s="633">
        <f t="shared" si="493"/>
        <v>-1.0392457362098706E-2</v>
      </c>
      <c r="AG90" s="633">
        <f t="shared" si="493"/>
        <v>-8.1059928236246748E-3</v>
      </c>
      <c r="AH90" s="633">
        <f t="shared" si="493"/>
        <v>-1.3067474502539173E-2</v>
      </c>
      <c r="AJ90" s="633">
        <f t="shared" ref="AJ90:AN90" si="494">AJ$69-AJ86</f>
        <v>-1.5272589945987597E-2</v>
      </c>
      <c r="AK90" s="633">
        <f t="shared" si="494"/>
        <v>-1.3337758141954315E-2</v>
      </c>
      <c r="AL90" s="633">
        <f t="shared" si="494"/>
        <v>-6.9427175844315736E-3</v>
      </c>
      <c r="AM90" s="633">
        <f t="shared" si="494"/>
        <v>-4.6367518676411201E-3</v>
      </c>
      <c r="AN90" s="633">
        <f t="shared" si="494"/>
        <v>-9.6872508655253264E-3</v>
      </c>
    </row>
    <row r="91" spans="1:44" x14ac:dyDescent="0.25">
      <c r="C91" s="632" t="s">
        <v>617</v>
      </c>
      <c r="L91" s="633">
        <f>L$70-L87</f>
        <v>6.6137566137566273E-3</v>
      </c>
      <c r="M91" s="633">
        <f t="shared" ref="M91:P91" si="495">M$70-M87</f>
        <v>8.8190712415598504E-2</v>
      </c>
      <c r="N91" s="633">
        <f t="shared" si="495"/>
        <v>-0.23970731707317072</v>
      </c>
      <c r="O91" s="633">
        <f t="shared" si="495"/>
        <v>-0.64999999999999969</v>
      </c>
      <c r="P91" s="633">
        <f t="shared" si="495"/>
        <v>-0.18148088442651944</v>
      </c>
      <c r="Q91" s="634"/>
      <c r="R91" s="633">
        <f>R$70-R87</f>
        <v>-1.3322676295501878E-15</v>
      </c>
      <c r="S91" s="633">
        <f t="shared" ref="S91:V91" si="496">S$70-S87</f>
        <v>1.2</v>
      </c>
      <c r="T91" s="633">
        <f t="shared" si="496"/>
        <v>0.45</v>
      </c>
      <c r="U91" s="633">
        <f t="shared" si="496"/>
        <v>0.45000000000000012</v>
      </c>
      <c r="V91" s="633">
        <f t="shared" si="496"/>
        <v>0.42438991177941188</v>
      </c>
      <c r="W91" s="634"/>
      <c r="X91" s="633">
        <f t="shared" ref="X91:AB91" si="497">X$70-X87</f>
        <v>0.19999999999999973</v>
      </c>
      <c r="Y91" s="633">
        <f t="shared" si="497"/>
        <v>0.19999999999999948</v>
      </c>
      <c r="Z91" s="633">
        <f t="shared" si="497"/>
        <v>0.19999999999999943</v>
      </c>
      <c r="AA91" s="633">
        <f t="shared" si="497"/>
        <v>0.20000000000000012</v>
      </c>
      <c r="AB91" s="633">
        <f t="shared" si="497"/>
        <v>0.20000000000000062</v>
      </c>
      <c r="AD91" s="633" t="e">
        <f t="shared" ref="AD91:AH91" si="498">AD$70-AD87</f>
        <v>#DIV/0!</v>
      </c>
      <c r="AE91" s="633" t="e">
        <f t="shared" si="498"/>
        <v>#DIV/0!</v>
      </c>
      <c r="AF91" s="633" t="e">
        <f t="shared" si="498"/>
        <v>#DIV/0!</v>
      </c>
      <c r="AG91" s="633" t="e">
        <f t="shared" si="498"/>
        <v>#DIV/0!</v>
      </c>
      <c r="AH91" s="633" t="e">
        <f t="shared" si="498"/>
        <v>#DIV/0!</v>
      </c>
      <c r="AJ91" s="633" t="e">
        <f t="shared" ref="AJ91:AN91" si="499">AJ$70-AJ87</f>
        <v>#DIV/0!</v>
      </c>
      <c r="AK91" s="633" t="e">
        <f t="shared" si="499"/>
        <v>#DIV/0!</v>
      </c>
      <c r="AL91" s="633" t="e">
        <f t="shared" si="499"/>
        <v>#DIV/0!</v>
      </c>
      <c r="AM91" s="633" t="e">
        <f t="shared" si="499"/>
        <v>#DIV/0!</v>
      </c>
      <c r="AN91" s="633" t="e">
        <f t="shared" si="499"/>
        <v>#DIV/0!</v>
      </c>
    </row>
  </sheetData>
  <conditionalFormatting sqref="A20:XFD2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1:XFD2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2:XFD2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1:XFD3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2:XFD3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3:XFD3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9:XFD4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0:XFD5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1:XFD5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0:XFD6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1:XFD6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2:XFD6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8:XFD7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9:XFD7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0:XFD8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9:XFD8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0:XFD9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1:XFD9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8D1CC-B977-46D3-AA4E-7A2B152AD6FF}">
  <dimension ref="C8:R43"/>
  <sheetViews>
    <sheetView showGridLines="0" zoomScale="85" zoomScaleNormal="85" workbookViewId="0"/>
  </sheetViews>
  <sheetFormatPr defaultRowHeight="15" x14ac:dyDescent="0.25"/>
  <cols>
    <col min="3" max="3" width="18.28515625" customWidth="1"/>
  </cols>
  <sheetData>
    <row r="8" spans="3:18" x14ac:dyDescent="0.25">
      <c r="C8" s="2"/>
      <c r="D8" s="2">
        <f>Annual!G2</f>
        <v>2017</v>
      </c>
      <c r="E8" s="2">
        <f>Annual!H2</f>
        <v>2018</v>
      </c>
      <c r="F8" s="2">
        <f>Annual!I2</f>
        <v>2019</v>
      </c>
      <c r="G8" s="2">
        <f>Annual!J2</f>
        <v>2020</v>
      </c>
      <c r="H8" s="2">
        <f>Annual!K2</f>
        <v>2021</v>
      </c>
      <c r="I8" s="2">
        <f>Annual!L2</f>
        <v>2022</v>
      </c>
      <c r="J8" s="2">
        <f>Annual!M2</f>
        <v>2023</v>
      </c>
      <c r="K8" s="2">
        <f>Annual!N2</f>
        <v>2024</v>
      </c>
      <c r="L8" s="2">
        <f>Annual!O2</f>
        <v>2025</v>
      </c>
      <c r="M8" s="2">
        <f>Annual!P2</f>
        <v>2026</v>
      </c>
      <c r="N8" s="2">
        <f>Annual!Q2</f>
        <v>2027</v>
      </c>
      <c r="O8" s="2">
        <f>Annual!R2</f>
        <v>2028</v>
      </c>
      <c r="P8" s="2">
        <f>Annual!S2</f>
        <v>2029</v>
      </c>
      <c r="Q8" s="2">
        <f>Annual!T2</f>
        <v>2030</v>
      </c>
      <c r="R8" s="2">
        <f>Annual!U2</f>
        <v>2031</v>
      </c>
    </row>
    <row r="9" spans="3:18" x14ac:dyDescent="0.25">
      <c r="C9" s="2" t="s">
        <v>608</v>
      </c>
      <c r="D9" s="27">
        <f>Annual!G9</f>
        <v>45462</v>
      </c>
      <c r="E9" s="27">
        <f>Annual!H9</f>
        <v>54722</v>
      </c>
      <c r="F9" s="27">
        <f>Annual!I9</f>
        <v>53800</v>
      </c>
      <c r="G9" s="27">
        <f>Annual!J9</f>
        <v>41748</v>
      </c>
      <c r="H9" s="27">
        <f>Annual!K9</f>
        <v>50971</v>
      </c>
      <c r="I9" s="27">
        <f>Annual!L9</f>
        <v>59427</v>
      </c>
      <c r="J9" s="27">
        <f>Annual!M9</f>
        <v>67060</v>
      </c>
      <c r="K9" s="27">
        <f>Annual!N9</f>
        <v>65281.25</v>
      </c>
      <c r="L9" s="27">
        <f>Annual!O9</f>
        <v>64977.724500000004</v>
      </c>
      <c r="M9" s="27">
        <f>Annual!P9</f>
        <v>68040.728292802713</v>
      </c>
      <c r="N9" s="27">
        <f>Annual!Q9</f>
        <v>70834.322720358614</v>
      </c>
      <c r="O9" s="27">
        <f>Annual!R9</f>
        <v>73747.556299474512</v>
      </c>
      <c r="P9" s="27">
        <f>Annual!S9</f>
        <v>76785.725945698825</v>
      </c>
      <c r="Q9" s="27">
        <f>Annual!T9</f>
        <v>79954.369269448609</v>
      </c>
      <c r="R9" s="27">
        <f>Annual!U9</f>
        <v>83259.275737306787</v>
      </c>
    </row>
    <row r="10" spans="3:18" x14ac:dyDescent="0.25">
      <c r="C10" s="2" t="s">
        <v>609</v>
      </c>
      <c r="D10" s="574">
        <f>Annual!G25</f>
        <v>9.8103910958602783E-2</v>
      </c>
      <c r="E10" s="574">
        <f>Annual!H25</f>
        <v>0.15154782354446109</v>
      </c>
      <c r="F10" s="574">
        <f>Annual!I25</f>
        <v>0.15408921933085501</v>
      </c>
      <c r="G10" s="574">
        <f>Annual!J25</f>
        <v>0.10905911660438823</v>
      </c>
      <c r="H10" s="574">
        <f>Annual!K25</f>
        <v>0.13493947538796572</v>
      </c>
      <c r="I10" s="574">
        <f>Annual!L25</f>
        <v>0.13300351691991855</v>
      </c>
      <c r="J10" s="574">
        <f>Annual!M25</f>
        <v>0.19334923948702654</v>
      </c>
      <c r="K10" s="574">
        <f>Annual!N25</f>
        <v>0.20294022537395087</v>
      </c>
      <c r="L10" s="574">
        <f>Annual!O25</f>
        <v>0.20020737803066876</v>
      </c>
      <c r="M10" s="574">
        <f>Annual!P25</f>
        <v>0.20763306305420748</v>
      </c>
      <c r="N10" s="574">
        <f>Annual!Q25</f>
        <v>0.2112983293910243</v>
      </c>
      <c r="O10" s="574">
        <f>Annual!R25</f>
        <v>0.21501182786443912</v>
      </c>
      <c r="P10" s="574">
        <f>Annual!S25</f>
        <v>0.21857564103726684</v>
      </c>
      <c r="Q10" s="574">
        <f>Annual!T25</f>
        <v>0.22199516786803214</v>
      </c>
      <c r="R10" s="574">
        <f>Annual!U25</f>
        <v>0.22555337363174666</v>
      </c>
    </row>
    <row r="14" spans="3:18" x14ac:dyDescent="0.25">
      <c r="C14" s="2">
        <f t="array" ref="C14:D43">TRANSPOSE(D9:R10)</f>
        <v>45462</v>
      </c>
      <c r="D14">
        <v>9.8103910958602783E-2</v>
      </c>
    </row>
    <row r="15" spans="3:18" x14ac:dyDescent="0.25">
      <c r="C15" s="27">
        <v>54722</v>
      </c>
      <c r="D15">
        <v>0.15154782354446109</v>
      </c>
    </row>
    <row r="16" spans="3:18" x14ac:dyDescent="0.25">
      <c r="C16" s="27">
        <v>53800</v>
      </c>
      <c r="D16">
        <v>0.15408921933085501</v>
      </c>
    </row>
    <row r="17" spans="3:4" x14ac:dyDescent="0.25">
      <c r="C17" s="27">
        <v>41748</v>
      </c>
      <c r="D17">
        <v>0.10905911660438823</v>
      </c>
    </row>
    <row r="18" spans="3:4" x14ac:dyDescent="0.25">
      <c r="C18" s="27">
        <v>50971</v>
      </c>
      <c r="D18">
        <v>0.13493947538796572</v>
      </c>
    </row>
    <row r="19" spans="3:4" x14ac:dyDescent="0.25">
      <c r="C19" s="27">
        <v>59427</v>
      </c>
      <c r="D19">
        <v>0.13300351691991855</v>
      </c>
    </row>
    <row r="20" spans="3:4" x14ac:dyDescent="0.25">
      <c r="C20" s="27">
        <v>67060</v>
      </c>
      <c r="D20">
        <v>0.19334923948702654</v>
      </c>
    </row>
    <row r="21" spans="3:4" x14ac:dyDescent="0.25">
      <c r="C21" s="27">
        <v>65281.25</v>
      </c>
      <c r="D21">
        <v>0.20294022537395087</v>
      </c>
    </row>
    <row r="22" spans="3:4" x14ac:dyDescent="0.25">
      <c r="C22" s="27">
        <v>64977.724500000004</v>
      </c>
      <c r="D22">
        <v>0.20020737803066876</v>
      </c>
    </row>
    <row r="23" spans="3:4" x14ac:dyDescent="0.25">
      <c r="C23" s="27">
        <v>68040.728292802713</v>
      </c>
      <c r="D23">
        <v>0.20763306305420748</v>
      </c>
    </row>
    <row r="24" spans="3:4" x14ac:dyDescent="0.25">
      <c r="C24" s="27">
        <v>70834.322720358614</v>
      </c>
      <c r="D24">
        <v>0.2112983293910243</v>
      </c>
    </row>
    <row r="25" spans="3:4" x14ac:dyDescent="0.25">
      <c r="C25" s="27">
        <v>73747.556299474512</v>
      </c>
      <c r="D25">
        <v>0.21501182786443912</v>
      </c>
    </row>
    <row r="26" spans="3:4" x14ac:dyDescent="0.25">
      <c r="C26" s="27">
        <v>76785.725945698825</v>
      </c>
      <c r="D26">
        <v>0.21857564103726684</v>
      </c>
    </row>
    <row r="27" spans="3:4" x14ac:dyDescent="0.25">
      <c r="C27" s="27">
        <v>79954.369269448609</v>
      </c>
      <c r="D27">
        <v>0.22199516786803214</v>
      </c>
    </row>
    <row r="28" spans="3:4" x14ac:dyDescent="0.25">
      <c r="C28" s="27">
        <v>83259.275737306787</v>
      </c>
      <c r="D28">
        <v>0.22555337363174666</v>
      </c>
    </row>
    <row r="29" spans="3:4" x14ac:dyDescent="0.25">
      <c r="C29" s="27" t="e">
        <v>#N/A</v>
      </c>
      <c r="D29" t="e">
        <v>#N/A</v>
      </c>
    </row>
    <row r="30" spans="3:4" x14ac:dyDescent="0.25">
      <c r="C30" t="e">
        <v>#N/A</v>
      </c>
      <c r="D30" t="e">
        <v>#N/A</v>
      </c>
    </row>
    <row r="31" spans="3:4" x14ac:dyDescent="0.25">
      <c r="C31" t="e">
        <v>#N/A</v>
      </c>
      <c r="D31" t="e">
        <v>#N/A</v>
      </c>
    </row>
    <row r="32" spans="3:4" x14ac:dyDescent="0.25">
      <c r="C32" t="e">
        <v>#N/A</v>
      </c>
      <c r="D32" t="e">
        <v>#N/A</v>
      </c>
    </row>
    <row r="33" spans="3:4" x14ac:dyDescent="0.25">
      <c r="C33" t="e">
        <v>#N/A</v>
      </c>
      <c r="D33" t="e">
        <v>#N/A</v>
      </c>
    </row>
    <row r="34" spans="3:4" x14ac:dyDescent="0.25">
      <c r="C34" t="e">
        <v>#N/A</v>
      </c>
      <c r="D34" t="e">
        <v>#N/A</v>
      </c>
    </row>
    <row r="35" spans="3:4" x14ac:dyDescent="0.25">
      <c r="C35" t="e">
        <v>#N/A</v>
      </c>
      <c r="D35" t="e">
        <v>#N/A</v>
      </c>
    </row>
    <row r="36" spans="3:4" x14ac:dyDescent="0.25">
      <c r="C36" t="e">
        <v>#N/A</v>
      </c>
      <c r="D36" t="e">
        <v>#N/A</v>
      </c>
    </row>
    <row r="37" spans="3:4" x14ac:dyDescent="0.25">
      <c r="C37" t="e">
        <v>#N/A</v>
      </c>
      <c r="D37" t="e">
        <v>#N/A</v>
      </c>
    </row>
    <row r="38" spans="3:4" x14ac:dyDescent="0.25">
      <c r="C38" t="e">
        <v>#N/A</v>
      </c>
      <c r="D38" t="e">
        <v>#N/A</v>
      </c>
    </row>
    <row r="39" spans="3:4" x14ac:dyDescent="0.25">
      <c r="C39" t="e">
        <v>#N/A</v>
      </c>
      <c r="D39" t="e">
        <v>#N/A</v>
      </c>
    </row>
    <row r="40" spans="3:4" x14ac:dyDescent="0.25">
      <c r="C40" t="e">
        <v>#N/A</v>
      </c>
      <c r="D40" t="e">
        <v>#N/A</v>
      </c>
    </row>
    <row r="41" spans="3:4" x14ac:dyDescent="0.25">
      <c r="C41" t="e">
        <v>#N/A</v>
      </c>
      <c r="D41" t="e">
        <v>#N/A</v>
      </c>
    </row>
    <row r="42" spans="3:4" x14ac:dyDescent="0.25">
      <c r="C42" t="e">
        <v>#N/A</v>
      </c>
      <c r="D42" t="e">
        <v>#N/A</v>
      </c>
    </row>
    <row r="43" spans="3:4" x14ac:dyDescent="0.25">
      <c r="C43" t="e">
        <v>#N/A</v>
      </c>
      <c r="D43" t="e">
        <v>#N/A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5AD4D-43A1-41C2-8200-CBF1DD2CB7B0}">
  <dimension ref="A1:AV16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outlineLevelRow="1" x14ac:dyDescent="0.25"/>
  <cols>
    <col min="1" max="1" width="69.28515625" customWidth="1"/>
    <col min="2" max="46" width="15.7109375" customWidth="1"/>
  </cols>
  <sheetData>
    <row r="1" spans="1:46" x14ac:dyDescent="0.25">
      <c r="B1" s="500">
        <v>42825</v>
      </c>
      <c r="C1" s="500">
        <v>42916</v>
      </c>
      <c r="D1" s="500">
        <v>43008</v>
      </c>
      <c r="E1" s="500"/>
      <c r="F1" s="500"/>
      <c r="G1" s="500"/>
      <c r="H1" s="500">
        <v>43190</v>
      </c>
      <c r="I1" s="500">
        <v>43281</v>
      </c>
      <c r="J1" s="500">
        <v>43373</v>
      </c>
      <c r="K1" s="500"/>
      <c r="L1" s="500"/>
      <c r="M1" s="500"/>
      <c r="N1" s="500">
        <v>43555</v>
      </c>
      <c r="O1" s="500">
        <v>43646</v>
      </c>
      <c r="P1" s="500">
        <v>43738</v>
      </c>
      <c r="Q1" s="500"/>
      <c r="R1" s="500"/>
      <c r="S1" s="500"/>
      <c r="T1" s="500">
        <v>43921</v>
      </c>
      <c r="U1" s="500">
        <v>44012</v>
      </c>
      <c r="V1" s="500">
        <v>44104</v>
      </c>
      <c r="W1" s="500"/>
      <c r="X1" s="500"/>
      <c r="Y1" s="500"/>
      <c r="Z1" s="500">
        <v>44286</v>
      </c>
      <c r="AA1" s="500">
        <v>44377</v>
      </c>
      <c r="AB1" s="500">
        <v>44469</v>
      </c>
      <c r="AC1" s="500"/>
      <c r="AD1" s="500"/>
      <c r="AE1" s="500"/>
      <c r="AF1" s="500">
        <v>44651</v>
      </c>
      <c r="AG1" s="500">
        <v>44742</v>
      </c>
      <c r="AH1" s="500">
        <v>44834</v>
      </c>
      <c r="AI1" s="500"/>
      <c r="AJ1" s="500"/>
      <c r="AK1" s="500"/>
      <c r="AL1" s="500">
        <v>45016</v>
      </c>
      <c r="AM1" s="500">
        <v>45107</v>
      </c>
      <c r="AN1" s="500">
        <v>45199</v>
      </c>
      <c r="AO1" s="500"/>
      <c r="AP1" s="500"/>
      <c r="AQ1" s="500"/>
      <c r="AR1" s="500">
        <v>45382</v>
      </c>
      <c r="AS1" s="500">
        <v>45473</v>
      </c>
      <c r="AT1" s="500">
        <v>45565</v>
      </c>
    </row>
    <row r="2" spans="1:46" x14ac:dyDescent="0.25">
      <c r="A2" s="496"/>
      <c r="B2" s="499" t="s">
        <v>520</v>
      </c>
      <c r="C2" s="499" t="s">
        <v>519</v>
      </c>
      <c r="D2" s="499" t="s">
        <v>521</v>
      </c>
      <c r="E2" s="499"/>
      <c r="F2" s="499"/>
      <c r="G2" s="499"/>
      <c r="H2" s="499" t="s">
        <v>520</v>
      </c>
      <c r="I2" s="499" t="s">
        <v>519</v>
      </c>
      <c r="J2" s="499" t="s">
        <v>521</v>
      </c>
      <c r="K2" s="499"/>
      <c r="L2" s="499"/>
      <c r="M2" s="499"/>
      <c r="N2" s="499" t="s">
        <v>520</v>
      </c>
      <c r="O2" s="499" t="s">
        <v>519</v>
      </c>
      <c r="P2" s="499" t="s">
        <v>521</v>
      </c>
      <c r="Q2" s="499"/>
      <c r="R2" s="499"/>
      <c r="S2" s="499"/>
      <c r="T2" s="499" t="s">
        <v>520</v>
      </c>
      <c r="U2" s="499" t="s">
        <v>519</v>
      </c>
      <c r="V2" s="499" t="s">
        <v>521</v>
      </c>
      <c r="W2" s="499"/>
      <c r="X2" s="499"/>
      <c r="Y2" s="499"/>
      <c r="Z2" s="499" t="s">
        <v>520</v>
      </c>
      <c r="AA2" s="499" t="s">
        <v>519</v>
      </c>
      <c r="AB2" s="499" t="s">
        <v>521</v>
      </c>
      <c r="AC2" s="499"/>
      <c r="AD2" s="499"/>
      <c r="AE2" s="499"/>
      <c r="AF2" s="499" t="s">
        <v>520</v>
      </c>
      <c r="AG2" s="499" t="s">
        <v>519</v>
      </c>
      <c r="AH2" s="499" t="s">
        <v>516</v>
      </c>
      <c r="AI2" s="499"/>
      <c r="AJ2" s="499"/>
      <c r="AK2" s="499"/>
      <c r="AL2" s="499" t="s">
        <v>518</v>
      </c>
      <c r="AM2" s="499" t="s">
        <v>517</v>
      </c>
      <c r="AN2" s="499" t="s">
        <v>516</v>
      </c>
      <c r="AO2" s="499"/>
      <c r="AP2" s="499"/>
      <c r="AQ2" s="499"/>
      <c r="AR2" s="499" t="s">
        <v>518</v>
      </c>
      <c r="AS2" s="499" t="s">
        <v>517</v>
      </c>
      <c r="AT2" s="499" t="s">
        <v>516</v>
      </c>
    </row>
    <row r="3" spans="1:46" x14ac:dyDescent="0.25">
      <c r="A3" s="496"/>
      <c r="B3" s="499">
        <v>2017</v>
      </c>
      <c r="C3" s="499">
        <v>2017</v>
      </c>
      <c r="D3" s="499">
        <v>2017</v>
      </c>
      <c r="E3" s="499"/>
      <c r="F3" s="499"/>
      <c r="G3" s="499"/>
      <c r="H3" s="499">
        <v>2018</v>
      </c>
      <c r="I3" s="499">
        <v>2018</v>
      </c>
      <c r="J3" s="499">
        <v>2018</v>
      </c>
      <c r="K3" s="499"/>
      <c r="L3" s="499"/>
      <c r="M3" s="499"/>
      <c r="N3" s="499">
        <v>2019</v>
      </c>
      <c r="O3" s="499">
        <v>2019</v>
      </c>
      <c r="P3" s="499">
        <v>2019</v>
      </c>
      <c r="Q3" s="499"/>
      <c r="R3" s="499"/>
      <c r="S3" s="499"/>
      <c r="T3" s="499">
        <v>2020</v>
      </c>
      <c r="U3" s="499">
        <v>2020</v>
      </c>
      <c r="V3" s="499">
        <v>2020</v>
      </c>
      <c r="W3" s="499"/>
      <c r="X3" s="499"/>
      <c r="Y3" s="499"/>
      <c r="Z3" s="499">
        <v>2021</v>
      </c>
      <c r="AA3" s="499">
        <v>2021</v>
      </c>
      <c r="AB3" s="499">
        <v>2021</v>
      </c>
      <c r="AC3" s="499"/>
      <c r="AD3" s="499"/>
      <c r="AE3" s="499"/>
      <c r="AF3" s="499">
        <v>2022</v>
      </c>
      <c r="AG3" s="499">
        <v>2022</v>
      </c>
      <c r="AH3" s="499">
        <v>2022</v>
      </c>
      <c r="AI3" s="499"/>
      <c r="AJ3" s="499"/>
      <c r="AK3" s="499"/>
      <c r="AL3" s="499">
        <v>2023</v>
      </c>
      <c r="AM3" s="499">
        <v>2023</v>
      </c>
      <c r="AN3" s="499">
        <v>2023</v>
      </c>
      <c r="AO3" s="499"/>
      <c r="AP3" s="499"/>
      <c r="AQ3" s="499"/>
      <c r="AR3" s="499">
        <v>2024</v>
      </c>
      <c r="AS3" s="499">
        <v>2024</v>
      </c>
      <c r="AT3" s="499">
        <v>2024</v>
      </c>
    </row>
    <row r="4" spans="1:46" outlineLevel="1" x14ac:dyDescent="0.25">
      <c r="A4" s="496" t="s">
        <v>515</v>
      </c>
      <c r="B4" s="499"/>
      <c r="C4" s="499"/>
      <c r="D4" s="499"/>
      <c r="E4" s="499"/>
      <c r="F4" s="499"/>
      <c r="G4" s="499"/>
      <c r="H4" s="499"/>
      <c r="I4" s="499"/>
      <c r="J4" s="499"/>
      <c r="K4" s="499"/>
      <c r="L4" s="499"/>
      <c r="M4" s="499"/>
      <c r="N4" s="499"/>
      <c r="O4" s="499"/>
      <c r="P4" s="499"/>
      <c r="Q4" s="499"/>
      <c r="R4" s="499"/>
      <c r="S4" s="499"/>
      <c r="T4" s="499"/>
      <c r="U4" s="499"/>
      <c r="V4" s="499"/>
      <c r="W4" s="499"/>
      <c r="X4" s="499"/>
      <c r="Y4" s="499"/>
      <c r="Z4" s="499"/>
      <c r="AA4" s="499"/>
      <c r="AB4" s="499"/>
      <c r="AC4" s="499"/>
      <c r="AD4" s="499"/>
      <c r="AE4" s="499"/>
      <c r="AF4" s="499"/>
      <c r="AG4" s="499"/>
      <c r="AH4" s="499"/>
      <c r="AI4" s="499"/>
      <c r="AJ4" s="499"/>
      <c r="AK4" s="499"/>
      <c r="AL4" s="499"/>
      <c r="AM4" s="499"/>
      <c r="AN4" s="499"/>
      <c r="AO4" s="499"/>
      <c r="AP4" s="499"/>
      <c r="AQ4" s="499"/>
      <c r="AR4" s="499"/>
      <c r="AS4" s="499"/>
      <c r="AT4" s="499"/>
    </row>
    <row r="5" spans="1:46" outlineLevel="1" x14ac:dyDescent="0.25">
      <c r="A5" s="476" t="s">
        <v>514</v>
      </c>
      <c r="B5" s="457">
        <v>194</v>
      </c>
      <c r="C5" s="457">
        <v>997</v>
      </c>
      <c r="D5" s="457">
        <v>2058</v>
      </c>
      <c r="E5" s="457">
        <v>759</v>
      </c>
      <c r="F5" s="457"/>
      <c r="G5" s="457"/>
      <c r="H5" s="457">
        <v>1667</v>
      </c>
      <c r="I5" s="457">
        <v>3372</v>
      </c>
      <c r="J5" s="457">
        <v>5099</v>
      </c>
      <c r="K5" s="457">
        <v>6148</v>
      </c>
      <c r="L5" s="457"/>
      <c r="M5" s="457"/>
      <c r="N5" s="457">
        <v>1884</v>
      </c>
      <c r="O5" s="457">
        <v>3503</v>
      </c>
      <c r="P5" s="457">
        <v>4997</v>
      </c>
      <c r="Q5" s="457">
        <v>6094</v>
      </c>
      <c r="R5" s="457"/>
      <c r="S5" s="457"/>
      <c r="T5" s="457">
        <v>1093</v>
      </c>
      <c r="U5" s="457">
        <v>1552</v>
      </c>
      <c r="V5" s="457">
        <v>2223</v>
      </c>
      <c r="W5" s="457">
        <v>3003</v>
      </c>
      <c r="X5" s="457"/>
      <c r="Y5" s="457"/>
      <c r="Z5" s="457">
        <v>1531</v>
      </c>
      <c r="AA5" s="457">
        <v>2945</v>
      </c>
      <c r="AB5" s="457">
        <v>4373</v>
      </c>
      <c r="AC5" s="457">
        <v>6493</v>
      </c>
      <c r="AD5" s="457"/>
      <c r="AE5" s="457"/>
      <c r="AF5" s="457">
        <v>1537</v>
      </c>
      <c r="AG5" s="457">
        <v>3210</v>
      </c>
      <c r="AH5" s="457">
        <v>5250</v>
      </c>
      <c r="AI5" s="457">
        <v>6704</v>
      </c>
      <c r="AJ5" s="457"/>
      <c r="AK5" s="457"/>
      <c r="AL5" s="457">
        <v>1942</v>
      </c>
      <c r="AM5" s="457">
        <v>4866</v>
      </c>
      <c r="AN5" s="457">
        <v>7659</v>
      </c>
      <c r="AO5" s="457">
        <v>10332</v>
      </c>
      <c r="AP5" s="457"/>
      <c r="AQ5" s="457"/>
      <c r="AR5" s="457">
        <v>2854</v>
      </c>
      <c r="AS5" s="457">
        <v>5535</v>
      </c>
      <c r="AT5" s="457">
        <v>7998</v>
      </c>
    </row>
    <row r="6" spans="1:46" outlineLevel="1" x14ac:dyDescent="0.25">
      <c r="A6" s="496" t="s">
        <v>513</v>
      </c>
      <c r="B6" s="499"/>
      <c r="C6" s="499"/>
      <c r="D6" s="499"/>
      <c r="E6" s="499"/>
      <c r="F6" s="499"/>
      <c r="G6" s="499"/>
      <c r="H6" s="499"/>
      <c r="I6" s="499"/>
      <c r="J6" s="499"/>
      <c r="K6" s="499"/>
      <c r="L6" s="499"/>
      <c r="M6" s="499"/>
      <c r="N6" s="499"/>
      <c r="O6" s="499"/>
      <c r="P6" s="499"/>
      <c r="Q6" s="499"/>
      <c r="R6" s="499"/>
      <c r="S6" s="499"/>
      <c r="T6" s="499"/>
      <c r="U6" s="499"/>
      <c r="V6" s="499"/>
      <c r="W6" s="499"/>
      <c r="X6" s="499"/>
      <c r="Y6" s="499"/>
      <c r="Z6" s="499"/>
      <c r="AA6" s="499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  <c r="AO6" s="499"/>
      <c r="AP6" s="499"/>
      <c r="AQ6" s="499"/>
      <c r="AR6" s="499"/>
      <c r="AS6" s="499"/>
      <c r="AT6" s="499"/>
    </row>
    <row r="7" spans="1:46" outlineLevel="1" x14ac:dyDescent="0.25">
      <c r="A7" s="496" t="s">
        <v>512</v>
      </c>
      <c r="B7" s="499"/>
      <c r="C7" s="499"/>
      <c r="D7" s="499"/>
      <c r="E7" s="499"/>
      <c r="F7" s="499"/>
      <c r="G7" s="499"/>
      <c r="H7" s="499"/>
      <c r="I7" s="499"/>
      <c r="J7" s="499"/>
      <c r="K7" s="499"/>
      <c r="L7" s="499"/>
      <c r="M7" s="499"/>
      <c r="N7" s="499"/>
      <c r="O7" s="499"/>
      <c r="P7" s="499"/>
      <c r="Q7" s="499"/>
      <c r="R7" s="499"/>
      <c r="S7" s="499"/>
      <c r="T7" s="499"/>
      <c r="U7" s="499"/>
      <c r="V7" s="499"/>
      <c r="W7" s="499"/>
      <c r="X7" s="499"/>
      <c r="Y7" s="499"/>
      <c r="Z7" s="499"/>
      <c r="AA7" s="499"/>
      <c r="AB7" s="499"/>
      <c r="AC7" s="499"/>
      <c r="AD7" s="499"/>
      <c r="AE7" s="499"/>
      <c r="AF7" s="499"/>
      <c r="AG7" s="499"/>
      <c r="AH7" s="499"/>
      <c r="AI7" s="499"/>
      <c r="AJ7" s="499"/>
      <c r="AK7" s="499"/>
      <c r="AL7" s="499"/>
      <c r="AM7" s="499"/>
      <c r="AN7" s="499"/>
      <c r="AO7" s="499"/>
      <c r="AP7" s="499"/>
      <c r="AQ7" s="499"/>
      <c r="AR7" s="499"/>
      <c r="AS7" s="499"/>
      <c r="AT7" s="499"/>
    </row>
    <row r="8" spans="1:46" outlineLevel="1" x14ac:dyDescent="0.25">
      <c r="A8" s="476" t="s">
        <v>511</v>
      </c>
      <c r="B8" s="472">
        <v>710</v>
      </c>
      <c r="C8" s="472">
        <v>1430</v>
      </c>
      <c r="D8" s="472">
        <v>2153</v>
      </c>
      <c r="E8" s="472">
        <v>2877</v>
      </c>
      <c r="F8" s="472"/>
      <c r="G8" s="472"/>
      <c r="H8" s="472">
        <v>681</v>
      </c>
      <c r="I8" s="472">
        <v>1367</v>
      </c>
      <c r="J8" s="472">
        <v>2065</v>
      </c>
      <c r="K8" s="472">
        <v>2766</v>
      </c>
      <c r="L8" s="472"/>
      <c r="M8" s="472"/>
      <c r="N8" s="472">
        <v>641</v>
      </c>
      <c r="O8" s="472">
        <v>1288</v>
      </c>
      <c r="P8" s="472">
        <v>1933</v>
      </c>
      <c r="Q8" s="472">
        <v>2577</v>
      </c>
      <c r="R8" s="472"/>
      <c r="S8" s="472"/>
      <c r="T8" s="472">
        <v>614</v>
      </c>
      <c r="U8" s="472">
        <v>1222</v>
      </c>
      <c r="V8" s="472">
        <v>1815</v>
      </c>
      <c r="W8" s="472">
        <v>2432</v>
      </c>
      <c r="X8" s="472"/>
      <c r="Y8" s="472"/>
      <c r="Z8" s="472">
        <v>586</v>
      </c>
      <c r="AA8" s="472">
        <v>1173</v>
      </c>
      <c r="AB8" s="472">
        <v>1766</v>
      </c>
      <c r="AC8" s="472">
        <v>2352</v>
      </c>
      <c r="AD8" s="472"/>
      <c r="AE8" s="472"/>
      <c r="AF8" s="472">
        <v>557</v>
      </c>
      <c r="AG8" s="472">
        <v>1110</v>
      </c>
      <c r="AH8" s="472">
        <v>1661</v>
      </c>
      <c r="AI8" s="472">
        <v>2219</v>
      </c>
      <c r="AJ8" s="472"/>
      <c r="AK8" s="472"/>
      <c r="AL8" s="472">
        <v>532</v>
      </c>
      <c r="AM8" s="472">
        <v>1074</v>
      </c>
      <c r="AN8" s="472">
        <v>1599</v>
      </c>
      <c r="AO8" s="472">
        <v>2144</v>
      </c>
      <c r="AP8" s="472"/>
      <c r="AQ8" s="472"/>
      <c r="AR8" s="472">
        <v>524</v>
      </c>
      <c r="AS8" s="472">
        <v>1055</v>
      </c>
      <c r="AT8" s="472">
        <v>1598</v>
      </c>
    </row>
    <row r="9" spans="1:46" outlineLevel="1" x14ac:dyDescent="0.25">
      <c r="A9" s="476" t="s">
        <v>510</v>
      </c>
      <c r="B9" s="498"/>
      <c r="C9" s="498"/>
      <c r="D9" s="498"/>
      <c r="E9" s="472">
        <v>301</v>
      </c>
      <c r="F9" s="472"/>
      <c r="G9" s="498"/>
      <c r="H9" s="498"/>
      <c r="I9" s="498"/>
      <c r="J9" s="498"/>
      <c r="K9" s="472">
        <v>495</v>
      </c>
      <c r="L9" s="472"/>
      <c r="M9" s="498"/>
      <c r="N9" s="472">
        <v>0</v>
      </c>
      <c r="O9" s="472">
        <v>0</v>
      </c>
      <c r="P9" s="472">
        <v>0</v>
      </c>
      <c r="Q9" s="472">
        <v>468</v>
      </c>
      <c r="R9" s="472"/>
      <c r="S9" s="472"/>
      <c r="T9" s="472">
        <v>-254</v>
      </c>
      <c r="U9" s="472">
        <v>-132</v>
      </c>
      <c r="V9" s="472">
        <v>-55</v>
      </c>
      <c r="W9" s="472">
        <v>383</v>
      </c>
      <c r="X9" s="472"/>
      <c r="Y9" s="472"/>
      <c r="Z9" s="472">
        <v>0</v>
      </c>
      <c r="AA9" s="472">
        <v>0</v>
      </c>
      <c r="AB9" s="472">
        <v>0</v>
      </c>
      <c r="AC9" s="472">
        <v>-833</v>
      </c>
      <c r="AD9" s="472"/>
      <c r="AE9" s="472"/>
      <c r="AF9" s="498"/>
      <c r="AG9" s="498"/>
      <c r="AH9" s="498"/>
      <c r="AI9" s="472">
        <v>-606</v>
      </c>
      <c r="AJ9" s="498"/>
      <c r="AK9" s="498"/>
      <c r="AL9" s="498"/>
      <c r="AM9" s="498"/>
      <c r="AN9" s="498"/>
      <c r="AO9" s="472">
        <v>-97</v>
      </c>
      <c r="AP9" s="498"/>
      <c r="AQ9" s="498"/>
      <c r="AR9" s="498"/>
      <c r="AS9" s="498"/>
      <c r="AT9" s="498"/>
    </row>
    <row r="10" spans="1:46" outlineLevel="1" x14ac:dyDescent="0.25">
      <c r="A10" s="476" t="s">
        <v>551</v>
      </c>
      <c r="B10" s="498"/>
      <c r="C10" s="498"/>
      <c r="D10" s="498"/>
      <c r="E10" s="472">
        <v>1213</v>
      </c>
      <c r="F10" s="472"/>
      <c r="G10" s="498"/>
      <c r="H10" s="498"/>
      <c r="I10" s="498"/>
      <c r="J10" s="498"/>
      <c r="K10" s="472">
        <v>220</v>
      </c>
      <c r="L10" s="472"/>
      <c r="M10" s="498"/>
      <c r="N10" s="472">
        <v>-11</v>
      </c>
      <c r="O10" s="472">
        <v>-34</v>
      </c>
      <c r="P10" s="472">
        <v>-13</v>
      </c>
      <c r="Q10" s="472">
        <v>28</v>
      </c>
      <c r="R10" s="472"/>
      <c r="S10" s="472"/>
      <c r="T10" s="472">
        <v>20</v>
      </c>
      <c r="U10" s="472">
        <v>-32</v>
      </c>
      <c r="V10" s="472">
        <v>-38</v>
      </c>
      <c r="W10" s="472">
        <v>-74</v>
      </c>
      <c r="X10" s="472"/>
      <c r="Y10" s="472"/>
      <c r="Z10" s="472">
        <v>109</v>
      </c>
      <c r="AA10" s="472">
        <v>68</v>
      </c>
      <c r="AB10" s="472">
        <v>-321</v>
      </c>
      <c r="AC10" s="472">
        <v>-383</v>
      </c>
      <c r="AD10" s="472"/>
      <c r="AE10" s="472"/>
      <c r="AF10" s="472">
        <v>-99</v>
      </c>
      <c r="AG10" s="472">
        <v>-283</v>
      </c>
      <c r="AH10" s="472">
        <v>-349</v>
      </c>
      <c r="AI10" s="472">
        <v>-377</v>
      </c>
      <c r="AJ10" s="472"/>
      <c r="AK10" s="472"/>
      <c r="AL10" s="472">
        <v>-191</v>
      </c>
      <c r="AM10" s="472">
        <v>-355</v>
      </c>
      <c r="AN10" s="472">
        <v>-448</v>
      </c>
      <c r="AO10" s="472">
        <v>-592</v>
      </c>
      <c r="AP10" s="472"/>
      <c r="AQ10" s="472"/>
      <c r="AR10" s="472">
        <v>-54</v>
      </c>
      <c r="AS10" s="472">
        <v>-133</v>
      </c>
      <c r="AT10" s="472">
        <v>-329</v>
      </c>
    </row>
    <row r="11" spans="1:46" outlineLevel="1" x14ac:dyDescent="0.25">
      <c r="A11" s="476" t="s">
        <v>509</v>
      </c>
      <c r="B11" s="498"/>
      <c r="C11" s="498"/>
      <c r="D11" s="498"/>
      <c r="E11" s="498"/>
      <c r="F11" s="498"/>
      <c r="G11" s="498"/>
      <c r="H11" s="498"/>
      <c r="I11" s="498"/>
      <c r="J11" s="498"/>
      <c r="K11" s="498"/>
      <c r="L11" s="498"/>
      <c r="M11" s="498"/>
      <c r="N11" s="498"/>
      <c r="O11" s="498"/>
      <c r="P11" s="498"/>
      <c r="Q11" s="498"/>
      <c r="R11" s="498"/>
      <c r="S11" s="498"/>
      <c r="T11" s="498"/>
      <c r="U11" s="498"/>
      <c r="V11" s="498"/>
      <c r="W11" s="498"/>
      <c r="X11" s="498"/>
      <c r="Y11" s="498"/>
      <c r="Z11" s="498"/>
      <c r="AA11" s="498"/>
      <c r="AB11" s="498"/>
      <c r="AC11" s="472">
        <v>0</v>
      </c>
      <c r="AD11" s="498"/>
      <c r="AE11" s="498"/>
      <c r="AF11" s="472">
        <v>0</v>
      </c>
      <c r="AG11" s="472">
        <v>0</v>
      </c>
      <c r="AH11" s="472">
        <v>0</v>
      </c>
      <c r="AI11" s="472">
        <v>0</v>
      </c>
      <c r="AJ11" s="472"/>
      <c r="AK11" s="472"/>
      <c r="AL11" s="472">
        <v>572</v>
      </c>
      <c r="AM11" s="472">
        <v>572</v>
      </c>
      <c r="AN11" s="472">
        <v>572</v>
      </c>
      <c r="AO11" s="472">
        <v>572</v>
      </c>
      <c r="AP11" s="472"/>
      <c r="AQ11" s="472"/>
      <c r="AR11" s="472">
        <v>-64</v>
      </c>
      <c r="AS11" s="472">
        <v>164</v>
      </c>
      <c r="AT11" s="472">
        <v>164</v>
      </c>
    </row>
    <row r="12" spans="1:46" outlineLevel="1" x14ac:dyDescent="0.25">
      <c r="A12" s="476" t="s">
        <v>508</v>
      </c>
      <c r="B12" s="498"/>
      <c r="C12" s="498"/>
      <c r="D12" s="498"/>
      <c r="E12" s="472">
        <v>0</v>
      </c>
      <c r="F12" s="472"/>
      <c r="G12" s="498"/>
      <c r="H12" s="498"/>
      <c r="I12" s="498"/>
      <c r="J12" s="498"/>
      <c r="K12" s="472">
        <v>0</v>
      </c>
      <c r="L12" s="472"/>
      <c r="M12" s="498"/>
      <c r="N12" s="498"/>
      <c r="O12" s="498"/>
      <c r="P12" s="498"/>
      <c r="Q12" s="498"/>
      <c r="R12" s="498"/>
      <c r="S12" s="498"/>
      <c r="T12" s="498"/>
      <c r="U12" s="498"/>
      <c r="V12" s="498"/>
      <c r="W12" s="472">
        <v>0</v>
      </c>
      <c r="X12" s="498"/>
      <c r="Y12" s="498"/>
      <c r="Z12" s="498"/>
      <c r="AA12" s="498"/>
      <c r="AB12" s="498"/>
      <c r="AC12" s="472">
        <v>0</v>
      </c>
      <c r="AD12" s="498"/>
      <c r="AE12" s="498"/>
      <c r="AF12" s="472"/>
      <c r="AG12" s="472"/>
      <c r="AH12" s="472"/>
      <c r="AI12" s="472">
        <v>925</v>
      </c>
      <c r="AJ12" s="472"/>
      <c r="AK12" s="472"/>
      <c r="AL12" s="472"/>
      <c r="AM12" s="472"/>
      <c r="AN12" s="472"/>
      <c r="AO12" s="472">
        <v>0</v>
      </c>
      <c r="AP12" s="472"/>
      <c r="AQ12" s="472"/>
      <c r="AR12" s="472"/>
      <c r="AS12" s="472"/>
      <c r="AT12" s="472"/>
    </row>
    <row r="13" spans="1:46" outlineLevel="1" x14ac:dyDescent="0.25">
      <c r="A13" s="476" t="s">
        <v>65</v>
      </c>
      <c r="B13" s="472">
        <v>302</v>
      </c>
      <c r="C13" s="472">
        <v>490</v>
      </c>
      <c r="D13" s="472">
        <v>596</v>
      </c>
      <c r="E13" s="472">
        <v>750</v>
      </c>
      <c r="F13" s="472"/>
      <c r="G13" s="472"/>
      <c r="H13" s="472">
        <v>148</v>
      </c>
      <c r="I13" s="472">
        <v>446</v>
      </c>
      <c r="J13" s="472">
        <v>630</v>
      </c>
      <c r="K13" s="472">
        <v>1006</v>
      </c>
      <c r="L13" s="472"/>
      <c r="M13" s="472"/>
      <c r="N13" s="472">
        <v>88</v>
      </c>
      <c r="O13" s="472">
        <v>440</v>
      </c>
      <c r="P13" s="472">
        <v>627</v>
      </c>
      <c r="Q13" s="472">
        <v>675</v>
      </c>
      <c r="R13" s="472"/>
      <c r="S13" s="472"/>
      <c r="T13" s="472">
        <v>534</v>
      </c>
      <c r="U13" s="472">
        <v>674</v>
      </c>
      <c r="V13" s="472">
        <v>919</v>
      </c>
      <c r="W13" s="472">
        <v>1000</v>
      </c>
      <c r="X13" s="472"/>
      <c r="Y13" s="472"/>
      <c r="Z13" s="472">
        <v>-104</v>
      </c>
      <c r="AA13" s="472">
        <v>-20</v>
      </c>
      <c r="AB13" s="472">
        <v>102</v>
      </c>
      <c r="AC13" s="472">
        <v>216</v>
      </c>
      <c r="AD13" s="472"/>
      <c r="AE13" s="472"/>
      <c r="AF13" s="472">
        <v>-52</v>
      </c>
      <c r="AG13" s="472">
        <v>49</v>
      </c>
      <c r="AH13" s="472">
        <v>132</v>
      </c>
      <c r="AI13" s="472">
        <v>701</v>
      </c>
      <c r="AJ13" s="472"/>
      <c r="AK13" s="472"/>
      <c r="AL13" s="472">
        <v>117</v>
      </c>
      <c r="AM13" s="472">
        <v>106</v>
      </c>
      <c r="AN13" s="472">
        <v>205</v>
      </c>
      <c r="AO13" s="472">
        <v>375</v>
      </c>
      <c r="AP13" s="472"/>
      <c r="AQ13" s="472"/>
      <c r="AR13" s="472">
        <v>-5</v>
      </c>
      <c r="AS13" s="472">
        <v>105</v>
      </c>
      <c r="AT13" s="472">
        <v>221</v>
      </c>
    </row>
    <row r="14" spans="1:46" outlineLevel="1" x14ac:dyDescent="0.25">
      <c r="A14" s="496" t="s">
        <v>507</v>
      </c>
      <c r="B14" s="499"/>
      <c r="C14" s="499"/>
      <c r="D14" s="499"/>
      <c r="E14" s="499"/>
      <c r="F14" s="499"/>
      <c r="G14" s="499"/>
      <c r="H14" s="499"/>
      <c r="I14" s="499"/>
      <c r="J14" s="499"/>
      <c r="K14" s="499"/>
      <c r="L14" s="499"/>
      <c r="M14" s="499"/>
      <c r="N14" s="499"/>
      <c r="O14" s="499"/>
      <c r="P14" s="499"/>
      <c r="Q14" s="499"/>
      <c r="R14" s="499"/>
      <c r="S14" s="499"/>
      <c r="T14" s="499"/>
      <c r="U14" s="499"/>
      <c r="V14" s="499"/>
      <c r="W14" s="499"/>
      <c r="X14" s="499"/>
      <c r="Y14" s="499"/>
      <c r="Z14" s="499"/>
      <c r="AA14" s="499"/>
      <c r="AB14" s="499"/>
      <c r="AC14" s="499"/>
      <c r="AD14" s="499"/>
      <c r="AE14" s="499"/>
      <c r="AF14" s="499"/>
      <c r="AG14" s="499"/>
      <c r="AH14" s="499"/>
      <c r="AI14" s="499"/>
      <c r="AJ14" s="499"/>
      <c r="AK14" s="499"/>
      <c r="AL14" s="499"/>
      <c r="AM14" s="499"/>
      <c r="AN14" s="499"/>
      <c r="AO14" s="499"/>
      <c r="AP14" s="499"/>
      <c r="AQ14" s="499"/>
      <c r="AR14" s="499"/>
      <c r="AS14" s="499"/>
      <c r="AT14" s="499"/>
    </row>
    <row r="15" spans="1:46" outlineLevel="1" x14ac:dyDescent="0.25">
      <c r="A15" s="476" t="s">
        <v>506</v>
      </c>
      <c r="B15" s="472">
        <v>-353</v>
      </c>
      <c r="C15" s="472">
        <v>-442</v>
      </c>
      <c r="D15" s="472">
        <v>-455</v>
      </c>
      <c r="E15" s="472">
        <v>-1151</v>
      </c>
      <c r="F15" s="472"/>
      <c r="G15" s="472"/>
      <c r="H15" s="472">
        <v>-326</v>
      </c>
      <c r="I15" s="472">
        <v>-703</v>
      </c>
      <c r="J15" s="472">
        <v>-725</v>
      </c>
      <c r="K15" s="472">
        <v>-1619</v>
      </c>
      <c r="L15" s="472"/>
      <c r="M15" s="472"/>
      <c r="N15" s="472">
        <v>-150</v>
      </c>
      <c r="O15" s="472">
        <v>-166</v>
      </c>
      <c r="P15" s="472">
        <v>427</v>
      </c>
      <c r="Q15" s="472">
        <v>171</v>
      </c>
      <c r="R15" s="472"/>
      <c r="S15" s="472"/>
      <c r="T15" s="472">
        <v>500</v>
      </c>
      <c r="U15" s="472">
        <v>1176</v>
      </c>
      <c r="V15" s="472">
        <v>1473</v>
      </c>
      <c r="W15" s="472">
        <v>1442</v>
      </c>
      <c r="X15" s="472"/>
      <c r="Y15" s="472"/>
      <c r="Z15" s="472">
        <v>-543</v>
      </c>
      <c r="AA15" s="472">
        <v>-343</v>
      </c>
      <c r="AB15" s="472">
        <v>-326</v>
      </c>
      <c r="AC15" s="472">
        <v>-1259</v>
      </c>
      <c r="AD15" s="472"/>
      <c r="AE15" s="472"/>
      <c r="AF15" s="472">
        <v>-372</v>
      </c>
      <c r="AG15" s="472">
        <v>283</v>
      </c>
      <c r="AH15" s="472">
        <v>365</v>
      </c>
      <c r="AI15" s="472">
        <v>-220</v>
      </c>
      <c r="AJ15" s="472"/>
      <c r="AK15" s="472"/>
      <c r="AL15" s="472">
        <v>-329</v>
      </c>
      <c r="AM15" s="472">
        <v>-465</v>
      </c>
      <c r="AN15" s="472">
        <v>-319</v>
      </c>
      <c r="AO15" s="472">
        <v>-437</v>
      </c>
      <c r="AP15" s="472"/>
      <c r="AQ15" s="472"/>
      <c r="AR15" s="472">
        <v>-81</v>
      </c>
      <c r="AS15" s="472">
        <v>-245</v>
      </c>
      <c r="AT15" s="472">
        <v>-30</v>
      </c>
    </row>
    <row r="16" spans="1:46" outlineLevel="1" x14ac:dyDescent="0.25">
      <c r="A16" s="476" t="s">
        <v>168</v>
      </c>
      <c r="B16" s="472">
        <v>-444</v>
      </c>
      <c r="C16" s="472">
        <v>-688</v>
      </c>
      <c r="D16" s="472">
        <v>-1489</v>
      </c>
      <c r="E16" s="472">
        <v>-1295</v>
      </c>
      <c r="F16" s="472"/>
      <c r="G16" s="472"/>
      <c r="H16" s="472">
        <v>-803</v>
      </c>
      <c r="I16" s="472">
        <v>-1208</v>
      </c>
      <c r="J16" s="472">
        <v>-1822</v>
      </c>
      <c r="K16" s="472">
        <v>-1579</v>
      </c>
      <c r="L16" s="472"/>
      <c r="M16" s="472"/>
      <c r="N16" s="472">
        <v>-813</v>
      </c>
      <c r="O16" s="472">
        <v>-487</v>
      </c>
      <c r="P16" s="472">
        <v>-676</v>
      </c>
      <c r="Q16" s="472">
        <v>274</v>
      </c>
      <c r="R16" s="472"/>
      <c r="S16" s="472"/>
      <c r="T16" s="472">
        <v>-541</v>
      </c>
      <c r="U16" s="472">
        <v>-145</v>
      </c>
      <c r="V16" s="472">
        <v>-139</v>
      </c>
      <c r="W16" s="472">
        <v>-34</v>
      </c>
      <c r="X16" s="472"/>
      <c r="Y16" s="472"/>
      <c r="Z16" s="472">
        <v>-657</v>
      </c>
      <c r="AA16" s="472">
        <v>-1179</v>
      </c>
      <c r="AB16" s="472">
        <v>-2195</v>
      </c>
      <c r="AC16" s="472">
        <v>-2586</v>
      </c>
      <c r="AD16" s="472"/>
      <c r="AE16" s="472"/>
      <c r="AF16" s="472">
        <v>-1032</v>
      </c>
      <c r="AG16" s="472">
        <v>-2003</v>
      </c>
      <c r="AH16" s="472">
        <v>-3088</v>
      </c>
      <c r="AI16" s="472">
        <v>-2589</v>
      </c>
      <c r="AJ16" s="472"/>
      <c r="AK16" s="472"/>
      <c r="AL16" s="472">
        <v>-1403</v>
      </c>
      <c r="AM16" s="472">
        <v>-1560</v>
      </c>
      <c r="AN16" s="472">
        <v>-1424</v>
      </c>
      <c r="AO16" s="472">
        <v>-364</v>
      </c>
      <c r="AP16" s="472"/>
      <c r="AQ16" s="472"/>
      <c r="AR16" s="472">
        <v>-439</v>
      </c>
      <c r="AS16" s="472">
        <v>-643</v>
      </c>
      <c r="AT16" s="472">
        <v>-781</v>
      </c>
    </row>
    <row r="17" spans="1:47" outlineLevel="1" x14ac:dyDescent="0.25">
      <c r="A17" s="476" t="s">
        <v>75</v>
      </c>
      <c r="B17" s="472">
        <v>732</v>
      </c>
      <c r="C17" s="472">
        <v>1113</v>
      </c>
      <c r="D17" s="472">
        <v>1371</v>
      </c>
      <c r="E17" s="472">
        <v>1478</v>
      </c>
      <c r="F17" s="472"/>
      <c r="G17" s="472"/>
      <c r="H17" s="472">
        <v>486</v>
      </c>
      <c r="I17" s="472">
        <v>545</v>
      </c>
      <c r="J17" s="472">
        <v>496</v>
      </c>
      <c r="K17" s="472">
        <v>709</v>
      </c>
      <c r="L17" s="472"/>
      <c r="M17" s="472"/>
      <c r="N17" s="472">
        <v>355</v>
      </c>
      <c r="O17" s="472">
        <v>134</v>
      </c>
      <c r="P17" s="472">
        <v>-669</v>
      </c>
      <c r="Q17" s="472">
        <v>-1025</v>
      </c>
      <c r="R17" s="472"/>
      <c r="S17" s="472"/>
      <c r="T17" s="472">
        <v>90</v>
      </c>
      <c r="U17" s="472">
        <v>-655</v>
      </c>
      <c r="V17" s="472">
        <v>-596</v>
      </c>
      <c r="W17" s="472">
        <v>98</v>
      </c>
      <c r="X17" s="472"/>
      <c r="Y17" s="472"/>
      <c r="Z17" s="472">
        <v>733</v>
      </c>
      <c r="AA17" s="472">
        <v>893</v>
      </c>
      <c r="AB17" s="472">
        <v>1232</v>
      </c>
      <c r="AC17" s="472">
        <v>2041</v>
      </c>
      <c r="AD17" s="472"/>
      <c r="AE17" s="472"/>
      <c r="AF17" s="472">
        <v>452</v>
      </c>
      <c r="AG17" s="472">
        <v>427</v>
      </c>
      <c r="AH17" s="472">
        <v>786</v>
      </c>
      <c r="AI17" s="472">
        <v>798</v>
      </c>
      <c r="AJ17" s="472"/>
      <c r="AK17" s="472"/>
      <c r="AL17" s="472">
        <v>477</v>
      </c>
      <c r="AM17" s="472">
        <v>34</v>
      </c>
      <c r="AN17" s="472">
        <v>-532</v>
      </c>
      <c r="AO17" s="472">
        <v>-754</v>
      </c>
      <c r="AP17" s="472"/>
      <c r="AQ17" s="472"/>
      <c r="AR17" s="472">
        <v>203</v>
      </c>
      <c r="AS17" s="472">
        <v>-21</v>
      </c>
      <c r="AT17" s="472">
        <v>-96</v>
      </c>
    </row>
    <row r="18" spans="1:47" outlineLevel="1" x14ac:dyDescent="0.25">
      <c r="A18" s="476" t="s">
        <v>505</v>
      </c>
      <c r="B18" s="472">
        <v>132</v>
      </c>
      <c r="C18" s="472">
        <v>251</v>
      </c>
      <c r="D18" s="472">
        <v>121</v>
      </c>
      <c r="E18" s="472">
        <v>175</v>
      </c>
      <c r="F18" s="472"/>
      <c r="G18" s="472"/>
      <c r="H18" s="472">
        <v>66</v>
      </c>
      <c r="I18" s="472">
        <v>-31</v>
      </c>
      <c r="J18" s="472">
        <v>-32</v>
      </c>
      <c r="K18" s="472">
        <v>101</v>
      </c>
      <c r="L18" s="472"/>
      <c r="M18" s="472"/>
      <c r="N18" s="472">
        <v>135</v>
      </c>
      <c r="O18" s="472">
        <v>151</v>
      </c>
      <c r="P18" s="472">
        <v>114</v>
      </c>
      <c r="Q18" s="472">
        <v>172</v>
      </c>
      <c r="R18" s="472"/>
      <c r="S18" s="472"/>
      <c r="T18" s="472">
        <v>-97</v>
      </c>
      <c r="U18" s="472">
        <v>-253</v>
      </c>
      <c r="V18" s="472">
        <v>-286</v>
      </c>
      <c r="W18" s="472">
        <v>-366</v>
      </c>
      <c r="X18" s="472"/>
      <c r="Y18" s="472"/>
      <c r="Z18" s="472">
        <v>84</v>
      </c>
      <c r="AA18" s="472">
        <v>22</v>
      </c>
      <c r="AB18" s="472">
        <v>46</v>
      </c>
      <c r="AC18" s="472">
        <v>196</v>
      </c>
      <c r="AD18" s="472"/>
      <c r="AE18" s="472"/>
      <c r="AF18" s="472">
        <v>-74</v>
      </c>
      <c r="AG18" s="472">
        <v>-80</v>
      </c>
      <c r="AH18" s="472">
        <v>70</v>
      </c>
      <c r="AI18" s="472">
        <v>317</v>
      </c>
      <c r="AJ18" s="472"/>
      <c r="AK18" s="472"/>
      <c r="AL18" s="472">
        <v>38</v>
      </c>
      <c r="AM18" s="472">
        <v>381</v>
      </c>
      <c r="AN18" s="472">
        <v>588</v>
      </c>
      <c r="AO18" s="472">
        <v>796</v>
      </c>
      <c r="AP18" s="472"/>
      <c r="AQ18" s="472"/>
      <c r="AR18" s="472">
        <v>-38</v>
      </c>
      <c r="AS18" s="472">
        <v>69</v>
      </c>
      <c r="AT18" s="472">
        <v>9</v>
      </c>
    </row>
    <row r="19" spans="1:47" outlineLevel="1" x14ac:dyDescent="0.25">
      <c r="A19" s="476" t="s">
        <v>504</v>
      </c>
      <c r="B19" s="472">
        <v>360</v>
      </c>
      <c r="C19" s="472">
        <v>641</v>
      </c>
      <c r="D19" s="472">
        <v>962</v>
      </c>
      <c r="E19" s="472">
        <v>1187</v>
      </c>
      <c r="F19" s="472"/>
      <c r="G19" s="472"/>
      <c r="H19" s="472">
        <v>-1110</v>
      </c>
      <c r="I19" s="472">
        <v>-768</v>
      </c>
      <c r="J19" s="472">
        <v>-418</v>
      </c>
      <c r="K19" s="472">
        <v>-162</v>
      </c>
      <c r="L19" s="472"/>
      <c r="M19" s="472"/>
      <c r="N19" s="472">
        <v>-1185</v>
      </c>
      <c r="O19" s="472">
        <v>-979</v>
      </c>
      <c r="P19" s="472">
        <v>-858</v>
      </c>
      <c r="Q19" s="472">
        <v>-757</v>
      </c>
      <c r="R19" s="472"/>
      <c r="S19" s="472"/>
      <c r="T19" s="472">
        <v>-722</v>
      </c>
      <c r="U19" s="472">
        <v>-648</v>
      </c>
      <c r="V19" s="472">
        <v>-547</v>
      </c>
      <c r="W19" s="472">
        <v>-544</v>
      </c>
      <c r="X19" s="472"/>
      <c r="Y19" s="472"/>
      <c r="Z19" s="472">
        <v>191</v>
      </c>
      <c r="AA19" s="472">
        <v>618</v>
      </c>
      <c r="AB19" s="472">
        <v>934</v>
      </c>
      <c r="AC19" s="472">
        <v>1107</v>
      </c>
      <c r="AD19" s="472"/>
      <c r="AE19" s="472"/>
      <c r="AF19" s="472">
        <v>-965</v>
      </c>
      <c r="AG19" s="472">
        <v>-445</v>
      </c>
      <c r="AH19" s="472">
        <v>15</v>
      </c>
      <c r="AI19" s="472">
        <v>90</v>
      </c>
      <c r="AJ19" s="472"/>
      <c r="AK19" s="472"/>
      <c r="AL19" s="472">
        <v>-950</v>
      </c>
      <c r="AM19" s="472">
        <v>-562</v>
      </c>
      <c r="AN19" s="472">
        <v>0</v>
      </c>
      <c r="AO19" s="472">
        <v>486</v>
      </c>
      <c r="AP19" s="472"/>
      <c r="AQ19" s="472"/>
      <c r="AR19" s="472">
        <v>-1454</v>
      </c>
      <c r="AS19" s="472">
        <v>-1056</v>
      </c>
      <c r="AT19" s="472">
        <v>-671</v>
      </c>
    </row>
    <row r="20" spans="1:47" outlineLevel="1" x14ac:dyDescent="0.25">
      <c r="A20" s="476" t="s">
        <v>503</v>
      </c>
      <c r="B20" s="472">
        <v>234</v>
      </c>
      <c r="C20" s="472">
        <v>374</v>
      </c>
      <c r="D20" s="472">
        <v>358</v>
      </c>
      <c r="E20" s="472">
        <v>-8</v>
      </c>
      <c r="F20" s="472"/>
      <c r="G20" s="472"/>
      <c r="H20" s="472">
        <v>-46</v>
      </c>
      <c r="I20" s="472">
        <v>-54</v>
      </c>
      <c r="J20" s="472">
        <v>59</v>
      </c>
      <c r="K20" s="472">
        <v>-183</v>
      </c>
      <c r="L20" s="472"/>
      <c r="M20" s="472"/>
      <c r="N20" s="472">
        <v>105</v>
      </c>
      <c r="O20" s="472">
        <v>14</v>
      </c>
      <c r="P20" s="472">
        <v>169</v>
      </c>
      <c r="Q20" s="472">
        <v>-10</v>
      </c>
      <c r="R20" s="472"/>
      <c r="S20" s="472"/>
      <c r="T20" s="472">
        <v>116</v>
      </c>
      <c r="U20" s="472">
        <v>-2</v>
      </c>
      <c r="V20" s="472">
        <v>13</v>
      </c>
      <c r="W20" s="472">
        <v>-126</v>
      </c>
      <c r="X20" s="472"/>
      <c r="Y20" s="472"/>
      <c r="Z20" s="472">
        <v>58</v>
      </c>
      <c r="AA20" s="472">
        <v>49</v>
      </c>
      <c r="AB20" s="472">
        <v>39</v>
      </c>
      <c r="AC20" s="472">
        <v>34</v>
      </c>
      <c r="AD20" s="472"/>
      <c r="AE20" s="472"/>
      <c r="AF20" s="472">
        <v>311</v>
      </c>
      <c r="AG20" s="472">
        <v>514</v>
      </c>
      <c r="AH20" s="472">
        <v>751</v>
      </c>
      <c r="AI20" s="472">
        <v>768</v>
      </c>
      <c r="AJ20" s="472"/>
      <c r="AK20" s="472"/>
      <c r="AL20" s="472">
        <v>365</v>
      </c>
      <c r="AM20" s="472">
        <v>284</v>
      </c>
      <c r="AN20" s="472">
        <v>516</v>
      </c>
      <c r="AO20" s="472">
        <v>80</v>
      </c>
      <c r="AP20" s="472"/>
      <c r="AQ20" s="472"/>
      <c r="AR20" s="472">
        <v>279</v>
      </c>
      <c r="AS20" s="472">
        <v>341</v>
      </c>
      <c r="AT20" s="472">
        <v>476</v>
      </c>
    </row>
    <row r="21" spans="1:47" outlineLevel="1" x14ac:dyDescent="0.25">
      <c r="A21" s="476" t="s">
        <v>502</v>
      </c>
      <c r="B21" s="472">
        <v>-261</v>
      </c>
      <c r="C21" s="472">
        <v>-280</v>
      </c>
      <c r="D21" s="472">
        <v>-137</v>
      </c>
      <c r="E21" s="472">
        <v>-192</v>
      </c>
      <c r="F21" s="472"/>
      <c r="G21" s="472"/>
      <c r="H21" s="472">
        <v>165</v>
      </c>
      <c r="I21" s="472">
        <v>174</v>
      </c>
      <c r="J21" s="472">
        <v>394</v>
      </c>
      <c r="K21" s="472">
        <v>41</v>
      </c>
      <c r="L21" s="472"/>
      <c r="M21" s="472"/>
      <c r="N21" s="472">
        <v>-7</v>
      </c>
      <c r="O21" s="472">
        <v>-120</v>
      </c>
      <c r="P21" s="472">
        <v>19</v>
      </c>
      <c r="Q21" s="472">
        <v>-93</v>
      </c>
      <c r="R21" s="472"/>
      <c r="S21" s="472"/>
      <c r="T21" s="472">
        <v>-50</v>
      </c>
      <c r="U21" s="472">
        <v>-7</v>
      </c>
      <c r="V21" s="472">
        <v>-15</v>
      </c>
      <c r="W21" s="472">
        <v>-201</v>
      </c>
      <c r="X21" s="472"/>
      <c r="Y21" s="472"/>
      <c r="Z21" s="472">
        <v>56</v>
      </c>
      <c r="AA21" s="472">
        <v>-47</v>
      </c>
      <c r="AB21" s="472">
        <v>138</v>
      </c>
      <c r="AC21" s="472">
        <v>-97</v>
      </c>
      <c r="AD21" s="472"/>
      <c r="AE21" s="472"/>
      <c r="AF21" s="472">
        <v>99</v>
      </c>
      <c r="AG21" s="472">
        <v>86</v>
      </c>
      <c r="AH21" s="472">
        <v>57</v>
      </c>
      <c r="AI21" s="472">
        <v>-210</v>
      </c>
      <c r="AJ21" s="472"/>
      <c r="AK21" s="472"/>
      <c r="AL21" s="472">
        <v>107</v>
      </c>
      <c r="AM21" s="472">
        <v>81</v>
      </c>
      <c r="AN21" s="472">
        <v>128</v>
      </c>
      <c r="AO21" s="472">
        <v>-95</v>
      </c>
      <c r="AP21" s="472"/>
      <c r="AQ21" s="472"/>
      <c r="AR21" s="472">
        <v>60</v>
      </c>
      <c r="AS21" s="472">
        <v>20</v>
      </c>
      <c r="AT21" s="472">
        <v>120</v>
      </c>
    </row>
    <row r="22" spans="1:47" outlineLevel="1" x14ac:dyDescent="0.25">
      <c r="A22" s="476" t="s">
        <v>501</v>
      </c>
      <c r="B22" s="472">
        <v>-64</v>
      </c>
      <c r="C22" s="472">
        <v>38</v>
      </c>
      <c r="D22" s="472">
        <v>-373</v>
      </c>
      <c r="E22" s="472">
        <v>-388</v>
      </c>
      <c r="F22" s="472"/>
      <c r="G22" s="472"/>
      <c r="H22" s="472">
        <v>7</v>
      </c>
      <c r="I22" s="472">
        <v>-57</v>
      </c>
      <c r="J22" s="472">
        <v>-1271</v>
      </c>
      <c r="K22" s="472">
        <v>-1385</v>
      </c>
      <c r="L22" s="472"/>
      <c r="M22" s="472"/>
      <c r="N22" s="472">
        <v>79</v>
      </c>
      <c r="O22" s="472">
        <v>-35</v>
      </c>
      <c r="P22" s="472">
        <v>-1592</v>
      </c>
      <c r="Q22" s="472">
        <v>-1662</v>
      </c>
      <c r="R22" s="472"/>
      <c r="S22" s="472"/>
      <c r="T22" s="472">
        <v>-173</v>
      </c>
      <c r="U22" s="472">
        <v>-229</v>
      </c>
      <c r="V22" s="472">
        <v>-512</v>
      </c>
      <c r="W22" s="472">
        <v>-686</v>
      </c>
      <c r="X22" s="472"/>
      <c r="Y22" s="472"/>
      <c r="Z22" s="472">
        <v>-116</v>
      </c>
      <c r="AA22" s="472">
        <v>-133</v>
      </c>
      <c r="AB22" s="472">
        <v>-2</v>
      </c>
      <c r="AC22" s="472">
        <v>-83</v>
      </c>
      <c r="AD22" s="472"/>
      <c r="AE22" s="472"/>
      <c r="AF22" s="472">
        <v>-49</v>
      </c>
      <c r="AG22" s="472">
        <v>-322</v>
      </c>
      <c r="AH22" s="472">
        <v>-623</v>
      </c>
      <c r="AI22" s="472">
        <v>-754</v>
      </c>
      <c r="AJ22" s="472"/>
      <c r="AK22" s="472"/>
      <c r="AL22" s="472">
        <v>296</v>
      </c>
      <c r="AM22" s="472">
        <v>366</v>
      </c>
      <c r="AN22" s="472">
        <v>338</v>
      </c>
      <c r="AO22" s="472">
        <v>439</v>
      </c>
      <c r="AP22" s="472"/>
      <c r="AQ22" s="472"/>
      <c r="AR22" s="472">
        <v>267</v>
      </c>
      <c r="AS22" s="472">
        <v>-118</v>
      </c>
      <c r="AT22" s="472">
        <v>-37</v>
      </c>
    </row>
    <row r="23" spans="1:47" outlineLevel="1" x14ac:dyDescent="0.25">
      <c r="A23" s="476" t="s">
        <v>500</v>
      </c>
      <c r="B23" s="472">
        <v>1542</v>
      </c>
      <c r="C23" s="472">
        <v>3924</v>
      </c>
      <c r="D23" s="472">
        <v>5165</v>
      </c>
      <c r="E23" s="472">
        <v>5706</v>
      </c>
      <c r="F23" s="472"/>
      <c r="G23" s="472"/>
      <c r="H23" s="472">
        <v>935</v>
      </c>
      <c r="I23" s="472">
        <v>3083</v>
      </c>
      <c r="J23" s="472">
        <v>4475</v>
      </c>
      <c r="K23" s="472">
        <v>6558</v>
      </c>
      <c r="L23" s="472"/>
      <c r="M23" s="472"/>
      <c r="N23" s="472">
        <v>1121</v>
      </c>
      <c r="O23" s="472">
        <v>3709</v>
      </c>
      <c r="P23" s="472">
        <v>4478</v>
      </c>
      <c r="Q23" s="472">
        <v>6912</v>
      </c>
      <c r="R23" s="472"/>
      <c r="S23" s="472"/>
      <c r="T23" s="472">
        <v>1130</v>
      </c>
      <c r="U23" s="472">
        <v>2521</v>
      </c>
      <c r="V23" s="472">
        <v>4255</v>
      </c>
      <c r="W23" s="472">
        <v>6327</v>
      </c>
      <c r="X23" s="472"/>
      <c r="Y23" s="472"/>
      <c r="Z23" s="472">
        <v>1928</v>
      </c>
      <c r="AA23" s="472">
        <v>4046</v>
      </c>
      <c r="AB23" s="472">
        <v>5786</v>
      </c>
      <c r="AC23" s="472">
        <v>7198</v>
      </c>
      <c r="AD23" s="472"/>
      <c r="AE23" s="472"/>
      <c r="AF23" s="472">
        <v>313</v>
      </c>
      <c r="AG23" s="472">
        <v>2546</v>
      </c>
      <c r="AH23" s="472">
        <v>5027</v>
      </c>
      <c r="AI23" s="472">
        <v>7766</v>
      </c>
      <c r="AJ23" s="472"/>
      <c r="AK23" s="472"/>
      <c r="AL23" s="472">
        <v>1573</v>
      </c>
      <c r="AM23" s="472">
        <v>4822</v>
      </c>
      <c r="AN23" s="472">
        <v>8882</v>
      </c>
      <c r="AO23" s="472">
        <v>12885</v>
      </c>
      <c r="AP23" s="472"/>
      <c r="AQ23" s="472"/>
      <c r="AR23" s="472">
        <v>2052</v>
      </c>
      <c r="AS23" s="472">
        <v>5073</v>
      </c>
      <c r="AT23" s="472">
        <v>8642</v>
      </c>
    </row>
    <row r="24" spans="1:47" x14ac:dyDescent="0.25">
      <c r="A24" s="476"/>
      <c r="B24" s="472"/>
      <c r="C24" s="472"/>
      <c r="D24" s="472"/>
      <c r="E24" s="472"/>
      <c r="F24" s="472"/>
      <c r="G24" s="472"/>
      <c r="H24" s="472"/>
      <c r="I24" s="472"/>
      <c r="J24" s="472"/>
      <c r="K24" s="472"/>
      <c r="L24" s="472"/>
      <c r="M24" s="472"/>
      <c r="N24" s="472"/>
      <c r="O24" s="472"/>
      <c r="P24" s="472"/>
      <c r="Q24" s="472"/>
      <c r="R24" s="472"/>
      <c r="S24" s="472"/>
      <c r="T24" s="472"/>
      <c r="U24" s="472"/>
      <c r="V24" s="472"/>
      <c r="W24" s="472"/>
      <c r="X24" s="472"/>
      <c r="Y24" s="472"/>
      <c r="Z24" s="472"/>
      <c r="AA24" s="472"/>
      <c r="AB24" s="472"/>
      <c r="AC24" s="472"/>
      <c r="AD24" s="472"/>
      <c r="AE24" s="472"/>
      <c r="AF24" s="472"/>
      <c r="AG24" s="472"/>
      <c r="AH24" s="472"/>
      <c r="AI24" s="472"/>
      <c r="AJ24" s="472"/>
      <c r="AK24" s="472"/>
      <c r="AL24" s="472"/>
      <c r="AM24" s="472"/>
      <c r="AN24" s="472"/>
      <c r="AO24" s="472"/>
      <c r="AP24" s="472"/>
      <c r="AQ24" s="472"/>
      <c r="AR24" s="472"/>
      <c r="AS24" s="472"/>
      <c r="AT24" s="472"/>
    </row>
    <row r="25" spans="1:47" x14ac:dyDescent="0.25">
      <c r="A25" s="476" t="s">
        <v>514</v>
      </c>
      <c r="B25" s="472">
        <f t="shared" ref="B25:B43" si="0">B5</f>
        <v>194</v>
      </c>
      <c r="C25" s="472">
        <f t="shared" ref="C25:E43" si="1">C5-B5</f>
        <v>803</v>
      </c>
      <c r="D25" s="472">
        <f t="shared" si="1"/>
        <v>1061</v>
      </c>
      <c r="E25" s="472">
        <f t="shared" si="1"/>
        <v>-1299</v>
      </c>
      <c r="F25" s="472">
        <f t="shared" ref="F25:F43" si="2">SUM(B25:E25)</f>
        <v>759</v>
      </c>
      <c r="G25" s="472"/>
      <c r="H25" s="472">
        <f t="shared" ref="H25:H43" si="3">H5</f>
        <v>1667</v>
      </c>
      <c r="I25" s="472">
        <f t="shared" ref="I25:K43" si="4">I5-H5</f>
        <v>1705</v>
      </c>
      <c r="J25" s="472">
        <f t="shared" si="4"/>
        <v>1727</v>
      </c>
      <c r="K25" s="472">
        <f t="shared" si="4"/>
        <v>1049</v>
      </c>
      <c r="L25" s="472">
        <f t="shared" ref="L25:L43" si="5">SUM(H25:K25)</f>
        <v>6148</v>
      </c>
      <c r="M25" s="472"/>
      <c r="N25" s="472">
        <f t="shared" ref="N25:N43" si="6">N5</f>
        <v>1884</v>
      </c>
      <c r="O25" s="472">
        <f t="shared" ref="O25:Q43" si="7">O5-N5</f>
        <v>1619</v>
      </c>
      <c r="P25" s="472">
        <f t="shared" si="7"/>
        <v>1494</v>
      </c>
      <c r="Q25" s="472">
        <f t="shared" si="7"/>
        <v>1097</v>
      </c>
      <c r="R25" s="472">
        <f t="shared" ref="R25:R43" si="8">SUM(N25:Q25)</f>
        <v>6094</v>
      </c>
      <c r="S25" s="472"/>
      <c r="T25" s="472">
        <f t="shared" ref="T25:T43" si="9">T5</f>
        <v>1093</v>
      </c>
      <c r="U25" s="472">
        <f t="shared" ref="U25:W43" si="10">U5-T5</f>
        <v>459</v>
      </c>
      <c r="V25" s="472">
        <f t="shared" si="10"/>
        <v>671</v>
      </c>
      <c r="W25" s="472">
        <f t="shared" si="10"/>
        <v>780</v>
      </c>
      <c r="X25" s="472">
        <f t="shared" ref="X25:X43" si="11">SUM(T25:W25)</f>
        <v>3003</v>
      </c>
      <c r="Y25" s="472"/>
      <c r="Z25" s="472">
        <f t="shared" ref="Z25:Z43" si="12">Z5</f>
        <v>1531</v>
      </c>
      <c r="AA25" s="472">
        <f t="shared" ref="AA25:AC43" si="13">AA5-Z5</f>
        <v>1414</v>
      </c>
      <c r="AB25" s="472">
        <f t="shared" si="13"/>
        <v>1428</v>
      </c>
      <c r="AC25" s="472">
        <f t="shared" si="13"/>
        <v>2120</v>
      </c>
      <c r="AD25" s="472">
        <f t="shared" ref="AD25:AD43" si="14">SUM(Z25:AC25)</f>
        <v>6493</v>
      </c>
      <c r="AE25" s="472"/>
      <c r="AF25" s="472">
        <f t="shared" ref="AF25:AF43" si="15">AF5</f>
        <v>1537</v>
      </c>
      <c r="AG25" s="472">
        <f t="shared" ref="AG25:AI43" si="16">AG5-AF5</f>
        <v>1673</v>
      </c>
      <c r="AH25" s="472">
        <f t="shared" si="16"/>
        <v>2040</v>
      </c>
      <c r="AI25" s="472">
        <f t="shared" si="16"/>
        <v>1454</v>
      </c>
      <c r="AJ25" s="472">
        <f t="shared" ref="AJ25:AJ43" si="17">SUM(AF25:AI25)</f>
        <v>6704</v>
      </c>
      <c r="AK25" s="472"/>
      <c r="AL25" s="472">
        <f t="shared" ref="AL25:AL43" si="18">AL5</f>
        <v>1942</v>
      </c>
      <c r="AM25" s="472">
        <f t="shared" ref="AM25:AO43" si="19">AM5-AL5</f>
        <v>2924</v>
      </c>
      <c r="AN25" s="472">
        <f t="shared" si="19"/>
        <v>2793</v>
      </c>
      <c r="AO25" s="472">
        <f t="shared" si="19"/>
        <v>2673</v>
      </c>
      <c r="AP25" s="472">
        <f t="shared" ref="AP25:AP43" si="20">SUM(AL25:AO25)</f>
        <v>10332</v>
      </c>
      <c r="AQ25" s="472"/>
      <c r="AR25" s="472">
        <f t="shared" ref="AR25:AR43" si="21">AR5</f>
        <v>2854</v>
      </c>
      <c r="AS25" s="472">
        <f t="shared" ref="AS25:AT43" si="22">AS5-AR5</f>
        <v>2681</v>
      </c>
      <c r="AT25" s="472">
        <f t="shared" si="22"/>
        <v>2463</v>
      </c>
      <c r="AU25" s="472"/>
    </row>
    <row r="26" spans="1:47" x14ac:dyDescent="0.25">
      <c r="A26" s="496" t="s">
        <v>513</v>
      </c>
      <c r="B26" s="472">
        <f t="shared" si="0"/>
        <v>0</v>
      </c>
      <c r="C26" s="472">
        <f t="shared" si="1"/>
        <v>0</v>
      </c>
      <c r="D26" s="472">
        <f t="shared" si="1"/>
        <v>0</v>
      </c>
      <c r="E26" s="472">
        <f t="shared" si="1"/>
        <v>0</v>
      </c>
      <c r="F26" s="472">
        <f t="shared" si="2"/>
        <v>0</v>
      </c>
      <c r="G26" s="472"/>
      <c r="H26" s="472">
        <f t="shared" si="3"/>
        <v>0</v>
      </c>
      <c r="I26" s="472">
        <f t="shared" si="4"/>
        <v>0</v>
      </c>
      <c r="J26" s="472">
        <f t="shared" si="4"/>
        <v>0</v>
      </c>
      <c r="K26" s="472">
        <f t="shared" si="4"/>
        <v>0</v>
      </c>
      <c r="L26" s="472">
        <f t="shared" si="5"/>
        <v>0</v>
      </c>
      <c r="M26" s="472"/>
      <c r="N26" s="472">
        <f t="shared" si="6"/>
        <v>0</v>
      </c>
      <c r="O26" s="472">
        <f t="shared" si="7"/>
        <v>0</v>
      </c>
      <c r="P26" s="472">
        <f t="shared" si="7"/>
        <v>0</v>
      </c>
      <c r="Q26" s="472">
        <f t="shared" si="7"/>
        <v>0</v>
      </c>
      <c r="R26" s="472">
        <f t="shared" si="8"/>
        <v>0</v>
      </c>
      <c r="S26" s="472"/>
      <c r="T26" s="472">
        <f t="shared" si="9"/>
        <v>0</v>
      </c>
      <c r="U26" s="472">
        <f t="shared" si="10"/>
        <v>0</v>
      </c>
      <c r="V26" s="472">
        <f t="shared" si="10"/>
        <v>0</v>
      </c>
      <c r="W26" s="472">
        <f t="shared" si="10"/>
        <v>0</v>
      </c>
      <c r="X26" s="472">
        <f t="shared" si="11"/>
        <v>0</v>
      </c>
      <c r="Y26" s="472"/>
      <c r="Z26" s="472">
        <f t="shared" si="12"/>
        <v>0</v>
      </c>
      <c r="AA26" s="472">
        <f t="shared" si="13"/>
        <v>0</v>
      </c>
      <c r="AB26" s="472">
        <f t="shared" si="13"/>
        <v>0</v>
      </c>
      <c r="AC26" s="472">
        <f t="shared" si="13"/>
        <v>0</v>
      </c>
      <c r="AD26" s="472">
        <f t="shared" si="14"/>
        <v>0</v>
      </c>
      <c r="AE26" s="472"/>
      <c r="AF26" s="472">
        <f t="shared" si="15"/>
        <v>0</v>
      </c>
      <c r="AG26" s="472">
        <f t="shared" si="16"/>
        <v>0</v>
      </c>
      <c r="AH26" s="472">
        <f t="shared" si="16"/>
        <v>0</v>
      </c>
      <c r="AI26" s="472">
        <f t="shared" si="16"/>
        <v>0</v>
      </c>
      <c r="AJ26" s="472">
        <f t="shared" si="17"/>
        <v>0</v>
      </c>
      <c r="AK26" s="472"/>
      <c r="AL26" s="472">
        <f t="shared" si="18"/>
        <v>0</v>
      </c>
      <c r="AM26" s="472">
        <f t="shared" si="19"/>
        <v>0</v>
      </c>
      <c r="AN26" s="472">
        <f t="shared" si="19"/>
        <v>0</v>
      </c>
      <c r="AO26" s="472">
        <f t="shared" si="19"/>
        <v>0</v>
      </c>
      <c r="AP26" s="472">
        <f t="shared" si="20"/>
        <v>0</v>
      </c>
      <c r="AQ26" s="472"/>
      <c r="AR26" s="472">
        <f t="shared" si="21"/>
        <v>0</v>
      </c>
      <c r="AS26" s="472">
        <f t="shared" si="22"/>
        <v>0</v>
      </c>
      <c r="AT26" s="472">
        <f t="shared" si="22"/>
        <v>0</v>
      </c>
      <c r="AU26" s="472"/>
    </row>
    <row r="27" spans="1:47" x14ac:dyDescent="0.25">
      <c r="A27" s="496" t="s">
        <v>512</v>
      </c>
      <c r="B27" s="472">
        <f t="shared" si="0"/>
        <v>0</v>
      </c>
      <c r="C27" s="472">
        <f t="shared" si="1"/>
        <v>0</v>
      </c>
      <c r="D27" s="472">
        <f t="shared" si="1"/>
        <v>0</v>
      </c>
      <c r="E27" s="472">
        <f t="shared" si="1"/>
        <v>0</v>
      </c>
      <c r="F27" s="472">
        <f t="shared" si="2"/>
        <v>0</v>
      </c>
      <c r="G27" s="472"/>
      <c r="H27" s="472">
        <f t="shared" si="3"/>
        <v>0</v>
      </c>
      <c r="I27" s="472">
        <f t="shared" si="4"/>
        <v>0</v>
      </c>
      <c r="J27" s="472">
        <f t="shared" si="4"/>
        <v>0</v>
      </c>
      <c r="K27" s="472">
        <f t="shared" si="4"/>
        <v>0</v>
      </c>
      <c r="L27" s="472">
        <f t="shared" si="5"/>
        <v>0</v>
      </c>
      <c r="M27" s="472"/>
      <c r="N27" s="472">
        <f t="shared" si="6"/>
        <v>0</v>
      </c>
      <c r="O27" s="472">
        <f t="shared" si="7"/>
        <v>0</v>
      </c>
      <c r="P27" s="472">
        <f t="shared" si="7"/>
        <v>0</v>
      </c>
      <c r="Q27" s="472">
        <f t="shared" si="7"/>
        <v>0</v>
      </c>
      <c r="R27" s="472">
        <f t="shared" si="8"/>
        <v>0</v>
      </c>
      <c r="S27" s="472"/>
      <c r="T27" s="472">
        <f t="shared" si="9"/>
        <v>0</v>
      </c>
      <c r="U27" s="472">
        <f t="shared" si="10"/>
        <v>0</v>
      </c>
      <c r="V27" s="472">
        <f t="shared" si="10"/>
        <v>0</v>
      </c>
      <c r="W27" s="472">
        <f t="shared" si="10"/>
        <v>0</v>
      </c>
      <c r="X27" s="472">
        <f t="shared" si="11"/>
        <v>0</v>
      </c>
      <c r="Y27" s="472"/>
      <c r="Z27" s="472">
        <f t="shared" si="12"/>
        <v>0</v>
      </c>
      <c r="AA27" s="472">
        <f t="shared" si="13"/>
        <v>0</v>
      </c>
      <c r="AB27" s="472">
        <f t="shared" si="13"/>
        <v>0</v>
      </c>
      <c r="AC27" s="472">
        <f t="shared" si="13"/>
        <v>0</v>
      </c>
      <c r="AD27" s="472">
        <f t="shared" si="14"/>
        <v>0</v>
      </c>
      <c r="AE27" s="472"/>
      <c r="AF27" s="472">
        <f t="shared" si="15"/>
        <v>0</v>
      </c>
      <c r="AG27" s="472">
        <f t="shared" si="16"/>
        <v>0</v>
      </c>
      <c r="AH27" s="472">
        <f t="shared" si="16"/>
        <v>0</v>
      </c>
      <c r="AI27" s="472">
        <f t="shared" si="16"/>
        <v>0</v>
      </c>
      <c r="AJ27" s="472">
        <f t="shared" si="17"/>
        <v>0</v>
      </c>
      <c r="AK27" s="472"/>
      <c r="AL27" s="472">
        <f t="shared" si="18"/>
        <v>0</v>
      </c>
      <c r="AM27" s="472">
        <f t="shared" si="19"/>
        <v>0</v>
      </c>
      <c r="AN27" s="472">
        <f t="shared" si="19"/>
        <v>0</v>
      </c>
      <c r="AO27" s="472">
        <f t="shared" si="19"/>
        <v>0</v>
      </c>
      <c r="AP27" s="472">
        <f t="shared" si="20"/>
        <v>0</v>
      </c>
      <c r="AQ27" s="472"/>
      <c r="AR27" s="472">
        <f t="shared" si="21"/>
        <v>0</v>
      </c>
      <c r="AS27" s="472">
        <f t="shared" si="22"/>
        <v>0</v>
      </c>
      <c r="AT27" s="472">
        <f t="shared" si="22"/>
        <v>0</v>
      </c>
      <c r="AU27" s="472"/>
    </row>
    <row r="28" spans="1:47" x14ac:dyDescent="0.25">
      <c r="A28" s="476" t="s">
        <v>511</v>
      </c>
      <c r="B28" s="472">
        <f t="shared" si="0"/>
        <v>710</v>
      </c>
      <c r="C28" s="472">
        <f t="shared" si="1"/>
        <v>720</v>
      </c>
      <c r="D28" s="472">
        <f t="shared" si="1"/>
        <v>723</v>
      </c>
      <c r="E28" s="472">
        <f t="shared" si="1"/>
        <v>724</v>
      </c>
      <c r="F28" s="472">
        <f t="shared" si="2"/>
        <v>2877</v>
      </c>
      <c r="G28" s="472"/>
      <c r="H28" s="472">
        <f t="shared" si="3"/>
        <v>681</v>
      </c>
      <c r="I28" s="472">
        <f t="shared" si="4"/>
        <v>686</v>
      </c>
      <c r="J28" s="472">
        <f t="shared" si="4"/>
        <v>698</v>
      </c>
      <c r="K28" s="472">
        <f t="shared" si="4"/>
        <v>701</v>
      </c>
      <c r="L28" s="472">
        <f t="shared" si="5"/>
        <v>2766</v>
      </c>
      <c r="M28" s="472"/>
      <c r="N28" s="472">
        <f t="shared" si="6"/>
        <v>641</v>
      </c>
      <c r="O28" s="472">
        <f t="shared" si="7"/>
        <v>647</v>
      </c>
      <c r="P28" s="472">
        <f t="shared" si="7"/>
        <v>645</v>
      </c>
      <c r="Q28" s="472">
        <f t="shared" si="7"/>
        <v>644</v>
      </c>
      <c r="R28" s="472">
        <f t="shared" si="8"/>
        <v>2577</v>
      </c>
      <c r="S28" s="472"/>
      <c r="T28" s="472">
        <f t="shared" si="9"/>
        <v>614</v>
      </c>
      <c r="U28" s="472">
        <f t="shared" si="10"/>
        <v>608</v>
      </c>
      <c r="V28" s="472">
        <f t="shared" si="10"/>
        <v>593</v>
      </c>
      <c r="W28" s="472">
        <f t="shared" si="10"/>
        <v>617</v>
      </c>
      <c r="X28" s="472">
        <f t="shared" si="11"/>
        <v>2432</v>
      </c>
      <c r="Y28" s="472"/>
      <c r="Z28" s="472">
        <f t="shared" si="12"/>
        <v>586</v>
      </c>
      <c r="AA28" s="472">
        <f t="shared" si="13"/>
        <v>587</v>
      </c>
      <c r="AB28" s="472">
        <f t="shared" si="13"/>
        <v>593</v>
      </c>
      <c r="AC28" s="472">
        <f t="shared" si="13"/>
        <v>586</v>
      </c>
      <c r="AD28" s="472">
        <f t="shared" si="14"/>
        <v>2352</v>
      </c>
      <c r="AE28" s="472"/>
      <c r="AF28" s="472">
        <f t="shared" si="15"/>
        <v>557</v>
      </c>
      <c r="AG28" s="472">
        <f t="shared" si="16"/>
        <v>553</v>
      </c>
      <c r="AH28" s="472">
        <f t="shared" si="16"/>
        <v>551</v>
      </c>
      <c r="AI28" s="472">
        <f t="shared" si="16"/>
        <v>558</v>
      </c>
      <c r="AJ28" s="472">
        <f t="shared" si="17"/>
        <v>2219</v>
      </c>
      <c r="AK28" s="472"/>
      <c r="AL28" s="472">
        <f t="shared" si="18"/>
        <v>532</v>
      </c>
      <c r="AM28" s="472">
        <f t="shared" si="19"/>
        <v>542</v>
      </c>
      <c r="AN28" s="472">
        <f t="shared" si="19"/>
        <v>525</v>
      </c>
      <c r="AO28" s="472">
        <f t="shared" si="19"/>
        <v>545</v>
      </c>
      <c r="AP28" s="472">
        <f t="shared" si="20"/>
        <v>2144</v>
      </c>
      <c r="AQ28" s="472"/>
      <c r="AR28" s="472">
        <f t="shared" si="21"/>
        <v>524</v>
      </c>
      <c r="AS28" s="472">
        <f t="shared" si="22"/>
        <v>531</v>
      </c>
      <c r="AT28" s="472">
        <f t="shared" si="22"/>
        <v>543</v>
      </c>
      <c r="AU28" s="472"/>
    </row>
    <row r="29" spans="1:47" x14ac:dyDescent="0.25">
      <c r="A29" s="476" t="s">
        <v>510</v>
      </c>
      <c r="B29" s="472">
        <f t="shared" si="0"/>
        <v>0</v>
      </c>
      <c r="C29" s="472">
        <f t="shared" si="1"/>
        <v>0</v>
      </c>
      <c r="D29" s="472">
        <f t="shared" si="1"/>
        <v>0</v>
      </c>
      <c r="E29" s="472">
        <f t="shared" si="1"/>
        <v>301</v>
      </c>
      <c r="F29" s="472">
        <f t="shared" si="2"/>
        <v>301</v>
      </c>
      <c r="G29" s="472"/>
      <c r="H29" s="472">
        <f t="shared" si="3"/>
        <v>0</v>
      </c>
      <c r="I29" s="472">
        <f t="shared" si="4"/>
        <v>0</v>
      </c>
      <c r="J29" s="472">
        <f t="shared" si="4"/>
        <v>0</v>
      </c>
      <c r="K29" s="472">
        <f t="shared" si="4"/>
        <v>495</v>
      </c>
      <c r="L29" s="472">
        <f t="shared" si="5"/>
        <v>495</v>
      </c>
      <c r="M29" s="472"/>
      <c r="N29" s="472">
        <f t="shared" si="6"/>
        <v>0</v>
      </c>
      <c r="O29" s="472">
        <f t="shared" si="7"/>
        <v>0</v>
      </c>
      <c r="P29" s="472">
        <f t="shared" si="7"/>
        <v>0</v>
      </c>
      <c r="Q29" s="472">
        <f t="shared" si="7"/>
        <v>468</v>
      </c>
      <c r="R29" s="472">
        <f t="shared" si="8"/>
        <v>468</v>
      </c>
      <c r="S29" s="472"/>
      <c r="T29" s="472">
        <f t="shared" si="9"/>
        <v>-254</v>
      </c>
      <c r="U29" s="472">
        <f t="shared" si="10"/>
        <v>122</v>
      </c>
      <c r="V29" s="472">
        <f t="shared" si="10"/>
        <v>77</v>
      </c>
      <c r="W29" s="472">
        <f t="shared" si="10"/>
        <v>438</v>
      </c>
      <c r="X29" s="472">
        <f t="shared" si="11"/>
        <v>383</v>
      </c>
      <c r="Y29" s="472"/>
      <c r="Z29" s="472">
        <f t="shared" si="12"/>
        <v>0</v>
      </c>
      <c r="AA29" s="472">
        <f t="shared" si="13"/>
        <v>0</v>
      </c>
      <c r="AB29" s="472">
        <f t="shared" si="13"/>
        <v>0</v>
      </c>
      <c r="AC29" s="472">
        <f t="shared" si="13"/>
        <v>-833</v>
      </c>
      <c r="AD29" s="472">
        <f t="shared" si="14"/>
        <v>-833</v>
      </c>
      <c r="AE29" s="472"/>
      <c r="AF29" s="472">
        <f t="shared" si="15"/>
        <v>0</v>
      </c>
      <c r="AG29" s="472">
        <f t="shared" si="16"/>
        <v>0</v>
      </c>
      <c r="AH29" s="472">
        <f t="shared" si="16"/>
        <v>0</v>
      </c>
      <c r="AI29" s="472">
        <f t="shared" si="16"/>
        <v>-606</v>
      </c>
      <c r="AJ29" s="472">
        <f t="shared" si="17"/>
        <v>-606</v>
      </c>
      <c r="AK29" s="472"/>
      <c r="AL29" s="472">
        <f t="shared" si="18"/>
        <v>0</v>
      </c>
      <c r="AM29" s="472">
        <f t="shared" si="19"/>
        <v>0</v>
      </c>
      <c r="AN29" s="472">
        <f t="shared" si="19"/>
        <v>0</v>
      </c>
      <c r="AO29" s="472">
        <f t="shared" si="19"/>
        <v>-97</v>
      </c>
      <c r="AP29" s="472">
        <f t="shared" si="20"/>
        <v>-97</v>
      </c>
      <c r="AQ29" s="472"/>
      <c r="AR29" s="472">
        <f t="shared" si="21"/>
        <v>0</v>
      </c>
      <c r="AS29" s="472">
        <f t="shared" si="22"/>
        <v>0</v>
      </c>
      <c r="AT29" s="472">
        <f t="shared" si="22"/>
        <v>0</v>
      </c>
      <c r="AU29" s="472"/>
    </row>
    <row r="30" spans="1:47" x14ac:dyDescent="0.25">
      <c r="A30" s="476" t="s">
        <v>551</v>
      </c>
      <c r="B30" s="472">
        <f t="shared" si="0"/>
        <v>0</v>
      </c>
      <c r="C30" s="472">
        <f t="shared" si="1"/>
        <v>0</v>
      </c>
      <c r="D30" s="472">
        <f t="shared" si="1"/>
        <v>0</v>
      </c>
      <c r="E30" s="472">
        <f t="shared" si="1"/>
        <v>1213</v>
      </c>
      <c r="F30" s="472">
        <f t="shared" si="2"/>
        <v>1213</v>
      </c>
      <c r="G30" s="472"/>
      <c r="H30" s="472">
        <f t="shared" si="3"/>
        <v>0</v>
      </c>
      <c r="I30" s="472">
        <f t="shared" si="4"/>
        <v>0</v>
      </c>
      <c r="J30" s="472">
        <f t="shared" si="4"/>
        <v>0</v>
      </c>
      <c r="K30" s="472">
        <f t="shared" si="4"/>
        <v>220</v>
      </c>
      <c r="L30" s="472">
        <f t="shared" si="5"/>
        <v>220</v>
      </c>
      <c r="M30" s="472"/>
      <c r="N30" s="472">
        <f t="shared" si="6"/>
        <v>-11</v>
      </c>
      <c r="O30" s="472">
        <f t="shared" si="7"/>
        <v>-23</v>
      </c>
      <c r="P30" s="472">
        <f t="shared" si="7"/>
        <v>21</v>
      </c>
      <c r="Q30" s="472">
        <f t="shared" si="7"/>
        <v>41</v>
      </c>
      <c r="R30" s="472">
        <f t="shared" si="8"/>
        <v>28</v>
      </c>
      <c r="S30" s="472"/>
      <c r="T30" s="472">
        <f t="shared" si="9"/>
        <v>20</v>
      </c>
      <c r="U30" s="472">
        <f t="shared" si="10"/>
        <v>-52</v>
      </c>
      <c r="V30" s="472">
        <f t="shared" si="10"/>
        <v>-6</v>
      </c>
      <c r="W30" s="472">
        <f t="shared" si="10"/>
        <v>-36</v>
      </c>
      <c r="X30" s="472">
        <f t="shared" si="11"/>
        <v>-74</v>
      </c>
      <c r="Y30" s="472"/>
      <c r="Z30" s="472">
        <f t="shared" si="12"/>
        <v>109</v>
      </c>
      <c r="AA30" s="472">
        <f t="shared" si="13"/>
        <v>-41</v>
      </c>
      <c r="AB30" s="472">
        <f t="shared" si="13"/>
        <v>-389</v>
      </c>
      <c r="AC30" s="472">
        <f t="shared" si="13"/>
        <v>-62</v>
      </c>
      <c r="AD30" s="472">
        <f t="shared" si="14"/>
        <v>-383</v>
      </c>
      <c r="AE30" s="472"/>
      <c r="AF30" s="472">
        <f t="shared" si="15"/>
        <v>-99</v>
      </c>
      <c r="AG30" s="472">
        <f t="shared" si="16"/>
        <v>-184</v>
      </c>
      <c r="AH30" s="472">
        <f t="shared" si="16"/>
        <v>-66</v>
      </c>
      <c r="AI30" s="472">
        <f t="shared" si="16"/>
        <v>-28</v>
      </c>
      <c r="AJ30" s="472">
        <f t="shared" si="17"/>
        <v>-377</v>
      </c>
      <c r="AK30" s="472"/>
      <c r="AL30" s="472">
        <f t="shared" si="18"/>
        <v>-191</v>
      </c>
      <c r="AM30" s="472">
        <f t="shared" si="19"/>
        <v>-164</v>
      </c>
      <c r="AN30" s="472">
        <f t="shared" si="19"/>
        <v>-93</v>
      </c>
      <c r="AO30" s="472">
        <f t="shared" si="19"/>
        <v>-144</v>
      </c>
      <c r="AP30" s="472">
        <f t="shared" si="20"/>
        <v>-592</v>
      </c>
      <c r="AQ30" s="472"/>
      <c r="AR30" s="472">
        <f t="shared" si="21"/>
        <v>-54</v>
      </c>
      <c r="AS30" s="472">
        <f t="shared" si="22"/>
        <v>-79</v>
      </c>
      <c r="AT30" s="472">
        <f t="shared" si="22"/>
        <v>-196</v>
      </c>
      <c r="AU30" s="472"/>
    </row>
    <row r="31" spans="1:47" x14ac:dyDescent="0.25">
      <c r="A31" s="476" t="s">
        <v>509</v>
      </c>
      <c r="B31" s="472">
        <f t="shared" si="0"/>
        <v>0</v>
      </c>
      <c r="C31" s="472">
        <f t="shared" si="1"/>
        <v>0</v>
      </c>
      <c r="D31" s="472">
        <f t="shared" si="1"/>
        <v>0</v>
      </c>
      <c r="E31" s="472">
        <f t="shared" si="1"/>
        <v>0</v>
      </c>
      <c r="F31" s="472">
        <f t="shared" si="2"/>
        <v>0</v>
      </c>
      <c r="G31" s="472"/>
      <c r="H31" s="472">
        <f t="shared" si="3"/>
        <v>0</v>
      </c>
      <c r="I31" s="472">
        <f t="shared" si="4"/>
        <v>0</v>
      </c>
      <c r="J31" s="472">
        <f t="shared" si="4"/>
        <v>0</v>
      </c>
      <c r="K31" s="472">
        <f t="shared" si="4"/>
        <v>0</v>
      </c>
      <c r="L31" s="472">
        <f t="shared" si="5"/>
        <v>0</v>
      </c>
      <c r="M31" s="472"/>
      <c r="N31" s="472">
        <f t="shared" si="6"/>
        <v>0</v>
      </c>
      <c r="O31" s="472">
        <f t="shared" si="7"/>
        <v>0</v>
      </c>
      <c r="P31" s="472">
        <f t="shared" si="7"/>
        <v>0</v>
      </c>
      <c r="Q31" s="472">
        <f t="shared" si="7"/>
        <v>0</v>
      </c>
      <c r="R31" s="472">
        <f t="shared" si="8"/>
        <v>0</v>
      </c>
      <c r="S31" s="472"/>
      <c r="T31" s="472">
        <f t="shared" si="9"/>
        <v>0</v>
      </c>
      <c r="U31" s="472">
        <f t="shared" si="10"/>
        <v>0</v>
      </c>
      <c r="V31" s="472">
        <f t="shared" si="10"/>
        <v>0</v>
      </c>
      <c r="W31" s="472">
        <f t="shared" si="10"/>
        <v>0</v>
      </c>
      <c r="X31" s="472">
        <f t="shared" si="11"/>
        <v>0</v>
      </c>
      <c r="Y31" s="472"/>
      <c r="Z31" s="472">
        <f t="shared" si="12"/>
        <v>0</v>
      </c>
      <c r="AA31" s="472">
        <f t="shared" si="13"/>
        <v>0</v>
      </c>
      <c r="AB31" s="472">
        <f t="shared" si="13"/>
        <v>0</v>
      </c>
      <c r="AC31" s="472">
        <f t="shared" si="13"/>
        <v>0</v>
      </c>
      <c r="AD31" s="472">
        <f t="shared" si="14"/>
        <v>0</v>
      </c>
      <c r="AE31" s="472"/>
      <c r="AF31" s="472">
        <f t="shared" si="15"/>
        <v>0</v>
      </c>
      <c r="AG31" s="472">
        <f t="shared" si="16"/>
        <v>0</v>
      </c>
      <c r="AH31" s="472">
        <f t="shared" si="16"/>
        <v>0</v>
      </c>
      <c r="AI31" s="472">
        <f t="shared" si="16"/>
        <v>0</v>
      </c>
      <c r="AJ31" s="472">
        <f t="shared" si="17"/>
        <v>0</v>
      </c>
      <c r="AK31" s="472"/>
      <c r="AL31" s="472">
        <f t="shared" si="18"/>
        <v>572</v>
      </c>
      <c r="AM31" s="472">
        <f t="shared" si="19"/>
        <v>0</v>
      </c>
      <c r="AN31" s="472">
        <f t="shared" si="19"/>
        <v>0</v>
      </c>
      <c r="AO31" s="472">
        <f t="shared" si="19"/>
        <v>0</v>
      </c>
      <c r="AP31" s="472">
        <f t="shared" si="20"/>
        <v>572</v>
      </c>
      <c r="AQ31" s="472"/>
      <c r="AR31" s="472">
        <f t="shared" si="21"/>
        <v>-64</v>
      </c>
      <c r="AS31" s="472">
        <f t="shared" si="22"/>
        <v>228</v>
      </c>
      <c r="AT31" s="472">
        <f t="shared" si="22"/>
        <v>0</v>
      </c>
      <c r="AU31" s="472"/>
    </row>
    <row r="32" spans="1:47" x14ac:dyDescent="0.25">
      <c r="A32" s="476" t="s">
        <v>508</v>
      </c>
      <c r="B32" s="472">
        <f t="shared" si="0"/>
        <v>0</v>
      </c>
      <c r="C32" s="472">
        <f t="shared" si="1"/>
        <v>0</v>
      </c>
      <c r="D32" s="472">
        <f t="shared" si="1"/>
        <v>0</v>
      </c>
      <c r="E32" s="472">
        <f t="shared" si="1"/>
        <v>0</v>
      </c>
      <c r="F32" s="472">
        <f t="shared" si="2"/>
        <v>0</v>
      </c>
      <c r="G32" s="472"/>
      <c r="H32" s="472">
        <f t="shared" si="3"/>
        <v>0</v>
      </c>
      <c r="I32" s="472">
        <f t="shared" si="4"/>
        <v>0</v>
      </c>
      <c r="J32" s="472">
        <f t="shared" si="4"/>
        <v>0</v>
      </c>
      <c r="K32" s="472">
        <f t="shared" si="4"/>
        <v>0</v>
      </c>
      <c r="L32" s="472">
        <f t="shared" si="5"/>
        <v>0</v>
      </c>
      <c r="M32" s="472"/>
      <c r="N32" s="472">
        <f t="shared" si="6"/>
        <v>0</v>
      </c>
      <c r="O32" s="472">
        <f t="shared" si="7"/>
        <v>0</v>
      </c>
      <c r="P32" s="472">
        <f t="shared" si="7"/>
        <v>0</v>
      </c>
      <c r="Q32" s="472">
        <f t="shared" si="7"/>
        <v>0</v>
      </c>
      <c r="R32" s="472">
        <f t="shared" si="8"/>
        <v>0</v>
      </c>
      <c r="S32" s="472"/>
      <c r="T32" s="472">
        <f t="shared" si="9"/>
        <v>0</v>
      </c>
      <c r="U32" s="472">
        <f t="shared" si="10"/>
        <v>0</v>
      </c>
      <c r="V32" s="472">
        <f t="shared" si="10"/>
        <v>0</v>
      </c>
      <c r="W32" s="472">
        <f t="shared" si="10"/>
        <v>0</v>
      </c>
      <c r="X32" s="472">
        <f t="shared" si="11"/>
        <v>0</v>
      </c>
      <c r="Y32" s="472"/>
      <c r="Z32" s="472">
        <f t="shared" si="12"/>
        <v>0</v>
      </c>
      <c r="AA32" s="472">
        <f t="shared" si="13"/>
        <v>0</v>
      </c>
      <c r="AB32" s="472">
        <f t="shared" si="13"/>
        <v>0</v>
      </c>
      <c r="AC32" s="472">
        <f t="shared" si="13"/>
        <v>0</v>
      </c>
      <c r="AD32" s="472">
        <f t="shared" si="14"/>
        <v>0</v>
      </c>
      <c r="AE32" s="472"/>
      <c r="AF32" s="472">
        <f t="shared" si="15"/>
        <v>0</v>
      </c>
      <c r="AG32" s="472">
        <f t="shared" si="16"/>
        <v>0</v>
      </c>
      <c r="AH32" s="472">
        <f t="shared" si="16"/>
        <v>0</v>
      </c>
      <c r="AI32" s="472">
        <f t="shared" si="16"/>
        <v>925</v>
      </c>
      <c r="AJ32" s="472">
        <f t="shared" si="17"/>
        <v>925</v>
      </c>
      <c r="AK32" s="472"/>
      <c r="AL32" s="472">
        <f t="shared" si="18"/>
        <v>0</v>
      </c>
      <c r="AM32" s="472">
        <f t="shared" si="19"/>
        <v>0</v>
      </c>
      <c r="AN32" s="472">
        <f t="shared" si="19"/>
        <v>0</v>
      </c>
      <c r="AO32" s="472">
        <f t="shared" si="19"/>
        <v>0</v>
      </c>
      <c r="AP32" s="472">
        <f t="shared" si="20"/>
        <v>0</v>
      </c>
      <c r="AQ32" s="472"/>
      <c r="AR32" s="472">
        <f t="shared" si="21"/>
        <v>0</v>
      </c>
      <c r="AS32" s="472">
        <f t="shared" si="22"/>
        <v>0</v>
      </c>
      <c r="AT32" s="472">
        <f t="shared" si="22"/>
        <v>0</v>
      </c>
      <c r="AU32" s="472"/>
    </row>
    <row r="33" spans="1:47" x14ac:dyDescent="0.25">
      <c r="A33" s="476" t="s">
        <v>65</v>
      </c>
      <c r="B33" s="472">
        <f t="shared" si="0"/>
        <v>302</v>
      </c>
      <c r="C33" s="472">
        <f t="shared" si="1"/>
        <v>188</v>
      </c>
      <c r="D33" s="472">
        <f t="shared" si="1"/>
        <v>106</v>
      </c>
      <c r="E33" s="472">
        <f t="shared" si="1"/>
        <v>154</v>
      </c>
      <c r="F33" s="472">
        <f t="shared" si="2"/>
        <v>750</v>
      </c>
      <c r="G33" s="472"/>
      <c r="H33" s="472">
        <f t="shared" si="3"/>
        <v>148</v>
      </c>
      <c r="I33" s="472">
        <f t="shared" si="4"/>
        <v>298</v>
      </c>
      <c r="J33" s="472">
        <f t="shared" si="4"/>
        <v>184</v>
      </c>
      <c r="K33" s="472">
        <f t="shared" si="4"/>
        <v>376</v>
      </c>
      <c r="L33" s="472">
        <f t="shared" si="5"/>
        <v>1006</v>
      </c>
      <c r="M33" s="472"/>
      <c r="N33" s="472">
        <f t="shared" si="6"/>
        <v>88</v>
      </c>
      <c r="O33" s="472">
        <f t="shared" si="7"/>
        <v>352</v>
      </c>
      <c r="P33" s="472">
        <f t="shared" si="7"/>
        <v>187</v>
      </c>
      <c r="Q33" s="472">
        <f t="shared" si="7"/>
        <v>48</v>
      </c>
      <c r="R33" s="472">
        <f t="shared" si="8"/>
        <v>675</v>
      </c>
      <c r="S33" s="472"/>
      <c r="T33" s="472">
        <f t="shared" si="9"/>
        <v>534</v>
      </c>
      <c r="U33" s="472">
        <f t="shared" si="10"/>
        <v>140</v>
      </c>
      <c r="V33" s="472">
        <f t="shared" si="10"/>
        <v>245</v>
      </c>
      <c r="W33" s="472">
        <f t="shared" si="10"/>
        <v>81</v>
      </c>
      <c r="X33" s="472">
        <f t="shared" si="11"/>
        <v>1000</v>
      </c>
      <c r="Y33" s="472"/>
      <c r="Z33" s="472">
        <f t="shared" si="12"/>
        <v>-104</v>
      </c>
      <c r="AA33" s="472">
        <f t="shared" si="13"/>
        <v>84</v>
      </c>
      <c r="AB33" s="472">
        <f t="shared" si="13"/>
        <v>122</v>
      </c>
      <c r="AC33" s="472">
        <f t="shared" si="13"/>
        <v>114</v>
      </c>
      <c r="AD33" s="472">
        <f t="shared" si="14"/>
        <v>216</v>
      </c>
      <c r="AE33" s="472"/>
      <c r="AF33" s="472">
        <f t="shared" si="15"/>
        <v>-52</v>
      </c>
      <c r="AG33" s="472">
        <f t="shared" si="16"/>
        <v>101</v>
      </c>
      <c r="AH33" s="472">
        <f t="shared" si="16"/>
        <v>83</v>
      </c>
      <c r="AI33" s="472">
        <f t="shared" si="16"/>
        <v>569</v>
      </c>
      <c r="AJ33" s="472">
        <f t="shared" si="17"/>
        <v>701</v>
      </c>
      <c r="AK33" s="472"/>
      <c r="AL33" s="472">
        <f t="shared" si="18"/>
        <v>117</v>
      </c>
      <c r="AM33" s="472">
        <f t="shared" si="19"/>
        <v>-11</v>
      </c>
      <c r="AN33" s="472">
        <f t="shared" si="19"/>
        <v>99</v>
      </c>
      <c r="AO33" s="472">
        <f t="shared" si="19"/>
        <v>170</v>
      </c>
      <c r="AP33" s="472">
        <f t="shared" si="20"/>
        <v>375</v>
      </c>
      <c r="AQ33" s="472"/>
      <c r="AR33" s="472">
        <f t="shared" si="21"/>
        <v>-5</v>
      </c>
      <c r="AS33" s="472">
        <f t="shared" si="22"/>
        <v>110</v>
      </c>
      <c r="AT33" s="472">
        <f t="shared" si="22"/>
        <v>116</v>
      </c>
      <c r="AU33" s="472"/>
    </row>
    <row r="34" spans="1:47" x14ac:dyDescent="0.25">
      <c r="A34" s="496" t="s">
        <v>507</v>
      </c>
      <c r="B34" s="472">
        <f t="shared" si="0"/>
        <v>0</v>
      </c>
      <c r="C34" s="472">
        <f t="shared" si="1"/>
        <v>0</v>
      </c>
      <c r="D34" s="472">
        <f t="shared" si="1"/>
        <v>0</v>
      </c>
      <c r="E34" s="472">
        <f t="shared" si="1"/>
        <v>0</v>
      </c>
      <c r="F34" s="472">
        <f t="shared" si="2"/>
        <v>0</v>
      </c>
      <c r="G34" s="472"/>
      <c r="H34" s="472">
        <f t="shared" si="3"/>
        <v>0</v>
      </c>
      <c r="I34" s="472">
        <f t="shared" si="4"/>
        <v>0</v>
      </c>
      <c r="J34" s="472">
        <f t="shared" si="4"/>
        <v>0</v>
      </c>
      <c r="K34" s="472">
        <f t="shared" si="4"/>
        <v>0</v>
      </c>
      <c r="L34" s="472">
        <f t="shared" si="5"/>
        <v>0</v>
      </c>
      <c r="M34" s="472"/>
      <c r="N34" s="472">
        <f t="shared" si="6"/>
        <v>0</v>
      </c>
      <c r="O34" s="472">
        <f t="shared" si="7"/>
        <v>0</v>
      </c>
      <c r="P34" s="472">
        <f t="shared" si="7"/>
        <v>0</v>
      </c>
      <c r="Q34" s="472">
        <f t="shared" si="7"/>
        <v>0</v>
      </c>
      <c r="R34" s="472">
        <f t="shared" si="8"/>
        <v>0</v>
      </c>
      <c r="S34" s="472"/>
      <c r="T34" s="472">
        <f t="shared" si="9"/>
        <v>0</v>
      </c>
      <c r="U34" s="472">
        <f t="shared" si="10"/>
        <v>0</v>
      </c>
      <c r="V34" s="472">
        <f t="shared" si="10"/>
        <v>0</v>
      </c>
      <c r="W34" s="472">
        <f t="shared" si="10"/>
        <v>0</v>
      </c>
      <c r="X34" s="472">
        <f t="shared" si="11"/>
        <v>0</v>
      </c>
      <c r="Y34" s="472"/>
      <c r="Z34" s="472">
        <f t="shared" si="12"/>
        <v>0</v>
      </c>
      <c r="AA34" s="472">
        <f t="shared" si="13"/>
        <v>0</v>
      </c>
      <c r="AB34" s="472">
        <f t="shared" si="13"/>
        <v>0</v>
      </c>
      <c r="AC34" s="472">
        <f t="shared" si="13"/>
        <v>0</v>
      </c>
      <c r="AD34" s="472">
        <f t="shared" si="14"/>
        <v>0</v>
      </c>
      <c r="AE34" s="472"/>
      <c r="AF34" s="472">
        <f t="shared" si="15"/>
        <v>0</v>
      </c>
      <c r="AG34" s="472">
        <f t="shared" si="16"/>
        <v>0</v>
      </c>
      <c r="AH34" s="472">
        <f t="shared" si="16"/>
        <v>0</v>
      </c>
      <c r="AI34" s="472">
        <f t="shared" si="16"/>
        <v>0</v>
      </c>
      <c r="AJ34" s="472">
        <f t="shared" si="17"/>
        <v>0</v>
      </c>
      <c r="AK34" s="472"/>
      <c r="AL34" s="472">
        <f t="shared" si="18"/>
        <v>0</v>
      </c>
      <c r="AM34" s="472">
        <f t="shared" si="19"/>
        <v>0</v>
      </c>
      <c r="AN34" s="472">
        <f t="shared" si="19"/>
        <v>0</v>
      </c>
      <c r="AO34" s="472">
        <f t="shared" si="19"/>
        <v>0</v>
      </c>
      <c r="AP34" s="472">
        <f t="shared" si="20"/>
        <v>0</v>
      </c>
      <c r="AQ34" s="472"/>
      <c r="AR34" s="472">
        <f t="shared" si="21"/>
        <v>0</v>
      </c>
      <c r="AS34" s="472">
        <f t="shared" si="22"/>
        <v>0</v>
      </c>
      <c r="AT34" s="472">
        <f t="shared" si="22"/>
        <v>0</v>
      </c>
      <c r="AU34" s="472"/>
    </row>
    <row r="35" spans="1:47" x14ac:dyDescent="0.25">
      <c r="A35" s="476" t="s">
        <v>506</v>
      </c>
      <c r="B35" s="472">
        <f t="shared" si="0"/>
        <v>-353</v>
      </c>
      <c r="C35" s="472">
        <f t="shared" si="1"/>
        <v>-89</v>
      </c>
      <c r="D35" s="472">
        <f t="shared" si="1"/>
        <v>-13</v>
      </c>
      <c r="E35" s="472">
        <f t="shared" si="1"/>
        <v>-696</v>
      </c>
      <c r="F35" s="472">
        <f t="shared" si="2"/>
        <v>-1151</v>
      </c>
      <c r="G35" s="472"/>
      <c r="H35" s="472">
        <f t="shared" si="3"/>
        <v>-326</v>
      </c>
      <c r="I35" s="472">
        <f t="shared" si="4"/>
        <v>-377</v>
      </c>
      <c r="J35" s="472">
        <f t="shared" si="4"/>
        <v>-22</v>
      </c>
      <c r="K35" s="472">
        <f t="shared" si="4"/>
        <v>-894</v>
      </c>
      <c r="L35" s="472">
        <f t="shared" si="5"/>
        <v>-1619</v>
      </c>
      <c r="M35" s="472"/>
      <c r="N35" s="472">
        <f t="shared" si="6"/>
        <v>-150</v>
      </c>
      <c r="O35" s="472">
        <f t="shared" si="7"/>
        <v>-16</v>
      </c>
      <c r="P35" s="472">
        <f t="shared" si="7"/>
        <v>593</v>
      </c>
      <c r="Q35" s="472">
        <f t="shared" si="7"/>
        <v>-256</v>
      </c>
      <c r="R35" s="472">
        <f t="shared" si="8"/>
        <v>171</v>
      </c>
      <c r="S35" s="472"/>
      <c r="T35" s="472">
        <f t="shared" si="9"/>
        <v>500</v>
      </c>
      <c r="U35" s="472">
        <f t="shared" si="10"/>
        <v>676</v>
      </c>
      <c r="V35" s="472">
        <f t="shared" si="10"/>
        <v>297</v>
      </c>
      <c r="W35" s="472">
        <f t="shared" si="10"/>
        <v>-31</v>
      </c>
      <c r="X35" s="472">
        <f t="shared" si="11"/>
        <v>1442</v>
      </c>
      <c r="Y35" s="472"/>
      <c r="Z35" s="472">
        <f t="shared" si="12"/>
        <v>-543</v>
      </c>
      <c r="AA35" s="472">
        <f t="shared" si="13"/>
        <v>200</v>
      </c>
      <c r="AB35" s="472">
        <f t="shared" si="13"/>
        <v>17</v>
      </c>
      <c r="AC35" s="472">
        <f t="shared" si="13"/>
        <v>-933</v>
      </c>
      <c r="AD35" s="472">
        <f t="shared" si="14"/>
        <v>-1259</v>
      </c>
      <c r="AE35" s="472"/>
      <c r="AF35" s="472">
        <f t="shared" si="15"/>
        <v>-372</v>
      </c>
      <c r="AG35" s="472">
        <f t="shared" si="16"/>
        <v>655</v>
      </c>
      <c r="AH35" s="472">
        <f t="shared" si="16"/>
        <v>82</v>
      </c>
      <c r="AI35" s="472">
        <f t="shared" si="16"/>
        <v>-585</v>
      </c>
      <c r="AJ35" s="472">
        <f t="shared" si="17"/>
        <v>-220</v>
      </c>
      <c r="AK35" s="472"/>
      <c r="AL35" s="472">
        <f t="shared" si="18"/>
        <v>-329</v>
      </c>
      <c r="AM35" s="472">
        <f t="shared" si="19"/>
        <v>-136</v>
      </c>
      <c r="AN35" s="472">
        <f t="shared" si="19"/>
        <v>146</v>
      </c>
      <c r="AO35" s="472">
        <f t="shared" si="19"/>
        <v>-118</v>
      </c>
      <c r="AP35" s="472">
        <f t="shared" si="20"/>
        <v>-437</v>
      </c>
      <c r="AQ35" s="472"/>
      <c r="AR35" s="472">
        <f t="shared" si="21"/>
        <v>-81</v>
      </c>
      <c r="AS35" s="472">
        <f t="shared" si="22"/>
        <v>-164</v>
      </c>
      <c r="AT35" s="472">
        <f t="shared" si="22"/>
        <v>215</v>
      </c>
      <c r="AU35" s="472"/>
    </row>
    <row r="36" spans="1:47" x14ac:dyDescent="0.25">
      <c r="A36" s="476" t="s">
        <v>168</v>
      </c>
      <c r="B36" s="472">
        <f t="shared" si="0"/>
        <v>-444</v>
      </c>
      <c r="C36" s="472">
        <f t="shared" si="1"/>
        <v>-244</v>
      </c>
      <c r="D36" s="472">
        <f t="shared" si="1"/>
        <v>-801</v>
      </c>
      <c r="E36" s="472">
        <f t="shared" si="1"/>
        <v>194</v>
      </c>
      <c r="F36" s="472">
        <f t="shared" si="2"/>
        <v>-1295</v>
      </c>
      <c r="G36" s="472"/>
      <c r="H36" s="472">
        <f t="shared" si="3"/>
        <v>-803</v>
      </c>
      <c r="I36" s="472">
        <f t="shared" si="4"/>
        <v>-405</v>
      </c>
      <c r="J36" s="472">
        <f t="shared" si="4"/>
        <v>-614</v>
      </c>
      <c r="K36" s="472">
        <f t="shared" si="4"/>
        <v>243</v>
      </c>
      <c r="L36" s="472">
        <f t="shared" si="5"/>
        <v>-1579</v>
      </c>
      <c r="M36" s="472"/>
      <c r="N36" s="472">
        <f t="shared" si="6"/>
        <v>-813</v>
      </c>
      <c r="O36" s="472">
        <f t="shared" si="7"/>
        <v>326</v>
      </c>
      <c r="P36" s="472">
        <f t="shared" si="7"/>
        <v>-189</v>
      </c>
      <c r="Q36" s="472">
        <f t="shared" si="7"/>
        <v>950</v>
      </c>
      <c r="R36" s="472">
        <f t="shared" si="8"/>
        <v>274</v>
      </c>
      <c r="S36" s="472"/>
      <c r="T36" s="472">
        <f t="shared" si="9"/>
        <v>-541</v>
      </c>
      <c r="U36" s="472">
        <f t="shared" si="10"/>
        <v>396</v>
      </c>
      <c r="V36" s="472">
        <f t="shared" si="10"/>
        <v>6</v>
      </c>
      <c r="W36" s="472">
        <f t="shared" si="10"/>
        <v>105</v>
      </c>
      <c r="X36" s="472">
        <f t="shared" si="11"/>
        <v>-34</v>
      </c>
      <c r="Y36" s="472"/>
      <c r="Z36" s="472">
        <f t="shared" si="12"/>
        <v>-657</v>
      </c>
      <c r="AA36" s="472">
        <f t="shared" si="13"/>
        <v>-522</v>
      </c>
      <c r="AB36" s="472">
        <f t="shared" si="13"/>
        <v>-1016</v>
      </c>
      <c r="AC36" s="472">
        <f t="shared" si="13"/>
        <v>-391</v>
      </c>
      <c r="AD36" s="472">
        <f t="shared" si="14"/>
        <v>-2586</v>
      </c>
      <c r="AE36" s="472"/>
      <c r="AF36" s="472">
        <f t="shared" si="15"/>
        <v>-1032</v>
      </c>
      <c r="AG36" s="472">
        <f t="shared" si="16"/>
        <v>-971</v>
      </c>
      <c r="AH36" s="472">
        <f t="shared" si="16"/>
        <v>-1085</v>
      </c>
      <c r="AI36" s="472">
        <f t="shared" si="16"/>
        <v>499</v>
      </c>
      <c r="AJ36" s="472">
        <f t="shared" si="17"/>
        <v>-2589</v>
      </c>
      <c r="AK36" s="472"/>
      <c r="AL36" s="472">
        <f t="shared" si="18"/>
        <v>-1403</v>
      </c>
      <c r="AM36" s="472">
        <f t="shared" si="19"/>
        <v>-157</v>
      </c>
      <c r="AN36" s="472">
        <f t="shared" si="19"/>
        <v>136</v>
      </c>
      <c r="AO36" s="472">
        <f t="shared" si="19"/>
        <v>1060</v>
      </c>
      <c r="AP36" s="472">
        <f t="shared" si="20"/>
        <v>-364</v>
      </c>
      <c r="AQ36" s="472"/>
      <c r="AR36" s="472">
        <f t="shared" si="21"/>
        <v>-439</v>
      </c>
      <c r="AS36" s="472">
        <f t="shared" si="22"/>
        <v>-204</v>
      </c>
      <c r="AT36" s="472">
        <f t="shared" si="22"/>
        <v>-138</v>
      </c>
      <c r="AU36" s="472"/>
    </row>
    <row r="37" spans="1:47" x14ac:dyDescent="0.25">
      <c r="A37" s="476" t="s">
        <v>75</v>
      </c>
      <c r="B37" s="472">
        <f t="shared" si="0"/>
        <v>732</v>
      </c>
      <c r="C37" s="472">
        <f t="shared" si="1"/>
        <v>381</v>
      </c>
      <c r="D37" s="472">
        <f t="shared" si="1"/>
        <v>258</v>
      </c>
      <c r="E37" s="472">
        <f t="shared" si="1"/>
        <v>107</v>
      </c>
      <c r="F37" s="472">
        <f t="shared" si="2"/>
        <v>1478</v>
      </c>
      <c r="G37" s="472"/>
      <c r="H37" s="472">
        <f t="shared" si="3"/>
        <v>486</v>
      </c>
      <c r="I37" s="472">
        <f t="shared" si="4"/>
        <v>59</v>
      </c>
      <c r="J37" s="472">
        <f t="shared" si="4"/>
        <v>-49</v>
      </c>
      <c r="K37" s="472">
        <f t="shared" si="4"/>
        <v>213</v>
      </c>
      <c r="L37" s="472">
        <f t="shared" si="5"/>
        <v>709</v>
      </c>
      <c r="M37" s="472"/>
      <c r="N37" s="472">
        <f t="shared" si="6"/>
        <v>355</v>
      </c>
      <c r="O37" s="472">
        <f t="shared" si="7"/>
        <v>-221</v>
      </c>
      <c r="P37" s="472">
        <f t="shared" si="7"/>
        <v>-803</v>
      </c>
      <c r="Q37" s="472">
        <f t="shared" si="7"/>
        <v>-356</v>
      </c>
      <c r="R37" s="472">
        <f t="shared" si="8"/>
        <v>-1025</v>
      </c>
      <c r="S37" s="472"/>
      <c r="T37" s="472">
        <f t="shared" si="9"/>
        <v>90</v>
      </c>
      <c r="U37" s="472">
        <f t="shared" si="10"/>
        <v>-745</v>
      </c>
      <c r="V37" s="472">
        <f t="shared" si="10"/>
        <v>59</v>
      </c>
      <c r="W37" s="472">
        <f t="shared" si="10"/>
        <v>694</v>
      </c>
      <c r="X37" s="472">
        <f t="shared" si="11"/>
        <v>98</v>
      </c>
      <c r="Y37" s="472"/>
      <c r="Z37" s="472">
        <f t="shared" si="12"/>
        <v>733</v>
      </c>
      <c r="AA37" s="472">
        <f t="shared" si="13"/>
        <v>160</v>
      </c>
      <c r="AB37" s="472">
        <f t="shared" si="13"/>
        <v>339</v>
      </c>
      <c r="AC37" s="472">
        <f t="shared" si="13"/>
        <v>809</v>
      </c>
      <c r="AD37" s="472">
        <f t="shared" si="14"/>
        <v>2041</v>
      </c>
      <c r="AE37" s="472"/>
      <c r="AF37" s="472">
        <f t="shared" si="15"/>
        <v>452</v>
      </c>
      <c r="AG37" s="472">
        <f t="shared" si="16"/>
        <v>-25</v>
      </c>
      <c r="AH37" s="472">
        <f t="shared" si="16"/>
        <v>359</v>
      </c>
      <c r="AI37" s="472">
        <f t="shared" si="16"/>
        <v>12</v>
      </c>
      <c r="AJ37" s="472">
        <f t="shared" si="17"/>
        <v>798</v>
      </c>
      <c r="AK37" s="472"/>
      <c r="AL37" s="472">
        <f t="shared" si="18"/>
        <v>477</v>
      </c>
      <c r="AM37" s="472">
        <f t="shared" si="19"/>
        <v>-443</v>
      </c>
      <c r="AN37" s="472">
        <f t="shared" si="19"/>
        <v>-566</v>
      </c>
      <c r="AO37" s="472">
        <f t="shared" si="19"/>
        <v>-222</v>
      </c>
      <c r="AP37" s="472">
        <f t="shared" si="20"/>
        <v>-754</v>
      </c>
      <c r="AQ37" s="472"/>
      <c r="AR37" s="472">
        <f t="shared" si="21"/>
        <v>203</v>
      </c>
      <c r="AS37" s="472">
        <f t="shared" si="22"/>
        <v>-224</v>
      </c>
      <c r="AT37" s="472">
        <f t="shared" si="22"/>
        <v>-75</v>
      </c>
      <c r="AU37" s="472"/>
    </row>
    <row r="38" spans="1:47" x14ac:dyDescent="0.25">
      <c r="A38" s="476" t="s">
        <v>505</v>
      </c>
      <c r="B38" s="472">
        <f t="shared" si="0"/>
        <v>132</v>
      </c>
      <c r="C38" s="472">
        <f t="shared" si="1"/>
        <v>119</v>
      </c>
      <c r="D38" s="472">
        <f t="shared" si="1"/>
        <v>-130</v>
      </c>
      <c r="E38" s="472">
        <f t="shared" si="1"/>
        <v>54</v>
      </c>
      <c r="F38" s="472">
        <f t="shared" si="2"/>
        <v>175</v>
      </c>
      <c r="G38" s="472"/>
      <c r="H38" s="472">
        <f t="shared" si="3"/>
        <v>66</v>
      </c>
      <c r="I38" s="472">
        <f t="shared" si="4"/>
        <v>-97</v>
      </c>
      <c r="J38" s="472">
        <f t="shared" si="4"/>
        <v>-1</v>
      </c>
      <c r="K38" s="472">
        <f t="shared" si="4"/>
        <v>133</v>
      </c>
      <c r="L38" s="472">
        <f t="shared" si="5"/>
        <v>101</v>
      </c>
      <c r="M38" s="472"/>
      <c r="N38" s="472">
        <f t="shared" si="6"/>
        <v>135</v>
      </c>
      <c r="O38" s="472">
        <f t="shared" si="7"/>
        <v>16</v>
      </c>
      <c r="P38" s="472">
        <f t="shared" si="7"/>
        <v>-37</v>
      </c>
      <c r="Q38" s="472">
        <f t="shared" si="7"/>
        <v>58</v>
      </c>
      <c r="R38" s="472">
        <f t="shared" si="8"/>
        <v>172</v>
      </c>
      <c r="S38" s="472"/>
      <c r="T38" s="472">
        <f t="shared" si="9"/>
        <v>-97</v>
      </c>
      <c r="U38" s="472">
        <f t="shared" si="10"/>
        <v>-156</v>
      </c>
      <c r="V38" s="472">
        <f t="shared" si="10"/>
        <v>-33</v>
      </c>
      <c r="W38" s="472">
        <f t="shared" si="10"/>
        <v>-80</v>
      </c>
      <c r="X38" s="472">
        <f t="shared" si="11"/>
        <v>-366</v>
      </c>
      <c r="Y38" s="472"/>
      <c r="Z38" s="472">
        <f t="shared" si="12"/>
        <v>84</v>
      </c>
      <c r="AA38" s="472">
        <f t="shared" si="13"/>
        <v>-62</v>
      </c>
      <c r="AB38" s="472">
        <f t="shared" si="13"/>
        <v>24</v>
      </c>
      <c r="AC38" s="472">
        <f t="shared" si="13"/>
        <v>150</v>
      </c>
      <c r="AD38" s="472">
        <f t="shared" si="14"/>
        <v>196</v>
      </c>
      <c r="AE38" s="472"/>
      <c r="AF38" s="472">
        <f t="shared" si="15"/>
        <v>-74</v>
      </c>
      <c r="AG38" s="472">
        <f t="shared" si="16"/>
        <v>-6</v>
      </c>
      <c r="AH38" s="472">
        <f t="shared" si="16"/>
        <v>150</v>
      </c>
      <c r="AI38" s="472">
        <f t="shared" si="16"/>
        <v>247</v>
      </c>
      <c r="AJ38" s="472">
        <f t="shared" si="17"/>
        <v>317</v>
      </c>
      <c r="AK38" s="472"/>
      <c r="AL38" s="472">
        <f t="shared" si="18"/>
        <v>38</v>
      </c>
      <c r="AM38" s="472">
        <f t="shared" si="19"/>
        <v>343</v>
      </c>
      <c r="AN38" s="472">
        <f t="shared" si="19"/>
        <v>207</v>
      </c>
      <c r="AO38" s="472">
        <f t="shared" si="19"/>
        <v>208</v>
      </c>
      <c r="AP38" s="472">
        <f t="shared" si="20"/>
        <v>796</v>
      </c>
      <c r="AQ38" s="472"/>
      <c r="AR38" s="472">
        <f t="shared" si="21"/>
        <v>-38</v>
      </c>
      <c r="AS38" s="472">
        <f t="shared" si="22"/>
        <v>107</v>
      </c>
      <c r="AT38" s="472">
        <f t="shared" si="22"/>
        <v>-60</v>
      </c>
      <c r="AU38" s="472"/>
    </row>
    <row r="39" spans="1:47" x14ac:dyDescent="0.25">
      <c r="A39" s="476" t="s">
        <v>504</v>
      </c>
      <c r="B39" s="472">
        <f t="shared" si="0"/>
        <v>360</v>
      </c>
      <c r="C39" s="472">
        <f t="shared" si="1"/>
        <v>281</v>
      </c>
      <c r="D39" s="472">
        <f t="shared" si="1"/>
        <v>321</v>
      </c>
      <c r="E39" s="472">
        <f t="shared" si="1"/>
        <v>225</v>
      </c>
      <c r="F39" s="472">
        <f t="shared" si="2"/>
        <v>1187</v>
      </c>
      <c r="G39" s="472"/>
      <c r="H39" s="472">
        <f t="shared" si="3"/>
        <v>-1110</v>
      </c>
      <c r="I39" s="472">
        <f t="shared" si="4"/>
        <v>342</v>
      </c>
      <c r="J39" s="472">
        <f t="shared" si="4"/>
        <v>350</v>
      </c>
      <c r="K39" s="472">
        <f t="shared" si="4"/>
        <v>256</v>
      </c>
      <c r="L39" s="472">
        <f t="shared" si="5"/>
        <v>-162</v>
      </c>
      <c r="M39" s="472"/>
      <c r="N39" s="472">
        <f t="shared" si="6"/>
        <v>-1185</v>
      </c>
      <c r="O39" s="472">
        <f t="shared" si="7"/>
        <v>206</v>
      </c>
      <c r="P39" s="472">
        <f t="shared" si="7"/>
        <v>121</v>
      </c>
      <c r="Q39" s="472">
        <f t="shared" si="7"/>
        <v>101</v>
      </c>
      <c r="R39" s="472">
        <f t="shared" si="8"/>
        <v>-757</v>
      </c>
      <c r="S39" s="472"/>
      <c r="T39" s="472">
        <f t="shared" si="9"/>
        <v>-722</v>
      </c>
      <c r="U39" s="472">
        <f t="shared" si="10"/>
        <v>74</v>
      </c>
      <c r="V39" s="472">
        <f t="shared" si="10"/>
        <v>101</v>
      </c>
      <c r="W39" s="472">
        <f t="shared" si="10"/>
        <v>3</v>
      </c>
      <c r="X39" s="472">
        <f t="shared" si="11"/>
        <v>-544</v>
      </c>
      <c r="Y39" s="472"/>
      <c r="Z39" s="472">
        <f t="shared" si="12"/>
        <v>191</v>
      </c>
      <c r="AA39" s="472">
        <f t="shared" si="13"/>
        <v>427</v>
      </c>
      <c r="AB39" s="472">
        <f t="shared" si="13"/>
        <v>316</v>
      </c>
      <c r="AC39" s="472">
        <f t="shared" si="13"/>
        <v>173</v>
      </c>
      <c r="AD39" s="472">
        <f t="shared" si="14"/>
        <v>1107</v>
      </c>
      <c r="AE39" s="472"/>
      <c r="AF39" s="472">
        <f t="shared" si="15"/>
        <v>-965</v>
      </c>
      <c r="AG39" s="472">
        <f t="shared" si="16"/>
        <v>520</v>
      </c>
      <c r="AH39" s="472">
        <f t="shared" si="16"/>
        <v>460</v>
      </c>
      <c r="AI39" s="472">
        <f t="shared" si="16"/>
        <v>75</v>
      </c>
      <c r="AJ39" s="472">
        <f t="shared" si="17"/>
        <v>90</v>
      </c>
      <c r="AK39" s="472"/>
      <c r="AL39" s="472">
        <f t="shared" si="18"/>
        <v>-950</v>
      </c>
      <c r="AM39" s="472">
        <f t="shared" si="19"/>
        <v>388</v>
      </c>
      <c r="AN39" s="472">
        <f t="shared" si="19"/>
        <v>562</v>
      </c>
      <c r="AO39" s="472">
        <f t="shared" si="19"/>
        <v>486</v>
      </c>
      <c r="AP39" s="472">
        <f t="shared" si="20"/>
        <v>486</v>
      </c>
      <c r="AQ39" s="472"/>
      <c r="AR39" s="472">
        <f t="shared" si="21"/>
        <v>-1454</v>
      </c>
      <c r="AS39" s="472">
        <f t="shared" si="22"/>
        <v>398</v>
      </c>
      <c r="AT39" s="472">
        <f t="shared" si="22"/>
        <v>385</v>
      </c>
      <c r="AU39" s="472"/>
    </row>
    <row r="40" spans="1:47" x14ac:dyDescent="0.25">
      <c r="A40" s="476" t="s">
        <v>503</v>
      </c>
      <c r="B40" s="472">
        <f t="shared" si="0"/>
        <v>234</v>
      </c>
      <c r="C40" s="472">
        <f t="shared" si="1"/>
        <v>140</v>
      </c>
      <c r="D40" s="472">
        <f t="shared" si="1"/>
        <v>-16</v>
      </c>
      <c r="E40" s="472">
        <f t="shared" si="1"/>
        <v>-366</v>
      </c>
      <c r="F40" s="472">
        <f t="shared" si="2"/>
        <v>-8</v>
      </c>
      <c r="G40" s="472"/>
      <c r="H40" s="472">
        <f t="shared" si="3"/>
        <v>-46</v>
      </c>
      <c r="I40" s="472">
        <f t="shared" si="4"/>
        <v>-8</v>
      </c>
      <c r="J40" s="472">
        <f t="shared" si="4"/>
        <v>113</v>
      </c>
      <c r="K40" s="472">
        <f t="shared" si="4"/>
        <v>-242</v>
      </c>
      <c r="L40" s="472">
        <f t="shared" si="5"/>
        <v>-183</v>
      </c>
      <c r="M40" s="472"/>
      <c r="N40" s="472">
        <f t="shared" si="6"/>
        <v>105</v>
      </c>
      <c r="O40" s="472">
        <f t="shared" si="7"/>
        <v>-91</v>
      </c>
      <c r="P40" s="472">
        <f t="shared" si="7"/>
        <v>155</v>
      </c>
      <c r="Q40" s="472">
        <f t="shared" si="7"/>
        <v>-179</v>
      </c>
      <c r="R40" s="472">
        <f t="shared" si="8"/>
        <v>-10</v>
      </c>
      <c r="S40" s="472"/>
      <c r="T40" s="472">
        <f t="shared" si="9"/>
        <v>116</v>
      </c>
      <c r="U40" s="472">
        <f t="shared" si="10"/>
        <v>-118</v>
      </c>
      <c r="V40" s="472">
        <f t="shared" si="10"/>
        <v>15</v>
      </c>
      <c r="W40" s="472">
        <f t="shared" si="10"/>
        <v>-139</v>
      </c>
      <c r="X40" s="472">
        <f t="shared" si="11"/>
        <v>-126</v>
      </c>
      <c r="Y40" s="472"/>
      <c r="Z40" s="472">
        <f t="shared" si="12"/>
        <v>58</v>
      </c>
      <c r="AA40" s="472">
        <f t="shared" si="13"/>
        <v>-9</v>
      </c>
      <c r="AB40" s="472">
        <f t="shared" si="13"/>
        <v>-10</v>
      </c>
      <c r="AC40" s="472">
        <f t="shared" si="13"/>
        <v>-5</v>
      </c>
      <c r="AD40" s="472">
        <f t="shared" si="14"/>
        <v>34</v>
      </c>
      <c r="AE40" s="472"/>
      <c r="AF40" s="472">
        <f t="shared" si="15"/>
        <v>311</v>
      </c>
      <c r="AG40" s="472">
        <f t="shared" si="16"/>
        <v>203</v>
      </c>
      <c r="AH40" s="472">
        <f t="shared" si="16"/>
        <v>237</v>
      </c>
      <c r="AI40" s="472">
        <f t="shared" si="16"/>
        <v>17</v>
      </c>
      <c r="AJ40" s="472">
        <f t="shared" si="17"/>
        <v>768</v>
      </c>
      <c r="AK40" s="472"/>
      <c r="AL40" s="472">
        <f t="shared" si="18"/>
        <v>365</v>
      </c>
      <c r="AM40" s="472">
        <f t="shared" si="19"/>
        <v>-81</v>
      </c>
      <c r="AN40" s="472">
        <f t="shared" si="19"/>
        <v>232</v>
      </c>
      <c r="AO40" s="472">
        <f t="shared" si="19"/>
        <v>-436</v>
      </c>
      <c r="AP40" s="472">
        <f t="shared" si="20"/>
        <v>80</v>
      </c>
      <c r="AQ40" s="472"/>
      <c r="AR40" s="472">
        <f t="shared" si="21"/>
        <v>279</v>
      </c>
      <c r="AS40" s="472">
        <f t="shared" si="22"/>
        <v>62</v>
      </c>
      <c r="AT40" s="472">
        <f t="shared" si="22"/>
        <v>135</v>
      </c>
      <c r="AU40" s="472"/>
    </row>
    <row r="41" spans="1:47" x14ac:dyDescent="0.25">
      <c r="A41" s="476" t="s">
        <v>502</v>
      </c>
      <c r="B41" s="472">
        <f t="shared" si="0"/>
        <v>-261</v>
      </c>
      <c r="C41" s="472">
        <f t="shared" si="1"/>
        <v>-19</v>
      </c>
      <c r="D41" s="472">
        <f t="shared" si="1"/>
        <v>143</v>
      </c>
      <c r="E41" s="472">
        <f t="shared" si="1"/>
        <v>-55</v>
      </c>
      <c r="F41" s="472">
        <f t="shared" si="2"/>
        <v>-192</v>
      </c>
      <c r="G41" s="472"/>
      <c r="H41" s="472">
        <f t="shared" si="3"/>
        <v>165</v>
      </c>
      <c r="I41" s="472">
        <f t="shared" si="4"/>
        <v>9</v>
      </c>
      <c r="J41" s="472">
        <f t="shared" si="4"/>
        <v>220</v>
      </c>
      <c r="K41" s="472">
        <f t="shared" si="4"/>
        <v>-353</v>
      </c>
      <c r="L41" s="472">
        <f t="shared" si="5"/>
        <v>41</v>
      </c>
      <c r="M41" s="472"/>
      <c r="N41" s="472">
        <f t="shared" si="6"/>
        <v>-7</v>
      </c>
      <c r="O41" s="472">
        <f t="shared" si="7"/>
        <v>-113</v>
      </c>
      <c r="P41" s="472">
        <f t="shared" si="7"/>
        <v>139</v>
      </c>
      <c r="Q41" s="472">
        <f t="shared" si="7"/>
        <v>-112</v>
      </c>
      <c r="R41" s="472">
        <f t="shared" si="8"/>
        <v>-93</v>
      </c>
      <c r="S41" s="472"/>
      <c r="T41" s="472">
        <f t="shared" si="9"/>
        <v>-50</v>
      </c>
      <c r="U41" s="472">
        <f t="shared" si="10"/>
        <v>43</v>
      </c>
      <c r="V41" s="472">
        <f t="shared" si="10"/>
        <v>-8</v>
      </c>
      <c r="W41" s="472">
        <f t="shared" si="10"/>
        <v>-186</v>
      </c>
      <c r="X41" s="472">
        <f t="shared" si="11"/>
        <v>-201</v>
      </c>
      <c r="Y41" s="472"/>
      <c r="Z41" s="472">
        <f t="shared" si="12"/>
        <v>56</v>
      </c>
      <c r="AA41" s="472">
        <f t="shared" si="13"/>
        <v>-103</v>
      </c>
      <c r="AB41" s="472">
        <f t="shared" si="13"/>
        <v>185</v>
      </c>
      <c r="AC41" s="472">
        <f t="shared" si="13"/>
        <v>-235</v>
      </c>
      <c r="AD41" s="472">
        <f t="shared" si="14"/>
        <v>-97</v>
      </c>
      <c r="AE41" s="472"/>
      <c r="AF41" s="472">
        <f t="shared" si="15"/>
        <v>99</v>
      </c>
      <c r="AG41" s="472">
        <f t="shared" si="16"/>
        <v>-13</v>
      </c>
      <c r="AH41" s="472">
        <f t="shared" si="16"/>
        <v>-29</v>
      </c>
      <c r="AI41" s="472">
        <f t="shared" si="16"/>
        <v>-267</v>
      </c>
      <c r="AJ41" s="472">
        <f t="shared" si="17"/>
        <v>-210</v>
      </c>
      <c r="AK41" s="472"/>
      <c r="AL41" s="472">
        <f t="shared" si="18"/>
        <v>107</v>
      </c>
      <c r="AM41" s="472">
        <f t="shared" si="19"/>
        <v>-26</v>
      </c>
      <c r="AN41" s="472">
        <f t="shared" si="19"/>
        <v>47</v>
      </c>
      <c r="AO41" s="472">
        <f t="shared" si="19"/>
        <v>-223</v>
      </c>
      <c r="AP41" s="472">
        <f t="shared" si="20"/>
        <v>-95</v>
      </c>
      <c r="AQ41" s="472"/>
      <c r="AR41" s="472">
        <f t="shared" si="21"/>
        <v>60</v>
      </c>
      <c r="AS41" s="472">
        <f t="shared" si="22"/>
        <v>-40</v>
      </c>
      <c r="AT41" s="472">
        <f t="shared" si="22"/>
        <v>100</v>
      </c>
      <c r="AU41" s="472"/>
    </row>
    <row r="42" spans="1:47" x14ac:dyDescent="0.25">
      <c r="A42" s="476" t="s">
        <v>501</v>
      </c>
      <c r="B42" s="472">
        <f t="shared" si="0"/>
        <v>-64</v>
      </c>
      <c r="C42" s="472">
        <f t="shared" si="1"/>
        <v>102</v>
      </c>
      <c r="D42" s="472">
        <f t="shared" si="1"/>
        <v>-411</v>
      </c>
      <c r="E42" s="472">
        <f t="shared" si="1"/>
        <v>-15</v>
      </c>
      <c r="F42" s="472">
        <f t="shared" si="2"/>
        <v>-388</v>
      </c>
      <c r="G42" s="472"/>
      <c r="H42" s="472">
        <f t="shared" si="3"/>
        <v>7</v>
      </c>
      <c r="I42" s="472">
        <f t="shared" si="4"/>
        <v>-64</v>
      </c>
      <c r="J42" s="472">
        <f t="shared" si="4"/>
        <v>-1214</v>
      </c>
      <c r="K42" s="472">
        <f t="shared" si="4"/>
        <v>-114</v>
      </c>
      <c r="L42" s="472">
        <f t="shared" si="5"/>
        <v>-1385</v>
      </c>
      <c r="M42" s="472"/>
      <c r="N42" s="472">
        <f t="shared" si="6"/>
        <v>79</v>
      </c>
      <c r="O42" s="472">
        <f t="shared" si="7"/>
        <v>-114</v>
      </c>
      <c r="P42" s="472">
        <f t="shared" si="7"/>
        <v>-1557</v>
      </c>
      <c r="Q42" s="472">
        <f t="shared" si="7"/>
        <v>-70</v>
      </c>
      <c r="R42" s="472">
        <f t="shared" si="8"/>
        <v>-1662</v>
      </c>
      <c r="S42" s="472"/>
      <c r="T42" s="472">
        <f t="shared" si="9"/>
        <v>-173</v>
      </c>
      <c r="U42" s="472">
        <f t="shared" si="10"/>
        <v>-56</v>
      </c>
      <c r="V42" s="472">
        <f t="shared" si="10"/>
        <v>-283</v>
      </c>
      <c r="W42" s="472">
        <f t="shared" si="10"/>
        <v>-174</v>
      </c>
      <c r="X42" s="472">
        <f t="shared" si="11"/>
        <v>-686</v>
      </c>
      <c r="Y42" s="472"/>
      <c r="Z42" s="472">
        <f t="shared" si="12"/>
        <v>-116</v>
      </c>
      <c r="AA42" s="472">
        <f t="shared" si="13"/>
        <v>-17</v>
      </c>
      <c r="AB42" s="472">
        <f t="shared" si="13"/>
        <v>131</v>
      </c>
      <c r="AC42" s="472">
        <f t="shared" si="13"/>
        <v>-81</v>
      </c>
      <c r="AD42" s="472">
        <f t="shared" si="14"/>
        <v>-83</v>
      </c>
      <c r="AE42" s="472"/>
      <c r="AF42" s="472">
        <f t="shared" si="15"/>
        <v>-49</v>
      </c>
      <c r="AG42" s="472">
        <f t="shared" si="16"/>
        <v>-273</v>
      </c>
      <c r="AH42" s="472">
        <f t="shared" si="16"/>
        <v>-301</v>
      </c>
      <c r="AI42" s="472">
        <f t="shared" si="16"/>
        <v>-131</v>
      </c>
      <c r="AJ42" s="472">
        <f t="shared" si="17"/>
        <v>-754</v>
      </c>
      <c r="AK42" s="472"/>
      <c r="AL42" s="472">
        <f t="shared" si="18"/>
        <v>296</v>
      </c>
      <c r="AM42" s="472">
        <f t="shared" si="19"/>
        <v>70</v>
      </c>
      <c r="AN42" s="472">
        <f t="shared" si="19"/>
        <v>-28</v>
      </c>
      <c r="AO42" s="472">
        <f t="shared" si="19"/>
        <v>101</v>
      </c>
      <c r="AP42" s="472">
        <f t="shared" si="20"/>
        <v>439</v>
      </c>
      <c r="AQ42" s="472"/>
      <c r="AR42" s="472">
        <f t="shared" si="21"/>
        <v>267</v>
      </c>
      <c r="AS42" s="472">
        <f t="shared" si="22"/>
        <v>-385</v>
      </c>
      <c r="AT42" s="472">
        <f t="shared" si="22"/>
        <v>81</v>
      </c>
      <c r="AU42" s="472"/>
    </row>
    <row r="43" spans="1:47" x14ac:dyDescent="0.25">
      <c r="A43" s="476" t="s">
        <v>500</v>
      </c>
      <c r="B43" s="472">
        <f t="shared" si="0"/>
        <v>1542</v>
      </c>
      <c r="C43" s="472">
        <f t="shared" si="1"/>
        <v>2382</v>
      </c>
      <c r="D43" s="472">
        <f t="shared" si="1"/>
        <v>1241</v>
      </c>
      <c r="E43" s="472">
        <f t="shared" si="1"/>
        <v>541</v>
      </c>
      <c r="F43" s="472">
        <f t="shared" si="2"/>
        <v>5706</v>
      </c>
      <c r="G43" s="472"/>
      <c r="H43" s="472">
        <f t="shared" si="3"/>
        <v>935</v>
      </c>
      <c r="I43" s="472">
        <f t="shared" si="4"/>
        <v>2148</v>
      </c>
      <c r="J43" s="472">
        <f t="shared" si="4"/>
        <v>1392</v>
      </c>
      <c r="K43" s="472">
        <f t="shared" si="4"/>
        <v>2083</v>
      </c>
      <c r="L43" s="472">
        <f t="shared" si="5"/>
        <v>6558</v>
      </c>
      <c r="M43" s="472"/>
      <c r="N43" s="472">
        <f t="shared" si="6"/>
        <v>1121</v>
      </c>
      <c r="O43" s="472">
        <f t="shared" si="7"/>
        <v>2588</v>
      </c>
      <c r="P43" s="472">
        <f t="shared" si="7"/>
        <v>769</v>
      </c>
      <c r="Q43" s="472">
        <f t="shared" si="7"/>
        <v>2434</v>
      </c>
      <c r="R43" s="472">
        <f t="shared" si="8"/>
        <v>6912</v>
      </c>
      <c r="S43" s="472"/>
      <c r="T43" s="472">
        <f t="shared" si="9"/>
        <v>1130</v>
      </c>
      <c r="U43" s="472">
        <f t="shared" si="10"/>
        <v>1391</v>
      </c>
      <c r="V43" s="472">
        <f t="shared" si="10"/>
        <v>1734</v>
      </c>
      <c r="W43" s="472">
        <f t="shared" si="10"/>
        <v>2072</v>
      </c>
      <c r="X43" s="472">
        <f t="shared" si="11"/>
        <v>6327</v>
      </c>
      <c r="Y43" s="472"/>
      <c r="Z43" s="472">
        <f t="shared" si="12"/>
        <v>1928</v>
      </c>
      <c r="AA43" s="472">
        <f t="shared" si="13"/>
        <v>2118</v>
      </c>
      <c r="AB43" s="472">
        <f t="shared" si="13"/>
        <v>1740</v>
      </c>
      <c r="AC43" s="472">
        <f t="shared" si="13"/>
        <v>1412</v>
      </c>
      <c r="AD43" s="472">
        <f t="shared" si="14"/>
        <v>7198</v>
      </c>
      <c r="AE43" s="472"/>
      <c r="AF43" s="472">
        <f t="shared" si="15"/>
        <v>313</v>
      </c>
      <c r="AG43" s="472">
        <f t="shared" si="16"/>
        <v>2233</v>
      </c>
      <c r="AH43" s="472">
        <f t="shared" si="16"/>
        <v>2481</v>
      </c>
      <c r="AI43" s="472">
        <f t="shared" si="16"/>
        <v>2739</v>
      </c>
      <c r="AJ43" s="472">
        <f t="shared" si="17"/>
        <v>7766</v>
      </c>
      <c r="AK43" s="472"/>
      <c r="AL43" s="472">
        <f t="shared" si="18"/>
        <v>1573</v>
      </c>
      <c r="AM43" s="472">
        <f t="shared" si="19"/>
        <v>3249</v>
      </c>
      <c r="AN43" s="472">
        <f t="shared" si="19"/>
        <v>4060</v>
      </c>
      <c r="AO43" s="472">
        <f t="shared" si="19"/>
        <v>4003</v>
      </c>
      <c r="AP43" s="472">
        <f t="shared" si="20"/>
        <v>12885</v>
      </c>
      <c r="AQ43" s="472"/>
      <c r="AR43" s="472">
        <f t="shared" si="21"/>
        <v>2052</v>
      </c>
      <c r="AS43" s="472">
        <f t="shared" si="22"/>
        <v>3021</v>
      </c>
      <c r="AT43" s="472">
        <f t="shared" si="22"/>
        <v>3569</v>
      </c>
      <c r="AU43" s="472"/>
    </row>
    <row r="44" spans="1:47" x14ac:dyDescent="0.25">
      <c r="A44" s="476"/>
      <c r="B44" s="472"/>
      <c r="C44" s="472"/>
      <c r="D44" s="472"/>
      <c r="E44" s="472"/>
      <c r="F44" s="472"/>
      <c r="G44" s="472"/>
      <c r="H44" s="472"/>
      <c r="I44" s="472"/>
      <c r="J44" s="472"/>
      <c r="K44" s="472"/>
      <c r="L44" s="472"/>
      <c r="M44" s="472"/>
      <c r="N44" s="472"/>
      <c r="O44" s="472"/>
      <c r="P44" s="472"/>
      <c r="Q44" s="472"/>
      <c r="R44" s="472"/>
      <c r="S44" s="472"/>
      <c r="T44" s="472"/>
      <c r="U44" s="472"/>
      <c r="V44" s="472"/>
      <c r="W44" s="472"/>
      <c r="X44" s="472"/>
      <c r="Y44" s="472"/>
      <c r="Z44" s="472"/>
      <c r="AA44" s="472"/>
      <c r="AB44" s="472"/>
      <c r="AC44" s="472"/>
      <c r="AD44" s="472"/>
      <c r="AE44" s="472"/>
      <c r="AF44" s="472"/>
      <c r="AG44" s="472"/>
      <c r="AH44" s="472"/>
      <c r="AI44" s="472"/>
      <c r="AJ44" s="472"/>
      <c r="AK44" s="472"/>
      <c r="AL44" s="472"/>
      <c r="AM44" s="472"/>
      <c r="AN44" s="472"/>
      <c r="AO44" s="472"/>
      <c r="AP44" s="472"/>
      <c r="AQ44" s="472"/>
      <c r="AR44" s="472"/>
      <c r="AS44" s="472"/>
      <c r="AT44" s="472"/>
    </row>
    <row r="45" spans="1:47" x14ac:dyDescent="0.25">
      <c r="A45" s="496" t="s">
        <v>499</v>
      </c>
      <c r="B45" s="499"/>
      <c r="C45" s="499"/>
      <c r="D45" s="499"/>
      <c r="E45" s="499"/>
      <c r="F45" s="499"/>
      <c r="G45" s="499"/>
      <c r="H45" s="499"/>
      <c r="I45" s="499"/>
      <c r="J45" s="499"/>
      <c r="K45" s="499"/>
      <c r="L45" s="499"/>
      <c r="M45" s="499"/>
      <c r="N45" s="499"/>
      <c r="O45" s="499"/>
      <c r="P45" s="499"/>
      <c r="Q45" s="499"/>
      <c r="R45" s="499"/>
      <c r="S45" s="499"/>
      <c r="T45" s="499"/>
      <c r="U45" s="499"/>
      <c r="V45" s="499"/>
      <c r="W45" s="499"/>
      <c r="X45" s="499"/>
      <c r="Y45" s="499"/>
      <c r="Z45" s="499"/>
      <c r="AA45" s="499"/>
      <c r="AB45" s="499"/>
      <c r="AC45" s="499"/>
      <c r="AD45" s="499"/>
      <c r="AE45" s="499"/>
      <c r="AF45" s="499"/>
      <c r="AG45" s="499"/>
      <c r="AH45" s="499"/>
      <c r="AI45" s="499"/>
      <c r="AJ45" s="499"/>
      <c r="AK45" s="499"/>
      <c r="AL45" s="499"/>
      <c r="AM45" s="499"/>
      <c r="AN45" s="499"/>
      <c r="AO45" s="499"/>
      <c r="AP45" s="499"/>
      <c r="AQ45" s="499"/>
      <c r="AR45" s="499"/>
      <c r="AS45" s="499"/>
      <c r="AT45" s="499"/>
    </row>
    <row r="46" spans="1:47" x14ac:dyDescent="0.25">
      <c r="A46" s="476" t="s">
        <v>455</v>
      </c>
      <c r="B46" s="472">
        <v>-204</v>
      </c>
      <c r="C46" s="472">
        <v>-371</v>
      </c>
      <c r="D46" s="472">
        <v>-566</v>
      </c>
      <c r="E46" s="472">
        <v>-898</v>
      </c>
      <c r="F46" s="472"/>
      <c r="G46" s="472"/>
      <c r="H46" s="472">
        <v>-412</v>
      </c>
      <c r="I46" s="472">
        <v>-645</v>
      </c>
      <c r="J46" s="472">
        <v>-921</v>
      </c>
      <c r="K46" s="472">
        <v>-1276</v>
      </c>
      <c r="L46" s="472"/>
      <c r="M46" s="472"/>
      <c r="N46" s="472">
        <v>-278</v>
      </c>
      <c r="O46" s="472">
        <v>-479</v>
      </c>
      <c r="P46" s="472">
        <v>-723</v>
      </c>
      <c r="Q46" s="472">
        <v>-1056</v>
      </c>
      <c r="R46" s="472"/>
      <c r="S46" s="472"/>
      <c r="T46" s="472">
        <v>-305</v>
      </c>
      <c r="U46" s="472">
        <v>-472</v>
      </c>
      <c r="V46" s="472">
        <v>-686</v>
      </c>
      <c r="W46" s="472">
        <v>-978</v>
      </c>
      <c r="X46" s="472"/>
      <c r="Y46" s="472"/>
      <c r="Z46" s="472">
        <v>-252</v>
      </c>
      <c r="AA46" s="472">
        <v>-419</v>
      </c>
      <c r="AB46" s="472">
        <v>-673</v>
      </c>
      <c r="AC46" s="472">
        <v>-1093</v>
      </c>
      <c r="AD46" s="472"/>
      <c r="AE46" s="472"/>
      <c r="AF46" s="472">
        <v>-346</v>
      </c>
      <c r="AG46" s="472">
        <v>-586</v>
      </c>
      <c r="AH46" s="472">
        <v>-868</v>
      </c>
      <c r="AI46" s="472">
        <v>-1296</v>
      </c>
      <c r="AJ46" s="472"/>
      <c r="AK46" s="472"/>
      <c r="AL46" s="472">
        <v>-422</v>
      </c>
      <c r="AM46" s="472">
        <v>-683</v>
      </c>
      <c r="AN46" s="472">
        <v>-1061</v>
      </c>
      <c r="AO46" s="472">
        <v>-1597</v>
      </c>
      <c r="AP46" s="472"/>
      <c r="AQ46" s="472"/>
      <c r="AR46" s="472">
        <v>-500</v>
      </c>
      <c r="AS46" s="472">
        <v>-841</v>
      </c>
      <c r="AT46" s="472">
        <v>-1285</v>
      </c>
    </row>
    <row r="47" spans="1:47" x14ac:dyDescent="0.25">
      <c r="A47" s="476" t="s">
        <v>456</v>
      </c>
      <c r="B47" s="472">
        <v>-305</v>
      </c>
      <c r="C47" s="472">
        <v>-753</v>
      </c>
      <c r="D47" s="472">
        <v>-1071</v>
      </c>
      <c r="E47" s="472">
        <v>-1438</v>
      </c>
      <c r="F47" s="472"/>
      <c r="G47" s="472"/>
      <c r="H47" s="472">
        <v>-345</v>
      </c>
      <c r="I47" s="472">
        <v>-883</v>
      </c>
      <c r="J47" s="472">
        <v>-1208</v>
      </c>
      <c r="K47" s="472">
        <v>-1640</v>
      </c>
      <c r="L47" s="472"/>
      <c r="M47" s="472"/>
      <c r="N47" s="472">
        <v>-269</v>
      </c>
      <c r="O47" s="472">
        <v>-746</v>
      </c>
      <c r="P47" s="472">
        <v>-1133</v>
      </c>
      <c r="Q47" s="472">
        <v>-1613</v>
      </c>
      <c r="R47" s="472"/>
      <c r="S47" s="472"/>
      <c r="T47" s="472">
        <v>-243</v>
      </c>
      <c r="U47" s="472">
        <v>-526</v>
      </c>
      <c r="V47" s="472">
        <v>-805</v>
      </c>
      <c r="W47" s="472">
        <v>-1137</v>
      </c>
      <c r="X47" s="472"/>
      <c r="Y47" s="472"/>
      <c r="Z47" s="472">
        <v>-252</v>
      </c>
      <c r="AA47" s="472">
        <v>-681</v>
      </c>
      <c r="AB47" s="472">
        <v>-1014</v>
      </c>
      <c r="AC47" s="472">
        <v>-1379</v>
      </c>
      <c r="AD47" s="472"/>
      <c r="AE47" s="472"/>
      <c r="AF47" s="472">
        <v>-333</v>
      </c>
      <c r="AG47" s="472">
        <v>-688</v>
      </c>
      <c r="AH47" s="472">
        <v>-1023</v>
      </c>
      <c r="AI47" s="472">
        <v>-1303</v>
      </c>
      <c r="AJ47" s="472"/>
      <c r="AK47" s="472"/>
      <c r="AL47" s="472">
        <v>-328</v>
      </c>
      <c r="AM47" s="472">
        <v>-774</v>
      </c>
      <c r="AN47" s="472">
        <v>-1177</v>
      </c>
      <c r="AO47" s="472">
        <v>-1495</v>
      </c>
      <c r="AP47" s="472"/>
      <c r="AQ47" s="472"/>
      <c r="AR47" s="472">
        <v>-236</v>
      </c>
      <c r="AS47" s="472">
        <v>-614</v>
      </c>
      <c r="AT47" s="472">
        <v>-893</v>
      </c>
    </row>
    <row r="48" spans="1:47" x14ac:dyDescent="0.25">
      <c r="A48" s="476" t="s">
        <v>457</v>
      </c>
      <c r="B48" s="472">
        <v>234</v>
      </c>
      <c r="C48" s="472">
        <v>563</v>
      </c>
      <c r="D48" s="472">
        <v>864</v>
      </c>
      <c r="E48" s="472">
        <v>1164</v>
      </c>
      <c r="F48" s="472"/>
      <c r="G48" s="472"/>
      <c r="H48" s="472">
        <v>258</v>
      </c>
      <c r="I48" s="472">
        <v>539</v>
      </c>
      <c r="J48" s="472">
        <v>732</v>
      </c>
      <c r="K48" s="472">
        <v>936</v>
      </c>
      <c r="L48" s="472"/>
      <c r="M48" s="472"/>
      <c r="N48" s="472">
        <v>209</v>
      </c>
      <c r="O48" s="472">
        <v>422</v>
      </c>
      <c r="P48" s="472">
        <v>812</v>
      </c>
      <c r="Q48" s="472">
        <v>1153</v>
      </c>
      <c r="R48" s="472"/>
      <c r="S48" s="472"/>
      <c r="T48" s="472">
        <v>216</v>
      </c>
      <c r="U48" s="472">
        <v>382</v>
      </c>
      <c r="V48" s="472">
        <v>550</v>
      </c>
      <c r="W48" s="472">
        <v>772</v>
      </c>
      <c r="X48" s="472"/>
      <c r="Y48" s="472"/>
      <c r="Z48" s="472">
        <v>309</v>
      </c>
      <c r="AA48" s="472">
        <v>636</v>
      </c>
      <c r="AB48" s="472">
        <v>877</v>
      </c>
      <c r="AC48" s="472">
        <v>1265</v>
      </c>
      <c r="AD48" s="472"/>
      <c r="AE48" s="472"/>
      <c r="AF48" s="472">
        <v>269</v>
      </c>
      <c r="AG48" s="472">
        <v>468</v>
      </c>
      <c r="AH48" s="472">
        <v>666</v>
      </c>
      <c r="AI48" s="472">
        <v>830</v>
      </c>
      <c r="AJ48" s="472"/>
      <c r="AK48" s="472"/>
      <c r="AL48" s="472">
        <v>184</v>
      </c>
      <c r="AM48" s="472">
        <v>368</v>
      </c>
      <c r="AN48" s="472">
        <v>563</v>
      </c>
      <c r="AO48" s="472">
        <v>781</v>
      </c>
      <c r="AP48" s="472"/>
      <c r="AQ48" s="472"/>
      <c r="AR48" s="472">
        <v>155</v>
      </c>
      <c r="AS48" s="472">
        <v>342</v>
      </c>
      <c r="AT48" s="472">
        <v>541</v>
      </c>
    </row>
    <row r="49" spans="1:48" x14ac:dyDescent="0.25">
      <c r="A49" s="476" t="s">
        <v>458</v>
      </c>
      <c r="B49" s="472">
        <v>-2122</v>
      </c>
      <c r="C49" s="472">
        <v>-5264</v>
      </c>
      <c r="D49" s="472">
        <v>-8246</v>
      </c>
      <c r="E49" s="472">
        <v>-11953</v>
      </c>
      <c r="F49" s="472"/>
      <c r="G49" s="472"/>
      <c r="H49" s="472">
        <v>-2621</v>
      </c>
      <c r="I49" s="472">
        <v>-6143</v>
      </c>
      <c r="J49" s="472">
        <v>-9092</v>
      </c>
      <c r="K49" s="472">
        <v>-12183</v>
      </c>
      <c r="L49" s="472"/>
      <c r="M49" s="472"/>
      <c r="N49" s="472">
        <v>-2615</v>
      </c>
      <c r="O49" s="472">
        <v>-6181</v>
      </c>
      <c r="P49" s="472">
        <v>-9453</v>
      </c>
      <c r="Q49" s="472">
        <v>-12777</v>
      </c>
      <c r="R49" s="472"/>
      <c r="S49" s="472"/>
      <c r="T49" s="472">
        <v>-2953</v>
      </c>
      <c r="U49" s="472">
        <v>-6712</v>
      </c>
      <c r="V49" s="472">
        <v>-9278</v>
      </c>
      <c r="W49" s="472">
        <v>-12385</v>
      </c>
      <c r="X49" s="472"/>
      <c r="Y49" s="472"/>
      <c r="Z49" s="472">
        <v>-2629</v>
      </c>
      <c r="AA49" s="472">
        <v>-6203</v>
      </c>
      <c r="AB49" s="472">
        <v>-9603</v>
      </c>
      <c r="AC49" s="472">
        <v>-13002</v>
      </c>
      <c r="AD49" s="472"/>
      <c r="AE49" s="472"/>
      <c r="AF49" s="472">
        <v>-2988</v>
      </c>
      <c r="AG49" s="472">
        <v>-6705</v>
      </c>
      <c r="AH49" s="472">
        <v>-9914</v>
      </c>
      <c r="AI49" s="472">
        <v>-13239</v>
      </c>
      <c r="AJ49" s="472"/>
      <c r="AK49" s="472"/>
      <c r="AL49" s="472">
        <v>-3020</v>
      </c>
      <c r="AM49" s="472">
        <v>-6973</v>
      </c>
      <c r="AN49" s="472">
        <v>-11082</v>
      </c>
      <c r="AO49" s="472">
        <v>-15161</v>
      </c>
      <c r="AP49" s="472"/>
      <c r="AQ49" s="472"/>
      <c r="AR49" s="472">
        <v>-3256</v>
      </c>
      <c r="AS49" s="472">
        <v>-7446</v>
      </c>
      <c r="AT49" s="472">
        <v>-11457</v>
      </c>
    </row>
    <row r="50" spans="1:48" x14ac:dyDescent="0.25">
      <c r="A50" s="476" t="s">
        <v>459</v>
      </c>
      <c r="B50" s="472">
        <v>2272</v>
      </c>
      <c r="C50" s="472">
        <v>5508</v>
      </c>
      <c r="D50" s="472">
        <v>8532</v>
      </c>
      <c r="E50" s="472">
        <v>12018</v>
      </c>
      <c r="F50" s="472"/>
      <c r="G50" s="472"/>
      <c r="H50" s="472">
        <v>2671</v>
      </c>
      <c r="I50" s="472">
        <v>5405</v>
      </c>
      <c r="J50" s="472">
        <v>8032</v>
      </c>
      <c r="K50" s="472">
        <v>10901</v>
      </c>
      <c r="L50" s="472"/>
      <c r="M50" s="472"/>
      <c r="N50" s="472">
        <v>2818</v>
      </c>
      <c r="O50" s="472">
        <v>5902</v>
      </c>
      <c r="P50" s="472">
        <v>9144</v>
      </c>
      <c r="Q50" s="472">
        <v>12183</v>
      </c>
      <c r="R50" s="472"/>
      <c r="S50" s="472"/>
      <c r="T50" s="472">
        <v>3153</v>
      </c>
      <c r="U50" s="472">
        <v>6801</v>
      </c>
      <c r="V50" s="472">
        <v>9656</v>
      </c>
      <c r="W50" s="472">
        <v>12646</v>
      </c>
      <c r="X50" s="472"/>
      <c r="Y50" s="472"/>
      <c r="Z50" s="472">
        <v>2770</v>
      </c>
      <c r="AA50" s="472">
        <v>5580</v>
      </c>
      <c r="AB50" s="472">
        <v>9221</v>
      </c>
      <c r="AC50" s="472">
        <v>12430</v>
      </c>
      <c r="AD50" s="472"/>
      <c r="AE50" s="472"/>
      <c r="AF50" s="472">
        <v>2966</v>
      </c>
      <c r="AG50" s="472">
        <v>6519</v>
      </c>
      <c r="AH50" s="472">
        <v>9738</v>
      </c>
      <c r="AI50" s="472">
        <v>13177</v>
      </c>
      <c r="AJ50" s="472"/>
      <c r="AK50" s="472"/>
      <c r="AL50" s="472">
        <v>3169</v>
      </c>
      <c r="AM50" s="472">
        <v>6759</v>
      </c>
      <c r="AN50" s="472">
        <v>10391</v>
      </c>
      <c r="AO50" s="472">
        <v>14034</v>
      </c>
      <c r="AP50" s="472"/>
      <c r="AQ50" s="472"/>
      <c r="AR50" s="472">
        <v>3140</v>
      </c>
      <c r="AS50" s="472">
        <v>6743</v>
      </c>
      <c r="AT50" s="472">
        <v>10234</v>
      </c>
    </row>
    <row r="51" spans="1:48" x14ac:dyDescent="0.25">
      <c r="A51" s="476" t="s">
        <v>460</v>
      </c>
      <c r="B51" s="472">
        <v>17</v>
      </c>
      <c r="C51" s="472">
        <v>83</v>
      </c>
      <c r="D51" s="472">
        <v>98</v>
      </c>
      <c r="E51" s="472">
        <v>127</v>
      </c>
      <c r="F51" s="472"/>
      <c r="G51" s="472"/>
      <c r="H51" s="472">
        <v>69</v>
      </c>
      <c r="I51" s="472">
        <v>124</v>
      </c>
      <c r="J51" s="472">
        <v>416</v>
      </c>
      <c r="K51" s="472">
        <v>477</v>
      </c>
      <c r="L51" s="472"/>
      <c r="M51" s="472"/>
      <c r="N51" s="472">
        <v>44</v>
      </c>
      <c r="O51" s="472">
        <v>119</v>
      </c>
      <c r="P51" s="472">
        <v>183</v>
      </c>
      <c r="Q51" s="472">
        <v>235</v>
      </c>
      <c r="R51" s="472"/>
      <c r="S51" s="472"/>
      <c r="T51" s="472">
        <v>31</v>
      </c>
      <c r="U51" s="472">
        <v>31</v>
      </c>
      <c r="V51" s="472">
        <v>37</v>
      </c>
      <c r="W51" s="472">
        <v>42</v>
      </c>
      <c r="X51" s="472"/>
      <c r="Y51" s="472"/>
      <c r="Z51" s="472">
        <v>5</v>
      </c>
      <c r="AA51" s="472">
        <v>27</v>
      </c>
      <c r="AB51" s="472">
        <v>44</v>
      </c>
      <c r="AC51" s="472">
        <v>51</v>
      </c>
      <c r="AD51" s="472"/>
      <c r="AE51" s="472"/>
      <c r="AF51" s="472">
        <v>9</v>
      </c>
      <c r="AG51" s="472">
        <v>21</v>
      </c>
      <c r="AH51" s="472">
        <v>50</v>
      </c>
      <c r="AI51" s="472">
        <v>57</v>
      </c>
      <c r="AJ51" s="472"/>
      <c r="AK51" s="472"/>
      <c r="AL51" s="472">
        <v>24</v>
      </c>
      <c r="AM51" s="472">
        <v>29</v>
      </c>
      <c r="AN51" s="472">
        <v>40</v>
      </c>
      <c r="AO51" s="472">
        <v>63</v>
      </c>
      <c r="AP51" s="472"/>
      <c r="AQ51" s="472"/>
      <c r="AR51" s="472">
        <v>13</v>
      </c>
      <c r="AS51" s="472">
        <v>37</v>
      </c>
      <c r="AT51" s="472">
        <v>69</v>
      </c>
    </row>
    <row r="52" spans="1:48" x14ac:dyDescent="0.25">
      <c r="A52" s="476" t="s">
        <v>461</v>
      </c>
      <c r="B52" s="472">
        <v>-18</v>
      </c>
      <c r="C52" s="472">
        <v>-21</v>
      </c>
      <c r="D52" s="472">
        <v>-47</v>
      </c>
      <c r="E52" s="472">
        <v>-59</v>
      </c>
      <c r="F52" s="472"/>
      <c r="G52" s="472"/>
      <c r="H52" s="472">
        <v>-340</v>
      </c>
      <c r="I52" s="472">
        <v>-348</v>
      </c>
      <c r="J52" s="472">
        <v>-357</v>
      </c>
      <c r="K52" s="472">
        <v>-392</v>
      </c>
      <c r="L52" s="472"/>
      <c r="M52" s="472"/>
      <c r="N52" s="472">
        <v>-2</v>
      </c>
      <c r="O52" s="472">
        <v>-3</v>
      </c>
      <c r="P52" s="472">
        <v>-6</v>
      </c>
      <c r="Q52" s="472">
        <v>-47</v>
      </c>
      <c r="R52" s="472"/>
      <c r="S52" s="472"/>
      <c r="T52" s="472">
        <v>-35</v>
      </c>
      <c r="U52" s="472">
        <v>-49</v>
      </c>
      <c r="V52" s="472">
        <v>-93</v>
      </c>
      <c r="W52" s="472">
        <v>-111</v>
      </c>
      <c r="X52" s="472"/>
      <c r="Y52" s="472"/>
      <c r="Z52" s="472">
        <v>-386</v>
      </c>
      <c r="AA52" s="472">
        <v>-398</v>
      </c>
      <c r="AB52" s="472">
        <v>-449</v>
      </c>
      <c r="AC52" s="472">
        <v>-490</v>
      </c>
      <c r="AD52" s="472"/>
      <c r="AE52" s="472"/>
      <c r="AF52" s="472">
        <v>-8</v>
      </c>
      <c r="AG52" s="472">
        <v>-36</v>
      </c>
      <c r="AH52" s="472">
        <v>-44</v>
      </c>
      <c r="AI52" s="472">
        <v>-88</v>
      </c>
      <c r="AJ52" s="472"/>
      <c r="AK52" s="472"/>
      <c r="AL52" s="472">
        <v>-5</v>
      </c>
      <c r="AM52" s="472">
        <v>-20</v>
      </c>
      <c r="AN52" s="472">
        <v>-67</v>
      </c>
      <c r="AO52" s="472">
        <v>-75</v>
      </c>
      <c r="AP52" s="472"/>
      <c r="AQ52" s="472"/>
      <c r="AR52" s="472">
        <v>0</v>
      </c>
      <c r="AS52" s="472">
        <v>-32</v>
      </c>
      <c r="AT52" s="472">
        <v>-32</v>
      </c>
    </row>
    <row r="53" spans="1:48" x14ac:dyDescent="0.25">
      <c r="A53" s="476" t="s">
        <v>462</v>
      </c>
      <c r="B53" s="472">
        <v>0</v>
      </c>
      <c r="C53" s="472">
        <v>91</v>
      </c>
      <c r="D53" s="472">
        <v>93</v>
      </c>
      <c r="E53" s="472">
        <v>100</v>
      </c>
      <c r="F53" s="472"/>
      <c r="G53" s="472"/>
      <c r="H53" s="472">
        <v>12</v>
      </c>
      <c r="I53" s="472">
        <v>12</v>
      </c>
      <c r="J53" s="472">
        <v>14</v>
      </c>
      <c r="K53" s="472">
        <v>16</v>
      </c>
      <c r="L53" s="472"/>
      <c r="M53" s="472"/>
      <c r="N53" s="498"/>
      <c r="O53" s="472">
        <v>0</v>
      </c>
      <c r="P53" s="472">
        <v>3</v>
      </c>
      <c r="Q53" s="472">
        <v>41</v>
      </c>
      <c r="R53" s="472"/>
      <c r="S53" s="472"/>
      <c r="T53" s="472">
        <v>0</v>
      </c>
      <c r="U53" s="472">
        <v>13</v>
      </c>
      <c r="V53" s="472">
        <v>13</v>
      </c>
      <c r="W53" s="472">
        <v>25</v>
      </c>
      <c r="X53" s="472"/>
      <c r="Y53" s="472"/>
      <c r="Z53" s="472">
        <v>28</v>
      </c>
      <c r="AA53" s="472">
        <v>28</v>
      </c>
      <c r="AB53" s="472">
        <v>23</v>
      </c>
      <c r="AC53" s="472">
        <v>36</v>
      </c>
      <c r="AD53" s="472"/>
      <c r="AE53" s="472"/>
      <c r="AF53" s="472">
        <v>0</v>
      </c>
      <c r="AG53" s="472">
        <v>1</v>
      </c>
      <c r="AH53" s="472">
        <v>1</v>
      </c>
      <c r="AI53" s="472">
        <v>1</v>
      </c>
      <c r="AJ53" s="472"/>
      <c r="AK53" s="472"/>
      <c r="AL53" s="472">
        <v>-14</v>
      </c>
      <c r="AM53" s="472">
        <v>-14</v>
      </c>
      <c r="AN53" s="472">
        <v>-14</v>
      </c>
      <c r="AO53" s="472">
        <v>-4</v>
      </c>
      <c r="AP53" s="472"/>
      <c r="AQ53" s="472"/>
      <c r="AR53" s="472">
        <v>42</v>
      </c>
      <c r="AS53" s="472">
        <v>-61</v>
      </c>
      <c r="AT53" s="472">
        <v>-67</v>
      </c>
    </row>
    <row r="54" spans="1:48" x14ac:dyDescent="0.25">
      <c r="A54" s="476" t="s">
        <v>463</v>
      </c>
      <c r="B54" s="472">
        <v>89</v>
      </c>
      <c r="C54" s="472">
        <v>187</v>
      </c>
      <c r="D54" s="472">
        <v>431</v>
      </c>
      <c r="E54" s="472">
        <v>932</v>
      </c>
      <c r="F54" s="472"/>
      <c r="G54" s="472"/>
      <c r="H54" s="472">
        <v>89</v>
      </c>
      <c r="I54" s="472">
        <v>168</v>
      </c>
      <c r="J54" s="472">
        <v>363</v>
      </c>
      <c r="K54" s="472">
        <v>442</v>
      </c>
      <c r="L54" s="472"/>
      <c r="M54" s="472"/>
      <c r="N54" s="472">
        <v>57</v>
      </c>
      <c r="O54" s="472">
        <v>170</v>
      </c>
      <c r="P54" s="472">
        <v>281</v>
      </c>
      <c r="Q54" s="472">
        <v>529</v>
      </c>
      <c r="R54" s="472"/>
      <c r="S54" s="472"/>
      <c r="T54" s="472">
        <v>68</v>
      </c>
      <c r="U54" s="472">
        <v>151</v>
      </c>
      <c r="V54" s="472">
        <v>239</v>
      </c>
      <c r="W54" s="472">
        <v>345</v>
      </c>
      <c r="X54" s="472"/>
      <c r="Y54" s="472"/>
      <c r="Z54" s="472">
        <v>126</v>
      </c>
      <c r="AA54" s="472">
        <v>276</v>
      </c>
      <c r="AB54" s="472">
        <v>424</v>
      </c>
      <c r="AC54" s="472">
        <v>785</v>
      </c>
      <c r="AD54" s="472"/>
      <c r="AE54" s="472"/>
      <c r="AF54" s="472">
        <v>571</v>
      </c>
      <c r="AG54" s="472">
        <v>1204</v>
      </c>
      <c r="AH54" s="472">
        <v>2080</v>
      </c>
      <c r="AI54" s="472">
        <v>2383</v>
      </c>
      <c r="AJ54" s="472"/>
      <c r="AK54" s="472"/>
      <c r="AL54" s="472">
        <v>239</v>
      </c>
      <c r="AM54" s="472">
        <v>463</v>
      </c>
      <c r="AN54" s="472">
        <v>747</v>
      </c>
      <c r="AO54" s="472">
        <v>1891</v>
      </c>
      <c r="AP54" s="472"/>
      <c r="AQ54" s="472"/>
      <c r="AR54" s="472">
        <v>1867</v>
      </c>
      <c r="AS54" s="472">
        <v>2574</v>
      </c>
      <c r="AT54" s="472">
        <v>2841</v>
      </c>
    </row>
    <row r="55" spans="1:48" x14ac:dyDescent="0.25">
      <c r="A55" s="476" t="s">
        <v>464</v>
      </c>
      <c r="B55" s="472">
        <v>-65</v>
      </c>
      <c r="C55" s="472">
        <v>-207</v>
      </c>
      <c r="D55" s="472">
        <v>-594</v>
      </c>
      <c r="E55" s="472">
        <v>-1048</v>
      </c>
      <c r="F55" s="472"/>
      <c r="G55" s="472"/>
      <c r="H55" s="472">
        <v>-197</v>
      </c>
      <c r="I55" s="472">
        <v>-318</v>
      </c>
      <c r="J55" s="472">
        <v>-417</v>
      </c>
      <c r="K55" s="472">
        <v>-506</v>
      </c>
      <c r="L55" s="472"/>
      <c r="M55" s="472"/>
      <c r="N55" s="472">
        <v>-107</v>
      </c>
      <c r="O55" s="472">
        <v>-243</v>
      </c>
      <c r="P55" s="472">
        <v>-425</v>
      </c>
      <c r="Q55" s="472">
        <v>-552</v>
      </c>
      <c r="R55" s="472"/>
      <c r="S55" s="472"/>
      <c r="T55" s="472">
        <v>-180</v>
      </c>
      <c r="U55" s="472">
        <v>-369</v>
      </c>
      <c r="V55" s="472">
        <v>-512</v>
      </c>
      <c r="W55" s="472">
        <v>-638</v>
      </c>
      <c r="X55" s="472"/>
      <c r="Y55" s="472"/>
      <c r="Z55" s="472">
        <v>-148</v>
      </c>
      <c r="AA55" s="472">
        <v>-500</v>
      </c>
      <c r="AB55" s="472">
        <v>-934</v>
      </c>
      <c r="AC55" s="472">
        <v>-1766</v>
      </c>
      <c r="AD55" s="472"/>
      <c r="AE55" s="472"/>
      <c r="AF55" s="472">
        <v>-1438</v>
      </c>
      <c r="AG55" s="472">
        <v>-2118</v>
      </c>
      <c r="AH55" s="472">
        <v>-2399</v>
      </c>
      <c r="AI55" s="472">
        <v>-3077</v>
      </c>
      <c r="AJ55" s="472"/>
      <c r="AK55" s="472"/>
      <c r="AL55" s="472">
        <v>-536</v>
      </c>
      <c r="AM55" s="472">
        <v>-1078</v>
      </c>
      <c r="AN55" s="472">
        <v>-3689</v>
      </c>
      <c r="AO55" s="472">
        <v>-4405</v>
      </c>
      <c r="AP55" s="472"/>
      <c r="AQ55" s="472"/>
      <c r="AR55" s="472">
        <v>-275</v>
      </c>
      <c r="AS55" s="472">
        <v>-523</v>
      </c>
      <c r="AT55" s="472">
        <v>-892</v>
      </c>
    </row>
    <row r="56" spans="1:48" x14ac:dyDescent="0.25">
      <c r="A56" s="476" t="s">
        <v>465</v>
      </c>
      <c r="B56" s="472">
        <v>9</v>
      </c>
      <c r="C56" s="472">
        <v>25</v>
      </c>
      <c r="D56" s="472">
        <v>73</v>
      </c>
      <c r="E56" s="472">
        <v>89</v>
      </c>
      <c r="F56" s="472"/>
      <c r="G56" s="472"/>
      <c r="H56" s="472">
        <v>16</v>
      </c>
      <c r="I56" s="472">
        <v>21</v>
      </c>
      <c r="J56" s="472">
        <v>24</v>
      </c>
      <c r="K56" s="472">
        <v>13</v>
      </c>
      <c r="L56" s="472"/>
      <c r="M56" s="472"/>
      <c r="N56" s="472">
        <v>-38</v>
      </c>
      <c r="O56" s="472">
        <v>-40</v>
      </c>
      <c r="P56" s="472">
        <v>-37</v>
      </c>
      <c r="Q56" s="472">
        <v>-24</v>
      </c>
      <c r="R56" s="472"/>
      <c r="S56" s="472"/>
      <c r="T56" s="472">
        <v>35</v>
      </c>
      <c r="U56" s="472">
        <v>7</v>
      </c>
      <c r="V56" s="472">
        <v>-80</v>
      </c>
      <c r="W56" s="472">
        <v>-66</v>
      </c>
      <c r="X56" s="472"/>
      <c r="Y56" s="472"/>
      <c r="Z56" s="472">
        <v>-48</v>
      </c>
      <c r="AA56" s="472">
        <v>-63</v>
      </c>
      <c r="AB56" s="472">
        <v>-8</v>
      </c>
      <c r="AC56" s="472">
        <v>79</v>
      </c>
      <c r="AD56" s="472"/>
      <c r="AE56" s="472"/>
      <c r="AF56" s="472">
        <v>-15</v>
      </c>
      <c r="AG56" s="472">
        <v>32</v>
      </c>
      <c r="AH56" s="472">
        <v>15</v>
      </c>
      <c r="AI56" s="472">
        <v>14</v>
      </c>
      <c r="AJ56" s="472"/>
      <c r="AK56" s="472"/>
      <c r="AL56" s="472">
        <v>26</v>
      </c>
      <c r="AM56" s="472">
        <v>41</v>
      </c>
      <c r="AN56" s="472">
        <v>32</v>
      </c>
      <c r="AO56" s="472">
        <v>97</v>
      </c>
      <c r="AP56" s="472"/>
      <c r="AQ56" s="472"/>
      <c r="AR56" s="472">
        <v>8</v>
      </c>
      <c r="AS56" s="472">
        <v>57</v>
      </c>
      <c r="AT56" s="472">
        <v>137</v>
      </c>
    </row>
    <row r="57" spans="1:48" x14ac:dyDescent="0.25">
      <c r="A57" s="476" t="s">
        <v>466</v>
      </c>
      <c r="B57" s="472">
        <v>-93</v>
      </c>
      <c r="C57" s="472">
        <v>-159</v>
      </c>
      <c r="D57" s="472">
        <v>-433</v>
      </c>
      <c r="E57" s="472">
        <v>-966</v>
      </c>
      <c r="F57" s="472"/>
      <c r="G57" s="472"/>
      <c r="H57" s="472">
        <v>-800</v>
      </c>
      <c r="I57" s="472">
        <v>-2068</v>
      </c>
      <c r="J57" s="472">
        <v>-2414</v>
      </c>
      <c r="K57" s="472">
        <v>-3212</v>
      </c>
      <c r="L57" s="472"/>
      <c r="M57" s="472"/>
      <c r="N57" s="472">
        <v>-181</v>
      </c>
      <c r="O57" s="472">
        <v>-1079</v>
      </c>
      <c r="P57" s="472">
        <v>-1354</v>
      </c>
      <c r="Q57" s="472">
        <v>-1928</v>
      </c>
      <c r="R57" s="472"/>
      <c r="S57" s="472"/>
      <c r="T57" s="472">
        <v>-213</v>
      </c>
      <c r="U57" s="472">
        <v>-743</v>
      </c>
      <c r="V57" s="472">
        <v>-959</v>
      </c>
      <c r="W57" s="472">
        <v>-1485</v>
      </c>
      <c r="X57" s="472"/>
      <c r="Y57" s="472"/>
      <c r="Z57" s="472">
        <v>-477</v>
      </c>
      <c r="AA57" s="472">
        <v>-1717</v>
      </c>
      <c r="AB57" s="472">
        <v>-2092</v>
      </c>
      <c r="AC57" s="472">
        <v>-3084</v>
      </c>
      <c r="AD57" s="472"/>
      <c r="AE57" s="472"/>
      <c r="AF57" s="472">
        <v>-1313</v>
      </c>
      <c r="AG57" s="472">
        <v>-1888</v>
      </c>
      <c r="AH57" s="472">
        <v>-1698</v>
      </c>
      <c r="AI57" s="472">
        <v>-2541</v>
      </c>
      <c r="AJ57" s="472"/>
      <c r="AK57" s="472"/>
      <c r="AL57" s="472">
        <v>-683</v>
      </c>
      <c r="AM57" s="472">
        <v>-1882</v>
      </c>
      <c r="AN57" s="472">
        <v>-5317</v>
      </c>
      <c r="AO57" s="472">
        <v>-5871</v>
      </c>
      <c r="AP57" s="472"/>
      <c r="AQ57" s="472"/>
      <c r="AR57" s="472">
        <v>958</v>
      </c>
      <c r="AS57" s="472">
        <v>236</v>
      </c>
      <c r="AT57" s="472">
        <v>-804</v>
      </c>
    </row>
    <row r="58" spans="1:48" x14ac:dyDescent="0.25">
      <c r="A58" s="476"/>
      <c r="B58" s="472"/>
      <c r="C58" s="472"/>
      <c r="D58" s="472"/>
      <c r="E58" s="472"/>
      <c r="F58" s="472"/>
      <c r="G58" s="472"/>
      <c r="H58" s="472"/>
      <c r="I58" s="472"/>
      <c r="J58" s="472"/>
      <c r="K58" s="472"/>
      <c r="L58" s="472"/>
      <c r="M58" s="472"/>
      <c r="N58" s="472"/>
      <c r="O58" s="472"/>
      <c r="P58" s="472"/>
      <c r="Q58" s="472"/>
      <c r="R58" s="472"/>
      <c r="S58" s="472"/>
      <c r="T58" s="472"/>
      <c r="U58" s="472"/>
      <c r="V58" s="472"/>
      <c r="W58" s="472"/>
      <c r="X58" s="472"/>
      <c r="Y58" s="472"/>
      <c r="Z58" s="472"/>
      <c r="AA58" s="472"/>
      <c r="AB58" s="472"/>
      <c r="AC58" s="472"/>
      <c r="AD58" s="472"/>
      <c r="AE58" s="472"/>
      <c r="AF58" s="472"/>
      <c r="AG58" s="472"/>
      <c r="AH58" s="472"/>
      <c r="AI58" s="472"/>
      <c r="AJ58" s="472"/>
      <c r="AK58" s="472"/>
      <c r="AL58" s="472"/>
      <c r="AM58" s="472"/>
      <c r="AN58" s="472"/>
      <c r="AO58" s="472"/>
      <c r="AP58" s="472"/>
      <c r="AQ58" s="472"/>
      <c r="AR58" s="472"/>
      <c r="AS58" s="472"/>
      <c r="AT58" s="472"/>
    </row>
    <row r="59" spans="1:48" x14ac:dyDescent="0.25">
      <c r="A59" s="476" t="s">
        <v>455</v>
      </c>
      <c r="B59" s="472">
        <f t="shared" ref="B59:B70" si="23">B46</f>
        <v>-204</v>
      </c>
      <c r="C59" s="472">
        <f t="shared" ref="C59:E70" si="24">C46-B46</f>
        <v>-167</v>
      </c>
      <c r="D59" s="472">
        <f t="shared" si="24"/>
        <v>-195</v>
      </c>
      <c r="E59" s="472">
        <f t="shared" si="24"/>
        <v>-332</v>
      </c>
      <c r="F59" s="472">
        <f t="shared" ref="F59:F70" si="25">SUM(B59:E59)</f>
        <v>-898</v>
      </c>
      <c r="G59" s="472"/>
      <c r="H59" s="472">
        <f t="shared" ref="H59:H70" si="26">H46</f>
        <v>-412</v>
      </c>
      <c r="I59" s="472">
        <f t="shared" ref="I59:K70" si="27">I46-H46</f>
        <v>-233</v>
      </c>
      <c r="J59" s="472">
        <f t="shared" si="27"/>
        <v>-276</v>
      </c>
      <c r="K59" s="472">
        <f t="shared" si="27"/>
        <v>-355</v>
      </c>
      <c r="L59" s="472">
        <f t="shared" ref="L59:L70" si="28">SUM(H59:K59)</f>
        <v>-1276</v>
      </c>
      <c r="M59" s="472"/>
      <c r="N59" s="472">
        <f t="shared" ref="N59:N70" si="29">N46</f>
        <v>-278</v>
      </c>
      <c r="O59" s="472">
        <f t="shared" ref="O59:Q70" si="30">O46-N46</f>
        <v>-201</v>
      </c>
      <c r="P59" s="472">
        <f t="shared" si="30"/>
        <v>-244</v>
      </c>
      <c r="Q59" s="472">
        <f t="shared" si="30"/>
        <v>-333</v>
      </c>
      <c r="R59" s="472">
        <f t="shared" ref="R59:R70" si="31">SUM(N59:Q59)</f>
        <v>-1056</v>
      </c>
      <c r="S59" s="472"/>
      <c r="T59" s="472">
        <f t="shared" ref="T59:T70" si="32">T46</f>
        <v>-305</v>
      </c>
      <c r="U59" s="472">
        <f t="shared" ref="U59:W70" si="33">U46-T46</f>
        <v>-167</v>
      </c>
      <c r="V59" s="472">
        <f t="shared" si="33"/>
        <v>-214</v>
      </c>
      <c r="W59" s="472">
        <f t="shared" si="33"/>
        <v>-292</v>
      </c>
      <c r="X59" s="472">
        <f t="shared" ref="X59:X70" si="34">SUM(T59:W59)</f>
        <v>-978</v>
      </c>
      <c r="Y59" s="472"/>
      <c r="Z59" s="472">
        <f t="shared" ref="Z59:Z70" si="35">Z46</f>
        <v>-252</v>
      </c>
      <c r="AA59" s="472">
        <f t="shared" ref="AA59:AC70" si="36">AA46-Z46</f>
        <v>-167</v>
      </c>
      <c r="AB59" s="472">
        <f t="shared" si="36"/>
        <v>-254</v>
      </c>
      <c r="AC59" s="472">
        <f t="shared" si="36"/>
        <v>-420</v>
      </c>
      <c r="AD59" s="472">
        <f t="shared" ref="AD59:AD70" si="37">SUM(Z59:AC59)</f>
        <v>-1093</v>
      </c>
      <c r="AE59" s="472"/>
      <c r="AF59" s="472">
        <f t="shared" ref="AF59:AF70" si="38">AF46</f>
        <v>-346</v>
      </c>
      <c r="AG59" s="472">
        <f t="shared" ref="AG59:AI70" si="39">AG46-AF46</f>
        <v>-240</v>
      </c>
      <c r="AH59" s="472">
        <f t="shared" si="39"/>
        <v>-282</v>
      </c>
      <c r="AI59" s="472">
        <f t="shared" si="39"/>
        <v>-428</v>
      </c>
      <c r="AJ59" s="472">
        <f t="shared" ref="AJ59:AJ70" si="40">SUM(AF59:AI59)</f>
        <v>-1296</v>
      </c>
      <c r="AK59" s="472"/>
      <c r="AL59" s="472">
        <f t="shared" ref="AL59:AL70" si="41">AL46</f>
        <v>-422</v>
      </c>
      <c r="AM59" s="472">
        <f t="shared" ref="AM59:AO70" si="42">AM46-AL46</f>
        <v>-261</v>
      </c>
      <c r="AN59" s="472">
        <f t="shared" si="42"/>
        <v>-378</v>
      </c>
      <c r="AO59" s="472">
        <f t="shared" si="42"/>
        <v>-536</v>
      </c>
      <c r="AP59" s="472">
        <f t="shared" ref="AP59:AP70" si="43">SUM(AL59:AO59)</f>
        <v>-1597</v>
      </c>
      <c r="AQ59" s="472"/>
      <c r="AR59" s="472">
        <f t="shared" ref="AR59:AR70" si="44">AR46</f>
        <v>-500</v>
      </c>
      <c r="AS59" s="472">
        <f t="shared" ref="AS59:AU70" si="45">AS46-AR46</f>
        <v>-341</v>
      </c>
      <c r="AT59" s="472">
        <f t="shared" si="45"/>
        <v>-444</v>
      </c>
      <c r="AU59" s="472">
        <f t="shared" si="45"/>
        <v>1285</v>
      </c>
      <c r="AV59" s="472">
        <f t="shared" ref="AV59:AV70" si="46">SUM(AR59:AU59)</f>
        <v>0</v>
      </c>
    </row>
    <row r="60" spans="1:48" x14ac:dyDescent="0.25">
      <c r="A60" s="476" t="s">
        <v>456</v>
      </c>
      <c r="B60" s="472">
        <f t="shared" si="23"/>
        <v>-305</v>
      </c>
      <c r="C60" s="472">
        <f t="shared" si="24"/>
        <v>-448</v>
      </c>
      <c r="D60" s="472">
        <f t="shared" si="24"/>
        <v>-318</v>
      </c>
      <c r="E60" s="472">
        <f t="shared" si="24"/>
        <v>-367</v>
      </c>
      <c r="F60" s="472">
        <f t="shared" si="25"/>
        <v>-1438</v>
      </c>
      <c r="G60" s="472"/>
      <c r="H60" s="472">
        <f t="shared" si="26"/>
        <v>-345</v>
      </c>
      <c r="I60" s="472">
        <f t="shared" si="27"/>
        <v>-538</v>
      </c>
      <c r="J60" s="472">
        <f t="shared" si="27"/>
        <v>-325</v>
      </c>
      <c r="K60" s="472">
        <f t="shared" si="27"/>
        <v>-432</v>
      </c>
      <c r="L60" s="472">
        <f t="shared" si="28"/>
        <v>-1640</v>
      </c>
      <c r="M60" s="472"/>
      <c r="N60" s="472">
        <f t="shared" si="29"/>
        <v>-269</v>
      </c>
      <c r="O60" s="472">
        <f t="shared" si="30"/>
        <v>-477</v>
      </c>
      <c r="P60" s="472">
        <f t="shared" si="30"/>
        <v>-387</v>
      </c>
      <c r="Q60" s="472">
        <f t="shared" si="30"/>
        <v>-480</v>
      </c>
      <c r="R60" s="472">
        <f t="shared" si="31"/>
        <v>-1613</v>
      </c>
      <c r="S60" s="472"/>
      <c r="T60" s="472">
        <f t="shared" si="32"/>
        <v>-243</v>
      </c>
      <c r="U60" s="472">
        <f t="shared" si="33"/>
        <v>-283</v>
      </c>
      <c r="V60" s="472">
        <f t="shared" si="33"/>
        <v>-279</v>
      </c>
      <c r="W60" s="472">
        <f t="shared" si="33"/>
        <v>-332</v>
      </c>
      <c r="X60" s="472">
        <f t="shared" si="34"/>
        <v>-1137</v>
      </c>
      <c r="Y60" s="472"/>
      <c r="Z60" s="472">
        <f t="shared" si="35"/>
        <v>-252</v>
      </c>
      <c r="AA60" s="472">
        <f t="shared" si="36"/>
        <v>-429</v>
      </c>
      <c r="AB60" s="472">
        <f t="shared" si="36"/>
        <v>-333</v>
      </c>
      <c r="AC60" s="472">
        <f t="shared" si="36"/>
        <v>-365</v>
      </c>
      <c r="AD60" s="472">
        <f t="shared" si="37"/>
        <v>-1379</v>
      </c>
      <c r="AE60" s="472"/>
      <c r="AF60" s="472">
        <f t="shared" si="38"/>
        <v>-333</v>
      </c>
      <c r="AG60" s="472">
        <f t="shared" si="39"/>
        <v>-355</v>
      </c>
      <c r="AH60" s="472">
        <f t="shared" si="39"/>
        <v>-335</v>
      </c>
      <c r="AI60" s="472">
        <f t="shared" si="39"/>
        <v>-280</v>
      </c>
      <c r="AJ60" s="472">
        <f t="shared" si="40"/>
        <v>-1303</v>
      </c>
      <c r="AK60" s="472"/>
      <c r="AL60" s="472">
        <f t="shared" si="41"/>
        <v>-328</v>
      </c>
      <c r="AM60" s="472">
        <f t="shared" si="42"/>
        <v>-446</v>
      </c>
      <c r="AN60" s="472">
        <f t="shared" si="42"/>
        <v>-403</v>
      </c>
      <c r="AO60" s="472">
        <f t="shared" si="42"/>
        <v>-318</v>
      </c>
      <c r="AP60" s="472">
        <f t="shared" si="43"/>
        <v>-1495</v>
      </c>
      <c r="AQ60" s="472"/>
      <c r="AR60" s="472">
        <f t="shared" si="44"/>
        <v>-236</v>
      </c>
      <c r="AS60" s="472">
        <f t="shared" si="45"/>
        <v>-378</v>
      </c>
      <c r="AT60" s="472">
        <f t="shared" si="45"/>
        <v>-279</v>
      </c>
      <c r="AU60" s="472">
        <f t="shared" si="45"/>
        <v>893</v>
      </c>
      <c r="AV60" s="472">
        <f t="shared" si="46"/>
        <v>0</v>
      </c>
    </row>
    <row r="61" spans="1:48" x14ac:dyDescent="0.25">
      <c r="A61" s="476" t="s">
        <v>457</v>
      </c>
      <c r="B61" s="472">
        <f t="shared" si="23"/>
        <v>234</v>
      </c>
      <c r="C61" s="472">
        <f t="shared" si="24"/>
        <v>329</v>
      </c>
      <c r="D61" s="472">
        <f t="shared" si="24"/>
        <v>301</v>
      </c>
      <c r="E61" s="472">
        <f t="shared" si="24"/>
        <v>300</v>
      </c>
      <c r="F61" s="472">
        <f t="shared" si="25"/>
        <v>1164</v>
      </c>
      <c r="G61" s="472"/>
      <c r="H61" s="472">
        <f t="shared" si="26"/>
        <v>258</v>
      </c>
      <c r="I61" s="472">
        <f t="shared" si="27"/>
        <v>281</v>
      </c>
      <c r="J61" s="472">
        <f t="shared" si="27"/>
        <v>193</v>
      </c>
      <c r="K61" s="472">
        <f t="shared" si="27"/>
        <v>204</v>
      </c>
      <c r="L61" s="472">
        <f t="shared" si="28"/>
        <v>936</v>
      </c>
      <c r="M61" s="472"/>
      <c r="N61" s="472">
        <f t="shared" si="29"/>
        <v>209</v>
      </c>
      <c r="O61" s="472">
        <f t="shared" si="30"/>
        <v>213</v>
      </c>
      <c r="P61" s="472">
        <f t="shared" si="30"/>
        <v>390</v>
      </c>
      <c r="Q61" s="472">
        <f t="shared" si="30"/>
        <v>341</v>
      </c>
      <c r="R61" s="472">
        <f t="shared" si="31"/>
        <v>1153</v>
      </c>
      <c r="S61" s="472"/>
      <c r="T61" s="472">
        <f t="shared" si="32"/>
        <v>216</v>
      </c>
      <c r="U61" s="472">
        <f t="shared" si="33"/>
        <v>166</v>
      </c>
      <c r="V61" s="472">
        <f t="shared" si="33"/>
        <v>168</v>
      </c>
      <c r="W61" s="472">
        <f t="shared" si="33"/>
        <v>222</v>
      </c>
      <c r="X61" s="472">
        <f t="shared" si="34"/>
        <v>772</v>
      </c>
      <c r="Y61" s="472"/>
      <c r="Z61" s="472">
        <f t="shared" si="35"/>
        <v>309</v>
      </c>
      <c r="AA61" s="472">
        <f t="shared" si="36"/>
        <v>327</v>
      </c>
      <c r="AB61" s="472">
        <f t="shared" si="36"/>
        <v>241</v>
      </c>
      <c r="AC61" s="472">
        <f t="shared" si="36"/>
        <v>388</v>
      </c>
      <c r="AD61" s="472">
        <f t="shared" si="37"/>
        <v>1265</v>
      </c>
      <c r="AE61" s="472"/>
      <c r="AF61" s="472">
        <f t="shared" si="38"/>
        <v>269</v>
      </c>
      <c r="AG61" s="472">
        <f t="shared" si="39"/>
        <v>199</v>
      </c>
      <c r="AH61" s="472">
        <f t="shared" si="39"/>
        <v>198</v>
      </c>
      <c r="AI61" s="472">
        <f t="shared" si="39"/>
        <v>164</v>
      </c>
      <c r="AJ61" s="472">
        <f t="shared" si="40"/>
        <v>830</v>
      </c>
      <c r="AK61" s="472"/>
      <c r="AL61" s="472">
        <f t="shared" si="41"/>
        <v>184</v>
      </c>
      <c r="AM61" s="472">
        <f t="shared" si="42"/>
        <v>184</v>
      </c>
      <c r="AN61" s="472">
        <f t="shared" si="42"/>
        <v>195</v>
      </c>
      <c r="AO61" s="472">
        <f t="shared" si="42"/>
        <v>218</v>
      </c>
      <c r="AP61" s="472">
        <f t="shared" si="43"/>
        <v>781</v>
      </c>
      <c r="AQ61" s="472"/>
      <c r="AR61" s="472">
        <f t="shared" si="44"/>
        <v>155</v>
      </c>
      <c r="AS61" s="472">
        <f t="shared" si="45"/>
        <v>187</v>
      </c>
      <c r="AT61" s="472">
        <f t="shared" si="45"/>
        <v>199</v>
      </c>
      <c r="AU61" s="472">
        <f t="shared" si="45"/>
        <v>-541</v>
      </c>
      <c r="AV61" s="472">
        <f t="shared" si="46"/>
        <v>0</v>
      </c>
    </row>
    <row r="62" spans="1:48" x14ac:dyDescent="0.25">
      <c r="A62" s="476" t="s">
        <v>458</v>
      </c>
      <c r="B62" s="472">
        <f t="shared" si="23"/>
        <v>-2122</v>
      </c>
      <c r="C62" s="472">
        <f t="shared" si="24"/>
        <v>-3142</v>
      </c>
      <c r="D62" s="472">
        <f t="shared" si="24"/>
        <v>-2982</v>
      </c>
      <c r="E62" s="472">
        <f t="shared" si="24"/>
        <v>-3707</v>
      </c>
      <c r="F62" s="472">
        <f t="shared" si="25"/>
        <v>-11953</v>
      </c>
      <c r="G62" s="472"/>
      <c r="H62" s="472">
        <f t="shared" si="26"/>
        <v>-2621</v>
      </c>
      <c r="I62" s="472">
        <f t="shared" si="27"/>
        <v>-3522</v>
      </c>
      <c r="J62" s="472">
        <f t="shared" si="27"/>
        <v>-2949</v>
      </c>
      <c r="K62" s="472">
        <f t="shared" si="27"/>
        <v>-3091</v>
      </c>
      <c r="L62" s="472">
        <f t="shared" si="28"/>
        <v>-12183</v>
      </c>
      <c r="M62" s="472"/>
      <c r="N62" s="472">
        <f t="shared" si="29"/>
        <v>-2615</v>
      </c>
      <c r="O62" s="472">
        <f t="shared" si="30"/>
        <v>-3566</v>
      </c>
      <c r="P62" s="472">
        <f t="shared" si="30"/>
        <v>-3272</v>
      </c>
      <c r="Q62" s="472">
        <f t="shared" si="30"/>
        <v>-3324</v>
      </c>
      <c r="R62" s="472">
        <f t="shared" si="31"/>
        <v>-12777</v>
      </c>
      <c r="S62" s="472"/>
      <c r="T62" s="472">
        <f t="shared" si="32"/>
        <v>-2953</v>
      </c>
      <c r="U62" s="472">
        <f t="shared" si="33"/>
        <v>-3759</v>
      </c>
      <c r="V62" s="472">
        <f t="shared" si="33"/>
        <v>-2566</v>
      </c>
      <c r="W62" s="472">
        <f t="shared" si="33"/>
        <v>-3107</v>
      </c>
      <c r="X62" s="472">
        <f t="shared" si="34"/>
        <v>-12385</v>
      </c>
      <c r="Y62" s="472"/>
      <c r="Z62" s="472">
        <f t="shared" si="35"/>
        <v>-2629</v>
      </c>
      <c r="AA62" s="472">
        <f t="shared" si="36"/>
        <v>-3574</v>
      </c>
      <c r="AB62" s="472">
        <f t="shared" si="36"/>
        <v>-3400</v>
      </c>
      <c r="AC62" s="472">
        <f t="shared" si="36"/>
        <v>-3399</v>
      </c>
      <c r="AD62" s="472">
        <f t="shared" si="37"/>
        <v>-13002</v>
      </c>
      <c r="AE62" s="472"/>
      <c r="AF62" s="472">
        <f t="shared" si="38"/>
        <v>-2988</v>
      </c>
      <c r="AG62" s="472">
        <f t="shared" si="39"/>
        <v>-3717</v>
      </c>
      <c r="AH62" s="472">
        <f t="shared" si="39"/>
        <v>-3209</v>
      </c>
      <c r="AI62" s="472">
        <f t="shared" si="39"/>
        <v>-3325</v>
      </c>
      <c r="AJ62" s="472">
        <f t="shared" si="40"/>
        <v>-13239</v>
      </c>
      <c r="AK62" s="472"/>
      <c r="AL62" s="472">
        <f t="shared" si="41"/>
        <v>-3020</v>
      </c>
      <c r="AM62" s="472">
        <f t="shared" si="42"/>
        <v>-3953</v>
      </c>
      <c r="AN62" s="472">
        <f t="shared" si="42"/>
        <v>-4109</v>
      </c>
      <c r="AO62" s="472">
        <f t="shared" si="42"/>
        <v>-4079</v>
      </c>
      <c r="AP62" s="472">
        <f t="shared" si="43"/>
        <v>-15161</v>
      </c>
      <c r="AQ62" s="472"/>
      <c r="AR62" s="472">
        <f t="shared" si="44"/>
        <v>-3256</v>
      </c>
      <c r="AS62" s="472">
        <f t="shared" si="45"/>
        <v>-4190</v>
      </c>
      <c r="AT62" s="472">
        <f t="shared" si="45"/>
        <v>-4011</v>
      </c>
      <c r="AU62" s="472">
        <f t="shared" si="45"/>
        <v>11457</v>
      </c>
      <c r="AV62" s="472">
        <f t="shared" si="46"/>
        <v>0</v>
      </c>
    </row>
    <row r="63" spans="1:48" x14ac:dyDescent="0.25">
      <c r="A63" s="476" t="s">
        <v>459</v>
      </c>
      <c r="B63" s="472">
        <f t="shared" si="23"/>
        <v>2272</v>
      </c>
      <c r="C63" s="472">
        <f t="shared" si="24"/>
        <v>3236</v>
      </c>
      <c r="D63" s="472">
        <f t="shared" si="24"/>
        <v>3024</v>
      </c>
      <c r="E63" s="472">
        <f t="shared" si="24"/>
        <v>3486</v>
      </c>
      <c r="F63" s="472">
        <f t="shared" si="25"/>
        <v>12018</v>
      </c>
      <c r="G63" s="472"/>
      <c r="H63" s="472">
        <f t="shared" si="26"/>
        <v>2671</v>
      </c>
      <c r="I63" s="472">
        <f t="shared" si="27"/>
        <v>2734</v>
      </c>
      <c r="J63" s="472">
        <f t="shared" si="27"/>
        <v>2627</v>
      </c>
      <c r="K63" s="472">
        <f t="shared" si="27"/>
        <v>2869</v>
      </c>
      <c r="L63" s="472">
        <f t="shared" si="28"/>
        <v>10901</v>
      </c>
      <c r="M63" s="472"/>
      <c r="N63" s="472">
        <f t="shared" si="29"/>
        <v>2818</v>
      </c>
      <c r="O63" s="472">
        <f t="shared" si="30"/>
        <v>3084</v>
      </c>
      <c r="P63" s="472">
        <f t="shared" si="30"/>
        <v>3242</v>
      </c>
      <c r="Q63" s="472">
        <f t="shared" si="30"/>
        <v>3039</v>
      </c>
      <c r="R63" s="472">
        <f t="shared" si="31"/>
        <v>12183</v>
      </c>
      <c r="S63" s="472"/>
      <c r="T63" s="472">
        <f t="shared" si="32"/>
        <v>3153</v>
      </c>
      <c r="U63" s="472">
        <f t="shared" si="33"/>
        <v>3648</v>
      </c>
      <c r="V63" s="472">
        <f t="shared" si="33"/>
        <v>2855</v>
      </c>
      <c r="W63" s="472">
        <f t="shared" si="33"/>
        <v>2990</v>
      </c>
      <c r="X63" s="472">
        <f t="shared" si="34"/>
        <v>12646</v>
      </c>
      <c r="Y63" s="472"/>
      <c r="Z63" s="472">
        <f t="shared" si="35"/>
        <v>2770</v>
      </c>
      <c r="AA63" s="472">
        <f t="shared" si="36"/>
        <v>2810</v>
      </c>
      <c r="AB63" s="472">
        <f t="shared" si="36"/>
        <v>3641</v>
      </c>
      <c r="AC63" s="472">
        <f t="shared" si="36"/>
        <v>3209</v>
      </c>
      <c r="AD63" s="472">
        <f t="shared" si="37"/>
        <v>12430</v>
      </c>
      <c r="AE63" s="472"/>
      <c r="AF63" s="472">
        <f t="shared" si="38"/>
        <v>2966</v>
      </c>
      <c r="AG63" s="472">
        <f t="shared" si="39"/>
        <v>3553</v>
      </c>
      <c r="AH63" s="472">
        <f t="shared" si="39"/>
        <v>3219</v>
      </c>
      <c r="AI63" s="472">
        <f t="shared" si="39"/>
        <v>3439</v>
      </c>
      <c r="AJ63" s="472">
        <f t="shared" si="40"/>
        <v>13177</v>
      </c>
      <c r="AK63" s="472"/>
      <c r="AL63" s="472">
        <f t="shared" si="41"/>
        <v>3169</v>
      </c>
      <c r="AM63" s="472">
        <f t="shared" si="42"/>
        <v>3590</v>
      </c>
      <c r="AN63" s="472">
        <f t="shared" si="42"/>
        <v>3632</v>
      </c>
      <c r="AO63" s="472">
        <f t="shared" si="42"/>
        <v>3643</v>
      </c>
      <c r="AP63" s="472">
        <f t="shared" si="43"/>
        <v>14034</v>
      </c>
      <c r="AQ63" s="472"/>
      <c r="AR63" s="472">
        <f t="shared" si="44"/>
        <v>3140</v>
      </c>
      <c r="AS63" s="472">
        <f t="shared" si="45"/>
        <v>3603</v>
      </c>
      <c r="AT63" s="472">
        <f t="shared" si="45"/>
        <v>3491</v>
      </c>
      <c r="AU63" s="472">
        <f t="shared" si="45"/>
        <v>-10234</v>
      </c>
      <c r="AV63" s="472">
        <f t="shared" si="46"/>
        <v>0</v>
      </c>
    </row>
    <row r="64" spans="1:48" x14ac:dyDescent="0.25">
      <c r="A64" s="476" t="s">
        <v>460</v>
      </c>
      <c r="B64" s="472">
        <f t="shared" si="23"/>
        <v>17</v>
      </c>
      <c r="C64" s="472">
        <f t="shared" si="24"/>
        <v>66</v>
      </c>
      <c r="D64" s="472">
        <f t="shared" si="24"/>
        <v>15</v>
      </c>
      <c r="E64" s="472">
        <f t="shared" si="24"/>
        <v>29</v>
      </c>
      <c r="F64" s="472">
        <f t="shared" si="25"/>
        <v>127</v>
      </c>
      <c r="G64" s="472"/>
      <c r="H64" s="472">
        <f t="shared" si="26"/>
        <v>69</v>
      </c>
      <c r="I64" s="472">
        <f t="shared" si="27"/>
        <v>55</v>
      </c>
      <c r="J64" s="472">
        <f t="shared" si="27"/>
        <v>292</v>
      </c>
      <c r="K64" s="472">
        <f t="shared" si="27"/>
        <v>61</v>
      </c>
      <c r="L64" s="472">
        <f t="shared" si="28"/>
        <v>477</v>
      </c>
      <c r="M64" s="472"/>
      <c r="N64" s="472">
        <f t="shared" si="29"/>
        <v>44</v>
      </c>
      <c r="O64" s="472">
        <f t="shared" si="30"/>
        <v>75</v>
      </c>
      <c r="P64" s="472">
        <f t="shared" si="30"/>
        <v>64</v>
      </c>
      <c r="Q64" s="472">
        <f t="shared" si="30"/>
        <v>52</v>
      </c>
      <c r="R64" s="472">
        <f t="shared" si="31"/>
        <v>235</v>
      </c>
      <c r="S64" s="472"/>
      <c r="T64" s="472">
        <f t="shared" si="32"/>
        <v>31</v>
      </c>
      <c r="U64" s="472">
        <f t="shared" si="33"/>
        <v>0</v>
      </c>
      <c r="V64" s="472">
        <f t="shared" si="33"/>
        <v>6</v>
      </c>
      <c r="W64" s="472">
        <f t="shared" si="33"/>
        <v>5</v>
      </c>
      <c r="X64" s="472">
        <f t="shared" si="34"/>
        <v>42</v>
      </c>
      <c r="Y64" s="472"/>
      <c r="Z64" s="472">
        <f t="shared" si="35"/>
        <v>5</v>
      </c>
      <c r="AA64" s="472">
        <f t="shared" si="36"/>
        <v>22</v>
      </c>
      <c r="AB64" s="472">
        <f t="shared" si="36"/>
        <v>17</v>
      </c>
      <c r="AC64" s="472">
        <f t="shared" si="36"/>
        <v>7</v>
      </c>
      <c r="AD64" s="472">
        <f t="shared" si="37"/>
        <v>51</v>
      </c>
      <c r="AE64" s="472"/>
      <c r="AF64" s="472">
        <f t="shared" si="38"/>
        <v>9</v>
      </c>
      <c r="AG64" s="472">
        <f t="shared" si="39"/>
        <v>12</v>
      </c>
      <c r="AH64" s="472">
        <f t="shared" si="39"/>
        <v>29</v>
      </c>
      <c r="AI64" s="472">
        <f t="shared" si="39"/>
        <v>7</v>
      </c>
      <c r="AJ64" s="472">
        <f t="shared" si="40"/>
        <v>57</v>
      </c>
      <c r="AK64" s="472"/>
      <c r="AL64" s="472">
        <f t="shared" si="41"/>
        <v>24</v>
      </c>
      <c r="AM64" s="472">
        <f t="shared" si="42"/>
        <v>5</v>
      </c>
      <c r="AN64" s="472">
        <f t="shared" si="42"/>
        <v>11</v>
      </c>
      <c r="AO64" s="472">
        <f t="shared" si="42"/>
        <v>23</v>
      </c>
      <c r="AP64" s="472">
        <f t="shared" si="43"/>
        <v>63</v>
      </c>
      <c r="AQ64" s="472"/>
      <c r="AR64" s="472">
        <f t="shared" si="44"/>
        <v>13</v>
      </c>
      <c r="AS64" s="472">
        <f t="shared" si="45"/>
        <v>24</v>
      </c>
      <c r="AT64" s="472">
        <f t="shared" si="45"/>
        <v>32</v>
      </c>
      <c r="AU64" s="472">
        <f t="shared" si="45"/>
        <v>-69</v>
      </c>
      <c r="AV64" s="472">
        <f t="shared" si="46"/>
        <v>0</v>
      </c>
    </row>
    <row r="65" spans="1:48" x14ac:dyDescent="0.25">
      <c r="A65" s="476" t="s">
        <v>461</v>
      </c>
      <c r="B65" s="472">
        <f t="shared" si="23"/>
        <v>-18</v>
      </c>
      <c r="C65" s="472">
        <f t="shared" si="24"/>
        <v>-3</v>
      </c>
      <c r="D65" s="472">
        <f t="shared" si="24"/>
        <v>-26</v>
      </c>
      <c r="E65" s="472">
        <f t="shared" si="24"/>
        <v>-12</v>
      </c>
      <c r="F65" s="472">
        <f t="shared" si="25"/>
        <v>-59</v>
      </c>
      <c r="G65" s="472"/>
      <c r="H65" s="472">
        <f t="shared" si="26"/>
        <v>-340</v>
      </c>
      <c r="I65" s="472">
        <f t="shared" si="27"/>
        <v>-8</v>
      </c>
      <c r="J65" s="472">
        <f t="shared" si="27"/>
        <v>-9</v>
      </c>
      <c r="K65" s="472">
        <f t="shared" si="27"/>
        <v>-35</v>
      </c>
      <c r="L65" s="472">
        <f t="shared" si="28"/>
        <v>-392</v>
      </c>
      <c r="M65" s="472"/>
      <c r="N65" s="472">
        <f t="shared" si="29"/>
        <v>-2</v>
      </c>
      <c r="O65" s="472">
        <f t="shared" si="30"/>
        <v>-1</v>
      </c>
      <c r="P65" s="472">
        <f t="shared" si="30"/>
        <v>-3</v>
      </c>
      <c r="Q65" s="472">
        <f t="shared" si="30"/>
        <v>-41</v>
      </c>
      <c r="R65" s="472">
        <f t="shared" si="31"/>
        <v>-47</v>
      </c>
      <c r="S65" s="472"/>
      <c r="T65" s="472">
        <f t="shared" si="32"/>
        <v>-35</v>
      </c>
      <c r="U65" s="472">
        <f t="shared" si="33"/>
        <v>-14</v>
      </c>
      <c r="V65" s="472">
        <f t="shared" si="33"/>
        <v>-44</v>
      </c>
      <c r="W65" s="472">
        <f t="shared" si="33"/>
        <v>-18</v>
      </c>
      <c r="X65" s="472">
        <f t="shared" si="34"/>
        <v>-111</v>
      </c>
      <c r="Y65" s="472"/>
      <c r="Z65" s="472">
        <f t="shared" si="35"/>
        <v>-386</v>
      </c>
      <c r="AA65" s="472">
        <f t="shared" si="36"/>
        <v>-12</v>
      </c>
      <c r="AB65" s="472">
        <f t="shared" si="36"/>
        <v>-51</v>
      </c>
      <c r="AC65" s="472">
        <f t="shared" si="36"/>
        <v>-41</v>
      </c>
      <c r="AD65" s="472">
        <f t="shared" si="37"/>
        <v>-490</v>
      </c>
      <c r="AE65" s="472"/>
      <c r="AF65" s="472">
        <f t="shared" si="38"/>
        <v>-8</v>
      </c>
      <c r="AG65" s="472">
        <f t="shared" si="39"/>
        <v>-28</v>
      </c>
      <c r="AH65" s="472">
        <f t="shared" si="39"/>
        <v>-8</v>
      </c>
      <c r="AI65" s="472">
        <f t="shared" si="39"/>
        <v>-44</v>
      </c>
      <c r="AJ65" s="472">
        <f t="shared" si="40"/>
        <v>-88</v>
      </c>
      <c r="AK65" s="472"/>
      <c r="AL65" s="472">
        <f t="shared" si="41"/>
        <v>-5</v>
      </c>
      <c r="AM65" s="472">
        <f t="shared" si="42"/>
        <v>-15</v>
      </c>
      <c r="AN65" s="472">
        <f t="shared" si="42"/>
        <v>-47</v>
      </c>
      <c r="AO65" s="472">
        <f t="shared" si="42"/>
        <v>-8</v>
      </c>
      <c r="AP65" s="472">
        <f t="shared" si="43"/>
        <v>-75</v>
      </c>
      <c r="AQ65" s="472"/>
      <c r="AR65" s="472">
        <f t="shared" si="44"/>
        <v>0</v>
      </c>
      <c r="AS65" s="472">
        <f t="shared" si="45"/>
        <v>-32</v>
      </c>
      <c r="AT65" s="472">
        <f t="shared" si="45"/>
        <v>0</v>
      </c>
      <c r="AU65" s="472">
        <f t="shared" si="45"/>
        <v>32</v>
      </c>
      <c r="AV65" s="472">
        <f t="shared" si="46"/>
        <v>0</v>
      </c>
    </row>
    <row r="66" spans="1:48" x14ac:dyDescent="0.25">
      <c r="A66" s="476" t="s">
        <v>462</v>
      </c>
      <c r="B66" s="472">
        <f t="shared" si="23"/>
        <v>0</v>
      </c>
      <c r="C66" s="472">
        <f t="shared" si="24"/>
        <v>91</v>
      </c>
      <c r="D66" s="472">
        <f t="shared" si="24"/>
        <v>2</v>
      </c>
      <c r="E66" s="472">
        <f t="shared" si="24"/>
        <v>7</v>
      </c>
      <c r="F66" s="472">
        <f t="shared" si="25"/>
        <v>100</v>
      </c>
      <c r="G66" s="472"/>
      <c r="H66" s="472">
        <f t="shared" si="26"/>
        <v>12</v>
      </c>
      <c r="I66" s="472">
        <f t="shared" si="27"/>
        <v>0</v>
      </c>
      <c r="J66" s="472">
        <f t="shared" si="27"/>
        <v>2</v>
      </c>
      <c r="K66" s="472">
        <f t="shared" si="27"/>
        <v>2</v>
      </c>
      <c r="L66" s="472">
        <f t="shared" si="28"/>
        <v>16</v>
      </c>
      <c r="M66" s="472"/>
      <c r="N66" s="472">
        <f t="shared" si="29"/>
        <v>0</v>
      </c>
      <c r="O66" s="472">
        <f t="shared" si="30"/>
        <v>0</v>
      </c>
      <c r="P66" s="472">
        <f t="shared" si="30"/>
        <v>3</v>
      </c>
      <c r="Q66" s="472">
        <f t="shared" si="30"/>
        <v>38</v>
      </c>
      <c r="R66" s="472">
        <f t="shared" si="31"/>
        <v>41</v>
      </c>
      <c r="S66" s="472"/>
      <c r="T66" s="472">
        <f t="shared" si="32"/>
        <v>0</v>
      </c>
      <c r="U66" s="472">
        <f t="shared" si="33"/>
        <v>13</v>
      </c>
      <c r="V66" s="472">
        <f t="shared" si="33"/>
        <v>0</v>
      </c>
      <c r="W66" s="472">
        <f t="shared" si="33"/>
        <v>12</v>
      </c>
      <c r="X66" s="472">
        <f t="shared" si="34"/>
        <v>25</v>
      </c>
      <c r="Y66" s="472"/>
      <c r="Z66" s="472">
        <f t="shared" si="35"/>
        <v>28</v>
      </c>
      <c r="AA66" s="472">
        <f t="shared" si="36"/>
        <v>0</v>
      </c>
      <c r="AB66" s="472">
        <f t="shared" si="36"/>
        <v>-5</v>
      </c>
      <c r="AC66" s="472">
        <f t="shared" si="36"/>
        <v>13</v>
      </c>
      <c r="AD66" s="472">
        <f t="shared" si="37"/>
        <v>36</v>
      </c>
      <c r="AE66" s="472"/>
      <c r="AF66" s="472">
        <f t="shared" si="38"/>
        <v>0</v>
      </c>
      <c r="AG66" s="472">
        <f t="shared" si="39"/>
        <v>1</v>
      </c>
      <c r="AH66" s="472">
        <f t="shared" si="39"/>
        <v>0</v>
      </c>
      <c r="AI66" s="472">
        <f t="shared" si="39"/>
        <v>0</v>
      </c>
      <c r="AJ66" s="472">
        <f t="shared" si="40"/>
        <v>1</v>
      </c>
      <c r="AK66" s="472"/>
      <c r="AL66" s="472">
        <f t="shared" si="41"/>
        <v>-14</v>
      </c>
      <c r="AM66" s="472">
        <f t="shared" si="42"/>
        <v>0</v>
      </c>
      <c r="AN66" s="472">
        <f t="shared" si="42"/>
        <v>0</v>
      </c>
      <c r="AO66" s="472">
        <f t="shared" si="42"/>
        <v>10</v>
      </c>
      <c r="AP66" s="472">
        <f t="shared" si="43"/>
        <v>-4</v>
      </c>
      <c r="AQ66" s="472"/>
      <c r="AR66" s="472">
        <f t="shared" si="44"/>
        <v>42</v>
      </c>
      <c r="AS66" s="472">
        <f t="shared" si="45"/>
        <v>-103</v>
      </c>
      <c r="AT66" s="472">
        <f t="shared" si="45"/>
        <v>-6</v>
      </c>
      <c r="AU66" s="472">
        <f t="shared" si="45"/>
        <v>67</v>
      </c>
      <c r="AV66" s="472">
        <f t="shared" si="46"/>
        <v>0</v>
      </c>
    </row>
    <row r="67" spans="1:48" x14ac:dyDescent="0.25">
      <c r="A67" s="476" t="s">
        <v>463</v>
      </c>
      <c r="B67" s="472">
        <f t="shared" si="23"/>
        <v>89</v>
      </c>
      <c r="C67" s="472">
        <f t="shared" si="24"/>
        <v>98</v>
      </c>
      <c r="D67" s="472">
        <f t="shared" si="24"/>
        <v>244</v>
      </c>
      <c r="E67" s="472">
        <f t="shared" si="24"/>
        <v>501</v>
      </c>
      <c r="F67" s="472">
        <f t="shared" si="25"/>
        <v>932</v>
      </c>
      <c r="G67" s="472"/>
      <c r="H67" s="472">
        <f t="shared" si="26"/>
        <v>89</v>
      </c>
      <c r="I67" s="472">
        <f t="shared" si="27"/>
        <v>79</v>
      </c>
      <c r="J67" s="472">
        <f t="shared" si="27"/>
        <v>195</v>
      </c>
      <c r="K67" s="472">
        <f t="shared" si="27"/>
        <v>79</v>
      </c>
      <c r="L67" s="472">
        <f t="shared" si="28"/>
        <v>442</v>
      </c>
      <c r="M67" s="472"/>
      <c r="N67" s="472">
        <f t="shared" si="29"/>
        <v>57</v>
      </c>
      <c r="O67" s="472">
        <f t="shared" si="30"/>
        <v>113</v>
      </c>
      <c r="P67" s="472">
        <f t="shared" si="30"/>
        <v>111</v>
      </c>
      <c r="Q67" s="472">
        <f t="shared" si="30"/>
        <v>248</v>
      </c>
      <c r="R67" s="472">
        <f t="shared" si="31"/>
        <v>529</v>
      </c>
      <c r="S67" s="472"/>
      <c r="T67" s="472">
        <f t="shared" si="32"/>
        <v>68</v>
      </c>
      <c r="U67" s="472">
        <f t="shared" si="33"/>
        <v>83</v>
      </c>
      <c r="V67" s="472">
        <f t="shared" si="33"/>
        <v>88</v>
      </c>
      <c r="W67" s="472">
        <f t="shared" si="33"/>
        <v>106</v>
      </c>
      <c r="X67" s="472">
        <f t="shared" si="34"/>
        <v>345</v>
      </c>
      <c r="Y67" s="472"/>
      <c r="Z67" s="472">
        <f t="shared" si="35"/>
        <v>126</v>
      </c>
      <c r="AA67" s="472">
        <f t="shared" si="36"/>
        <v>150</v>
      </c>
      <c r="AB67" s="472">
        <f t="shared" si="36"/>
        <v>148</v>
      </c>
      <c r="AC67" s="472">
        <f t="shared" si="36"/>
        <v>361</v>
      </c>
      <c r="AD67" s="472">
        <f t="shared" si="37"/>
        <v>785</v>
      </c>
      <c r="AE67" s="472"/>
      <c r="AF67" s="472">
        <f t="shared" si="38"/>
        <v>571</v>
      </c>
      <c r="AG67" s="472">
        <f t="shared" si="39"/>
        <v>633</v>
      </c>
      <c r="AH67" s="472">
        <f t="shared" si="39"/>
        <v>876</v>
      </c>
      <c r="AI67" s="472">
        <f t="shared" si="39"/>
        <v>303</v>
      </c>
      <c r="AJ67" s="472">
        <f t="shared" si="40"/>
        <v>2383</v>
      </c>
      <c r="AK67" s="472"/>
      <c r="AL67" s="472">
        <f t="shared" si="41"/>
        <v>239</v>
      </c>
      <c r="AM67" s="472">
        <f t="shared" si="42"/>
        <v>224</v>
      </c>
      <c r="AN67" s="472">
        <f t="shared" si="42"/>
        <v>284</v>
      </c>
      <c r="AO67" s="472">
        <f t="shared" si="42"/>
        <v>1144</v>
      </c>
      <c r="AP67" s="472">
        <f t="shared" si="43"/>
        <v>1891</v>
      </c>
      <c r="AQ67" s="472"/>
      <c r="AR67" s="472">
        <f t="shared" si="44"/>
        <v>1867</v>
      </c>
      <c r="AS67" s="472">
        <f t="shared" si="45"/>
        <v>707</v>
      </c>
      <c r="AT67" s="472">
        <f t="shared" si="45"/>
        <v>267</v>
      </c>
      <c r="AU67" s="472">
        <f t="shared" si="45"/>
        <v>-2841</v>
      </c>
      <c r="AV67" s="472">
        <f t="shared" si="46"/>
        <v>0</v>
      </c>
    </row>
    <row r="68" spans="1:48" x14ac:dyDescent="0.25">
      <c r="A68" s="476" t="s">
        <v>464</v>
      </c>
      <c r="B68" s="472">
        <f t="shared" si="23"/>
        <v>-65</v>
      </c>
      <c r="C68" s="472">
        <f t="shared" si="24"/>
        <v>-142</v>
      </c>
      <c r="D68" s="472">
        <f t="shared" si="24"/>
        <v>-387</v>
      </c>
      <c r="E68" s="472">
        <f t="shared" si="24"/>
        <v>-454</v>
      </c>
      <c r="F68" s="472">
        <f t="shared" si="25"/>
        <v>-1048</v>
      </c>
      <c r="G68" s="472"/>
      <c r="H68" s="472">
        <f t="shared" si="26"/>
        <v>-197</v>
      </c>
      <c r="I68" s="472">
        <f t="shared" si="27"/>
        <v>-121</v>
      </c>
      <c r="J68" s="472">
        <f t="shared" si="27"/>
        <v>-99</v>
      </c>
      <c r="K68" s="472">
        <f t="shared" si="27"/>
        <v>-89</v>
      </c>
      <c r="L68" s="472">
        <f t="shared" si="28"/>
        <v>-506</v>
      </c>
      <c r="M68" s="472"/>
      <c r="N68" s="472">
        <f t="shared" si="29"/>
        <v>-107</v>
      </c>
      <c r="O68" s="472">
        <f t="shared" si="30"/>
        <v>-136</v>
      </c>
      <c r="P68" s="472">
        <f t="shared" si="30"/>
        <v>-182</v>
      </c>
      <c r="Q68" s="472">
        <f t="shared" si="30"/>
        <v>-127</v>
      </c>
      <c r="R68" s="472">
        <f t="shared" si="31"/>
        <v>-552</v>
      </c>
      <c r="S68" s="472"/>
      <c r="T68" s="472">
        <f t="shared" si="32"/>
        <v>-180</v>
      </c>
      <c r="U68" s="472">
        <f t="shared" si="33"/>
        <v>-189</v>
      </c>
      <c r="V68" s="472">
        <f t="shared" si="33"/>
        <v>-143</v>
      </c>
      <c r="W68" s="472">
        <f t="shared" si="33"/>
        <v>-126</v>
      </c>
      <c r="X68" s="472">
        <f t="shared" si="34"/>
        <v>-638</v>
      </c>
      <c r="Y68" s="472"/>
      <c r="Z68" s="472">
        <f t="shared" si="35"/>
        <v>-148</v>
      </c>
      <c r="AA68" s="472">
        <f t="shared" si="36"/>
        <v>-352</v>
      </c>
      <c r="AB68" s="472">
        <f t="shared" si="36"/>
        <v>-434</v>
      </c>
      <c r="AC68" s="472">
        <f t="shared" si="36"/>
        <v>-832</v>
      </c>
      <c r="AD68" s="472">
        <f t="shared" si="37"/>
        <v>-1766</v>
      </c>
      <c r="AE68" s="472"/>
      <c r="AF68" s="472">
        <f t="shared" si="38"/>
        <v>-1438</v>
      </c>
      <c r="AG68" s="472">
        <f t="shared" si="39"/>
        <v>-680</v>
      </c>
      <c r="AH68" s="472">
        <f t="shared" si="39"/>
        <v>-281</v>
      </c>
      <c r="AI68" s="472">
        <f t="shared" si="39"/>
        <v>-678</v>
      </c>
      <c r="AJ68" s="472">
        <f t="shared" si="40"/>
        <v>-3077</v>
      </c>
      <c r="AK68" s="472"/>
      <c r="AL68" s="472">
        <f t="shared" si="41"/>
        <v>-536</v>
      </c>
      <c r="AM68" s="472">
        <f t="shared" si="42"/>
        <v>-542</v>
      </c>
      <c r="AN68" s="472">
        <f t="shared" si="42"/>
        <v>-2611</v>
      </c>
      <c r="AO68" s="472">
        <f t="shared" si="42"/>
        <v>-716</v>
      </c>
      <c r="AP68" s="472">
        <f t="shared" si="43"/>
        <v>-4405</v>
      </c>
      <c r="AQ68" s="472"/>
      <c r="AR68" s="472">
        <f t="shared" si="44"/>
        <v>-275</v>
      </c>
      <c r="AS68" s="472">
        <f t="shared" si="45"/>
        <v>-248</v>
      </c>
      <c r="AT68" s="472">
        <f t="shared" si="45"/>
        <v>-369</v>
      </c>
      <c r="AU68" s="472">
        <f t="shared" si="45"/>
        <v>892</v>
      </c>
      <c r="AV68" s="472">
        <f t="shared" si="46"/>
        <v>0</v>
      </c>
    </row>
    <row r="69" spans="1:48" x14ac:dyDescent="0.25">
      <c r="A69" s="476" t="s">
        <v>465</v>
      </c>
      <c r="B69" s="472">
        <f t="shared" si="23"/>
        <v>9</v>
      </c>
      <c r="C69" s="472">
        <f t="shared" si="24"/>
        <v>16</v>
      </c>
      <c r="D69" s="472">
        <f t="shared" si="24"/>
        <v>48</v>
      </c>
      <c r="E69" s="472">
        <f t="shared" si="24"/>
        <v>16</v>
      </c>
      <c r="F69" s="472">
        <f t="shared" si="25"/>
        <v>89</v>
      </c>
      <c r="G69" s="472"/>
      <c r="H69" s="472">
        <f t="shared" si="26"/>
        <v>16</v>
      </c>
      <c r="I69" s="472">
        <f t="shared" si="27"/>
        <v>5</v>
      </c>
      <c r="J69" s="472">
        <f t="shared" si="27"/>
        <v>3</v>
      </c>
      <c r="K69" s="472">
        <f t="shared" si="27"/>
        <v>-11</v>
      </c>
      <c r="L69" s="472">
        <f t="shared" si="28"/>
        <v>13</v>
      </c>
      <c r="M69" s="472"/>
      <c r="N69" s="472">
        <f t="shared" si="29"/>
        <v>-38</v>
      </c>
      <c r="O69" s="472">
        <f t="shared" si="30"/>
        <v>-2</v>
      </c>
      <c r="P69" s="472">
        <f t="shared" si="30"/>
        <v>3</v>
      </c>
      <c r="Q69" s="472">
        <f t="shared" si="30"/>
        <v>13</v>
      </c>
      <c r="R69" s="472">
        <f t="shared" si="31"/>
        <v>-24</v>
      </c>
      <c r="S69" s="472"/>
      <c r="T69" s="472">
        <f t="shared" si="32"/>
        <v>35</v>
      </c>
      <c r="U69" s="472">
        <f t="shared" si="33"/>
        <v>-28</v>
      </c>
      <c r="V69" s="472">
        <f t="shared" si="33"/>
        <v>-87</v>
      </c>
      <c r="W69" s="472">
        <f t="shared" si="33"/>
        <v>14</v>
      </c>
      <c r="X69" s="472">
        <f t="shared" si="34"/>
        <v>-66</v>
      </c>
      <c r="Y69" s="472"/>
      <c r="Z69" s="472">
        <f t="shared" si="35"/>
        <v>-48</v>
      </c>
      <c r="AA69" s="472">
        <f t="shared" si="36"/>
        <v>-15</v>
      </c>
      <c r="AB69" s="472">
        <f t="shared" si="36"/>
        <v>55</v>
      </c>
      <c r="AC69" s="472">
        <f t="shared" si="36"/>
        <v>87</v>
      </c>
      <c r="AD69" s="472">
        <f t="shared" si="37"/>
        <v>79</v>
      </c>
      <c r="AE69" s="472"/>
      <c r="AF69" s="472">
        <f t="shared" si="38"/>
        <v>-15</v>
      </c>
      <c r="AG69" s="472">
        <f t="shared" si="39"/>
        <v>47</v>
      </c>
      <c r="AH69" s="472">
        <f t="shared" si="39"/>
        <v>-17</v>
      </c>
      <c r="AI69" s="472">
        <f t="shared" si="39"/>
        <v>-1</v>
      </c>
      <c r="AJ69" s="472">
        <f t="shared" si="40"/>
        <v>14</v>
      </c>
      <c r="AK69" s="472"/>
      <c r="AL69" s="472">
        <f t="shared" si="41"/>
        <v>26</v>
      </c>
      <c r="AM69" s="472">
        <f t="shared" si="42"/>
        <v>15</v>
      </c>
      <c r="AN69" s="472">
        <f t="shared" si="42"/>
        <v>-9</v>
      </c>
      <c r="AO69" s="472">
        <f t="shared" si="42"/>
        <v>65</v>
      </c>
      <c r="AP69" s="472">
        <f t="shared" si="43"/>
        <v>97</v>
      </c>
      <c r="AQ69" s="472"/>
      <c r="AR69" s="472">
        <f t="shared" si="44"/>
        <v>8</v>
      </c>
      <c r="AS69" s="472">
        <f t="shared" si="45"/>
        <v>49</v>
      </c>
      <c r="AT69" s="472">
        <f t="shared" si="45"/>
        <v>80</v>
      </c>
      <c r="AU69" s="472">
        <f t="shared" si="45"/>
        <v>-137</v>
      </c>
      <c r="AV69" s="472">
        <f t="shared" si="46"/>
        <v>0</v>
      </c>
    </row>
    <row r="70" spans="1:48" x14ac:dyDescent="0.25">
      <c r="A70" s="476" t="s">
        <v>466</v>
      </c>
      <c r="B70" s="472">
        <f t="shared" si="23"/>
        <v>-93</v>
      </c>
      <c r="C70" s="472">
        <f t="shared" si="24"/>
        <v>-66</v>
      </c>
      <c r="D70" s="472">
        <f t="shared" si="24"/>
        <v>-274</v>
      </c>
      <c r="E70" s="472">
        <f t="shared" si="24"/>
        <v>-533</v>
      </c>
      <c r="F70" s="472">
        <f t="shared" si="25"/>
        <v>-966</v>
      </c>
      <c r="G70" s="472"/>
      <c r="H70" s="472">
        <f t="shared" si="26"/>
        <v>-800</v>
      </c>
      <c r="I70" s="472">
        <f t="shared" si="27"/>
        <v>-1268</v>
      </c>
      <c r="J70" s="472">
        <f t="shared" si="27"/>
        <v>-346</v>
      </c>
      <c r="K70" s="472">
        <f t="shared" si="27"/>
        <v>-798</v>
      </c>
      <c r="L70" s="472">
        <f t="shared" si="28"/>
        <v>-3212</v>
      </c>
      <c r="M70" s="472"/>
      <c r="N70" s="472">
        <f t="shared" si="29"/>
        <v>-181</v>
      </c>
      <c r="O70" s="472">
        <f t="shared" si="30"/>
        <v>-898</v>
      </c>
      <c r="P70" s="472">
        <f t="shared" si="30"/>
        <v>-275</v>
      </c>
      <c r="Q70" s="472">
        <f t="shared" si="30"/>
        <v>-574</v>
      </c>
      <c r="R70" s="472">
        <f t="shared" si="31"/>
        <v>-1928</v>
      </c>
      <c r="S70" s="472"/>
      <c r="T70" s="472">
        <f t="shared" si="32"/>
        <v>-213</v>
      </c>
      <c r="U70" s="472">
        <f t="shared" si="33"/>
        <v>-530</v>
      </c>
      <c r="V70" s="472">
        <f t="shared" si="33"/>
        <v>-216</v>
      </c>
      <c r="W70" s="472">
        <f t="shared" si="33"/>
        <v>-526</v>
      </c>
      <c r="X70" s="472">
        <f t="shared" si="34"/>
        <v>-1485</v>
      </c>
      <c r="Y70" s="472"/>
      <c r="Z70" s="472">
        <f t="shared" si="35"/>
        <v>-477</v>
      </c>
      <c r="AA70" s="472">
        <f t="shared" si="36"/>
        <v>-1240</v>
      </c>
      <c r="AB70" s="472">
        <f t="shared" si="36"/>
        <v>-375</v>
      </c>
      <c r="AC70" s="472">
        <f t="shared" si="36"/>
        <v>-992</v>
      </c>
      <c r="AD70" s="472">
        <f t="shared" si="37"/>
        <v>-3084</v>
      </c>
      <c r="AE70" s="472"/>
      <c r="AF70" s="472">
        <f t="shared" si="38"/>
        <v>-1313</v>
      </c>
      <c r="AG70" s="472">
        <f t="shared" si="39"/>
        <v>-575</v>
      </c>
      <c r="AH70" s="472">
        <f t="shared" si="39"/>
        <v>190</v>
      </c>
      <c r="AI70" s="472">
        <f t="shared" si="39"/>
        <v>-843</v>
      </c>
      <c r="AJ70" s="472">
        <f t="shared" si="40"/>
        <v>-2541</v>
      </c>
      <c r="AK70" s="472"/>
      <c r="AL70" s="472">
        <f t="shared" si="41"/>
        <v>-683</v>
      </c>
      <c r="AM70" s="472">
        <f t="shared" si="42"/>
        <v>-1199</v>
      </c>
      <c r="AN70" s="472">
        <f t="shared" si="42"/>
        <v>-3435</v>
      </c>
      <c r="AO70" s="472">
        <f t="shared" si="42"/>
        <v>-554</v>
      </c>
      <c r="AP70" s="472">
        <f t="shared" si="43"/>
        <v>-5871</v>
      </c>
      <c r="AQ70" s="472"/>
      <c r="AR70" s="472">
        <f t="shared" si="44"/>
        <v>958</v>
      </c>
      <c r="AS70" s="472">
        <f t="shared" si="45"/>
        <v>-722</v>
      </c>
      <c r="AT70" s="472">
        <f t="shared" si="45"/>
        <v>-1040</v>
      </c>
      <c r="AU70" s="472">
        <f t="shared" si="45"/>
        <v>804</v>
      </c>
      <c r="AV70" s="472">
        <f t="shared" si="46"/>
        <v>0</v>
      </c>
    </row>
    <row r="71" spans="1:48" x14ac:dyDescent="0.25">
      <c r="A71" s="476"/>
      <c r="B71" s="472"/>
      <c r="C71" s="472"/>
      <c r="D71" s="472"/>
      <c r="E71" s="472"/>
      <c r="F71" s="472"/>
      <c r="G71" s="472"/>
      <c r="H71" s="472"/>
      <c r="I71" s="472"/>
      <c r="J71" s="472"/>
      <c r="K71" s="472"/>
      <c r="L71" s="472"/>
      <c r="M71" s="472"/>
      <c r="N71" s="472"/>
      <c r="O71" s="472"/>
      <c r="P71" s="472"/>
      <c r="Q71" s="472"/>
      <c r="R71" s="472"/>
      <c r="S71" s="472"/>
      <c r="T71" s="472"/>
      <c r="U71" s="472"/>
      <c r="V71" s="472"/>
      <c r="W71" s="472"/>
      <c r="X71" s="472"/>
      <c r="Y71" s="472"/>
      <c r="Z71" s="472"/>
      <c r="AA71" s="472"/>
      <c r="AB71" s="472"/>
      <c r="AC71" s="472"/>
      <c r="AD71" s="472"/>
      <c r="AE71" s="472"/>
      <c r="AF71" s="472"/>
      <c r="AG71" s="472"/>
      <c r="AH71" s="472"/>
      <c r="AI71" s="472"/>
      <c r="AJ71" s="472"/>
      <c r="AK71" s="472"/>
      <c r="AL71" s="472"/>
      <c r="AM71" s="472"/>
      <c r="AN71" s="472"/>
      <c r="AO71" s="472"/>
      <c r="AP71" s="472"/>
      <c r="AQ71" s="472"/>
      <c r="AR71" s="472"/>
      <c r="AS71" s="472"/>
      <c r="AT71" s="472"/>
    </row>
    <row r="72" spans="1:48" x14ac:dyDescent="0.25">
      <c r="A72" s="476"/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2"/>
      <c r="Q72" s="472"/>
      <c r="R72" s="472"/>
      <c r="S72" s="472"/>
      <c r="T72" s="472"/>
      <c r="U72" s="472"/>
      <c r="V72" s="472"/>
      <c r="W72" s="472"/>
      <c r="X72" s="472"/>
      <c r="Y72" s="472"/>
      <c r="Z72" s="472"/>
      <c r="AA72" s="472"/>
      <c r="AB72" s="472"/>
      <c r="AC72" s="472"/>
      <c r="AD72" s="472"/>
      <c r="AE72" s="472"/>
      <c r="AF72" s="472"/>
      <c r="AG72" s="472"/>
      <c r="AH72" s="472"/>
      <c r="AI72" s="472"/>
      <c r="AJ72" s="472"/>
      <c r="AK72" s="472"/>
      <c r="AL72" s="472"/>
      <c r="AM72" s="472"/>
      <c r="AN72" s="472"/>
      <c r="AO72" s="472"/>
      <c r="AP72" s="472"/>
      <c r="AQ72" s="472"/>
      <c r="AR72" s="472"/>
      <c r="AS72" s="472"/>
      <c r="AT72" s="472"/>
    </row>
    <row r="73" spans="1:48" x14ac:dyDescent="0.25">
      <c r="A73" s="476"/>
      <c r="B73" s="472"/>
      <c r="C73" s="472"/>
      <c r="D73" s="472"/>
      <c r="E73" s="472"/>
      <c r="F73" s="472"/>
      <c r="G73" s="472"/>
      <c r="H73" s="472"/>
      <c r="I73" s="472"/>
      <c r="J73" s="472"/>
      <c r="K73" s="472"/>
      <c r="L73" s="472"/>
      <c r="M73" s="472"/>
      <c r="N73" s="472"/>
      <c r="O73" s="472"/>
      <c r="P73" s="472"/>
      <c r="Q73" s="472"/>
      <c r="R73" s="472"/>
      <c r="S73" s="472"/>
      <c r="T73" s="472"/>
      <c r="U73" s="472"/>
      <c r="V73" s="472"/>
      <c r="W73" s="472"/>
      <c r="X73" s="472"/>
      <c r="Y73" s="472"/>
      <c r="Z73" s="472"/>
      <c r="AA73" s="472"/>
      <c r="AB73" s="472"/>
      <c r="AC73" s="472"/>
      <c r="AD73" s="472"/>
      <c r="AE73" s="472"/>
      <c r="AF73" s="472"/>
      <c r="AG73" s="472"/>
      <c r="AH73" s="472"/>
      <c r="AI73" s="472"/>
      <c r="AJ73" s="472"/>
      <c r="AK73" s="472"/>
      <c r="AL73" s="472"/>
      <c r="AM73" s="472"/>
      <c r="AN73" s="472"/>
      <c r="AO73" s="472"/>
      <c r="AP73" s="472"/>
      <c r="AQ73" s="472"/>
      <c r="AR73" s="472"/>
      <c r="AS73" s="472"/>
      <c r="AT73" s="472"/>
    </row>
    <row r="74" spans="1:48" x14ac:dyDescent="0.25">
      <c r="A74" s="476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2"/>
      <c r="Q74" s="472"/>
      <c r="R74" s="472"/>
      <c r="S74" s="472"/>
      <c r="T74" s="472"/>
      <c r="U74" s="472"/>
      <c r="V74" s="472"/>
      <c r="W74" s="472"/>
      <c r="X74" s="472"/>
      <c r="Y74" s="472"/>
      <c r="Z74" s="472"/>
      <c r="AA74" s="472"/>
      <c r="AB74" s="472"/>
      <c r="AC74" s="472"/>
      <c r="AD74" s="472"/>
      <c r="AE74" s="472"/>
      <c r="AF74" s="472"/>
      <c r="AG74" s="472"/>
      <c r="AH74" s="472"/>
      <c r="AI74" s="472"/>
      <c r="AJ74" s="472"/>
      <c r="AK74" s="472"/>
      <c r="AL74" s="472"/>
      <c r="AM74" s="472"/>
      <c r="AN74" s="472"/>
      <c r="AO74" s="472"/>
      <c r="AP74" s="472"/>
      <c r="AQ74" s="472"/>
      <c r="AR74" s="472"/>
      <c r="AS74" s="472"/>
      <c r="AT74" s="472"/>
    </row>
    <row r="75" spans="1:48" x14ac:dyDescent="0.25">
      <c r="A75" s="476"/>
      <c r="B75" s="472"/>
      <c r="C75" s="472"/>
      <c r="D75" s="472"/>
      <c r="E75" s="472"/>
      <c r="F75" s="472"/>
      <c r="G75" s="472"/>
      <c r="H75" s="472"/>
      <c r="I75" s="472"/>
      <c r="J75" s="472"/>
      <c r="K75" s="472"/>
      <c r="L75" s="472"/>
      <c r="M75" s="472"/>
      <c r="N75" s="472"/>
      <c r="O75" s="472"/>
      <c r="P75" s="472"/>
      <c r="Q75" s="472"/>
      <c r="R75" s="472"/>
      <c r="S75" s="472"/>
      <c r="T75" s="472"/>
      <c r="U75" s="472"/>
      <c r="V75" s="472"/>
      <c r="W75" s="472"/>
      <c r="X75" s="472"/>
      <c r="Y75" s="472"/>
      <c r="Z75" s="472"/>
      <c r="AA75" s="472"/>
      <c r="AB75" s="472"/>
      <c r="AC75" s="472"/>
      <c r="AD75" s="472"/>
      <c r="AE75" s="472"/>
      <c r="AF75" s="472"/>
      <c r="AG75" s="472"/>
      <c r="AH75" s="472"/>
      <c r="AI75" s="472"/>
      <c r="AJ75" s="472"/>
      <c r="AK75" s="472"/>
      <c r="AL75" s="472"/>
      <c r="AM75" s="472"/>
      <c r="AN75" s="472"/>
      <c r="AO75" s="472"/>
      <c r="AP75" s="472"/>
      <c r="AQ75" s="472"/>
      <c r="AR75" s="472"/>
      <c r="AS75" s="472"/>
      <c r="AT75" s="472"/>
    </row>
    <row r="76" spans="1:48" x14ac:dyDescent="0.25">
      <c r="A76" s="496" t="s">
        <v>498</v>
      </c>
      <c r="B76" s="499"/>
      <c r="C76" s="499"/>
      <c r="D76" s="499"/>
      <c r="E76" s="499"/>
      <c r="F76" s="499"/>
      <c r="G76" s="499"/>
      <c r="H76" s="499"/>
      <c r="I76" s="499"/>
      <c r="J76" s="499"/>
      <c r="K76" s="499"/>
      <c r="L76" s="499"/>
      <c r="M76" s="499"/>
      <c r="N76" s="499"/>
      <c r="O76" s="499"/>
      <c r="P76" s="499"/>
      <c r="Q76" s="499"/>
      <c r="R76" s="499"/>
      <c r="S76" s="499"/>
      <c r="T76" s="499"/>
      <c r="U76" s="499"/>
      <c r="V76" s="499"/>
      <c r="W76" s="499"/>
      <c r="X76" s="499"/>
      <c r="Y76" s="499"/>
      <c r="Z76" s="499"/>
      <c r="AA76" s="499"/>
      <c r="AB76" s="499"/>
      <c r="AC76" s="499"/>
      <c r="AD76" s="499"/>
      <c r="AE76" s="499"/>
      <c r="AF76" s="499"/>
      <c r="AG76" s="499"/>
      <c r="AH76" s="499"/>
      <c r="AI76" s="499"/>
      <c r="AJ76" s="499"/>
      <c r="AK76" s="499"/>
      <c r="AL76" s="499"/>
      <c r="AM76" s="499"/>
      <c r="AN76" s="499"/>
      <c r="AO76" s="499"/>
      <c r="AP76" s="499"/>
      <c r="AQ76" s="499"/>
      <c r="AR76" s="499"/>
      <c r="AS76" s="499"/>
      <c r="AT76" s="499"/>
    </row>
    <row r="77" spans="1:48" x14ac:dyDescent="0.25">
      <c r="A77" s="476" t="s">
        <v>344</v>
      </c>
      <c r="B77" s="472">
        <v>-452</v>
      </c>
      <c r="C77" s="472">
        <v>-906</v>
      </c>
      <c r="D77" s="472">
        <v>-1367</v>
      </c>
      <c r="E77" s="472">
        <v>-1831</v>
      </c>
      <c r="F77" s="472"/>
      <c r="G77" s="472"/>
      <c r="H77" s="472">
        <v>-467</v>
      </c>
      <c r="I77" s="472">
        <v>-933</v>
      </c>
      <c r="J77" s="472">
        <v>-1444</v>
      </c>
      <c r="K77" s="472">
        <v>-1951</v>
      </c>
      <c r="L77" s="472"/>
      <c r="M77" s="472"/>
      <c r="N77" s="472">
        <v>-494</v>
      </c>
      <c r="O77" s="472">
        <v>-986</v>
      </c>
      <c r="P77" s="472">
        <v>-1564</v>
      </c>
      <c r="Q77" s="472">
        <v>-2132</v>
      </c>
      <c r="R77" s="472"/>
      <c r="S77" s="472"/>
      <c r="T77" s="472">
        <v>-567</v>
      </c>
      <c r="U77" s="472">
        <v>-1125</v>
      </c>
      <c r="V77" s="472">
        <v>-1683</v>
      </c>
      <c r="W77" s="472">
        <v>-2243</v>
      </c>
      <c r="X77" s="472"/>
      <c r="Y77" s="472"/>
      <c r="Z77" s="472">
        <v>-562</v>
      </c>
      <c r="AA77" s="472">
        <v>-1126</v>
      </c>
      <c r="AB77" s="472">
        <v>-1733</v>
      </c>
      <c r="AC77" s="472">
        <v>-2332</v>
      </c>
      <c r="AD77" s="472"/>
      <c r="AE77" s="472"/>
      <c r="AF77" s="472">
        <v>-595</v>
      </c>
      <c r="AG77" s="472">
        <v>-1187</v>
      </c>
      <c r="AH77" s="472">
        <v>-1820</v>
      </c>
      <c r="AI77" s="472">
        <v>-2440</v>
      </c>
      <c r="AJ77" s="472"/>
      <c r="AK77" s="472"/>
      <c r="AL77" s="472">
        <v>-620</v>
      </c>
      <c r="AM77" s="472">
        <v>-1238</v>
      </c>
      <c r="AN77" s="472">
        <v>-1901</v>
      </c>
      <c r="AO77" s="472">
        <v>-2563</v>
      </c>
      <c r="AP77" s="472"/>
      <c r="AQ77" s="472"/>
      <c r="AR77" s="472">
        <v>-648</v>
      </c>
      <c r="AS77" s="472">
        <v>-1283</v>
      </c>
      <c r="AT77" s="472">
        <v>-1966</v>
      </c>
    </row>
    <row r="78" spans="1:48" x14ac:dyDescent="0.25">
      <c r="A78" s="476" t="s">
        <v>471</v>
      </c>
      <c r="B78" s="472">
        <v>-19</v>
      </c>
      <c r="C78" s="472">
        <v>83</v>
      </c>
      <c r="D78" s="472">
        <v>353</v>
      </c>
      <c r="E78" s="472">
        <v>566</v>
      </c>
      <c r="F78" s="472"/>
      <c r="G78" s="472"/>
      <c r="H78" s="472">
        <v>149</v>
      </c>
      <c r="I78" s="472">
        <v>256</v>
      </c>
      <c r="J78" s="472">
        <v>292</v>
      </c>
      <c r="K78" s="472">
        <v>313</v>
      </c>
      <c r="L78" s="472"/>
      <c r="M78" s="472"/>
      <c r="N78" s="472">
        <v>-5</v>
      </c>
      <c r="O78" s="472">
        <v>39</v>
      </c>
      <c r="P78" s="472">
        <v>59</v>
      </c>
      <c r="Q78" s="472">
        <v>238</v>
      </c>
      <c r="R78" s="472"/>
      <c r="S78" s="472"/>
      <c r="T78" s="472">
        <v>-23</v>
      </c>
      <c r="U78" s="472">
        <v>-10</v>
      </c>
      <c r="V78" s="472">
        <v>110</v>
      </c>
      <c r="W78" s="472">
        <v>229</v>
      </c>
      <c r="X78" s="472"/>
      <c r="Y78" s="472"/>
      <c r="Z78" s="472">
        <v>65</v>
      </c>
      <c r="AA78" s="472">
        <v>123</v>
      </c>
      <c r="AB78" s="472">
        <v>122</v>
      </c>
      <c r="AC78" s="472">
        <v>135</v>
      </c>
      <c r="AD78" s="472"/>
      <c r="AE78" s="472"/>
      <c r="AF78" s="472">
        <v>-28</v>
      </c>
      <c r="AG78" s="472">
        <v>4</v>
      </c>
      <c r="AH78" s="472">
        <v>2</v>
      </c>
      <c r="AI78" s="472">
        <v>51</v>
      </c>
      <c r="AJ78" s="472"/>
      <c r="AK78" s="472"/>
      <c r="AL78" s="472">
        <v>-25</v>
      </c>
      <c r="AM78" s="472">
        <v>-22</v>
      </c>
      <c r="AN78" s="472">
        <v>36</v>
      </c>
      <c r="AO78" s="472">
        <v>12</v>
      </c>
      <c r="AP78" s="472"/>
      <c r="AQ78" s="472"/>
      <c r="AR78" s="472">
        <v>-8</v>
      </c>
      <c r="AS78" s="472">
        <v>8</v>
      </c>
      <c r="AT78" s="472">
        <v>15</v>
      </c>
    </row>
    <row r="79" spans="1:48" x14ac:dyDescent="0.25">
      <c r="A79" s="476" t="s">
        <v>472</v>
      </c>
      <c r="B79" s="472">
        <v>0</v>
      </c>
      <c r="C79" s="472">
        <v>0</v>
      </c>
      <c r="D79" s="472">
        <v>0</v>
      </c>
      <c r="E79" s="472">
        <v>0</v>
      </c>
      <c r="F79" s="472"/>
      <c r="G79" s="472"/>
      <c r="H79" s="472">
        <v>-500</v>
      </c>
      <c r="I79" s="472">
        <v>-1250</v>
      </c>
      <c r="J79" s="472">
        <v>-2000</v>
      </c>
      <c r="K79" s="472">
        <v>-3798</v>
      </c>
      <c r="L79" s="472"/>
      <c r="M79" s="472"/>
      <c r="N79" s="472">
        <v>-751</v>
      </c>
      <c r="O79" s="472">
        <v>-2105</v>
      </c>
      <c r="P79" s="472">
        <v>-3283</v>
      </c>
      <c r="Q79" s="472">
        <v>-4047</v>
      </c>
      <c r="R79" s="472"/>
      <c r="S79" s="472"/>
      <c r="T79" s="472">
        <v>-1043</v>
      </c>
      <c r="U79" s="472">
        <v>-1130</v>
      </c>
      <c r="V79" s="472">
        <v>-1130</v>
      </c>
      <c r="W79" s="472">
        <v>-1130</v>
      </c>
      <c r="X79" s="472"/>
      <c r="Y79" s="472"/>
      <c r="Z79" s="472">
        <v>0</v>
      </c>
      <c r="AA79" s="472">
        <v>-251</v>
      </c>
      <c r="AB79" s="472">
        <v>-1622</v>
      </c>
      <c r="AC79" s="472">
        <v>-2668</v>
      </c>
      <c r="AD79" s="472"/>
      <c r="AE79" s="472"/>
      <c r="AF79" s="472">
        <v>-820</v>
      </c>
      <c r="AG79" s="472">
        <v>-1924</v>
      </c>
      <c r="AH79" s="472">
        <v>-3309</v>
      </c>
      <c r="AI79" s="472">
        <v>-4230</v>
      </c>
      <c r="AJ79" s="472"/>
      <c r="AK79" s="472"/>
      <c r="AL79" s="472">
        <v>-400</v>
      </c>
      <c r="AM79" s="472">
        <v>-1829</v>
      </c>
      <c r="AN79" s="472">
        <v>-2209</v>
      </c>
      <c r="AO79" s="472">
        <v>-4975</v>
      </c>
      <c r="AP79" s="472"/>
      <c r="AQ79" s="472"/>
      <c r="AR79" s="472">
        <v>-4455</v>
      </c>
      <c r="AS79" s="472">
        <v>-6275</v>
      </c>
      <c r="AT79" s="472">
        <v>-7057</v>
      </c>
    </row>
    <row r="80" spans="1:48" x14ac:dyDescent="0.25">
      <c r="A80" s="476" t="s">
        <v>473</v>
      </c>
      <c r="B80" s="472">
        <f t="shared" ref="B80:E81" si="47">B83+B86</f>
        <v>356</v>
      </c>
      <c r="C80" s="472">
        <f t="shared" si="47"/>
        <v>-144</v>
      </c>
      <c r="D80" s="472">
        <f t="shared" si="47"/>
        <v>-144</v>
      </c>
      <c r="E80" s="472">
        <f t="shared" si="47"/>
        <v>-1104</v>
      </c>
      <c r="F80" s="472"/>
      <c r="G80" s="472"/>
      <c r="H80" s="472">
        <f t="shared" ref="H80:K81" si="48">H83+H86</f>
        <v>-1</v>
      </c>
      <c r="I80" s="472">
        <f t="shared" si="48"/>
        <v>-3</v>
      </c>
      <c r="J80" s="472">
        <f t="shared" si="48"/>
        <v>41</v>
      </c>
      <c r="K80" s="472">
        <f t="shared" si="48"/>
        <v>50</v>
      </c>
      <c r="L80" s="472"/>
      <c r="M80" s="472"/>
      <c r="N80" s="472">
        <f t="shared" ref="N80:Q81" si="49">N83+N86</f>
        <v>-2</v>
      </c>
      <c r="O80" s="472">
        <f t="shared" si="49"/>
        <v>-4</v>
      </c>
      <c r="P80" s="472">
        <f t="shared" si="49"/>
        <v>1471</v>
      </c>
      <c r="Q80" s="472">
        <f t="shared" si="49"/>
        <v>1467</v>
      </c>
      <c r="R80" s="472"/>
      <c r="S80" s="472"/>
      <c r="T80" s="472">
        <f t="shared" ref="T80:W81" si="50">T83+T86</f>
        <v>9</v>
      </c>
      <c r="U80" s="472">
        <f t="shared" si="50"/>
        <v>1979</v>
      </c>
      <c r="V80" s="472">
        <f t="shared" si="50"/>
        <v>1973</v>
      </c>
      <c r="W80" s="472">
        <f t="shared" si="50"/>
        <v>1965</v>
      </c>
      <c r="X80" s="472"/>
      <c r="Y80" s="472"/>
      <c r="Z80" s="472">
        <f t="shared" ref="Z80:AC81" si="51">Z83+Z86</f>
        <v>-150</v>
      </c>
      <c r="AA80" s="472">
        <f t="shared" si="51"/>
        <v>-1408</v>
      </c>
      <c r="AB80" s="472">
        <f t="shared" si="51"/>
        <v>-1416</v>
      </c>
      <c r="AC80" s="472">
        <f t="shared" si="51"/>
        <v>-1425</v>
      </c>
      <c r="AD80" s="472"/>
      <c r="AE80" s="472"/>
      <c r="AF80" s="472">
        <f t="shared" ref="AF80:AI81" si="52">AF83+AF86</f>
        <v>-6</v>
      </c>
      <c r="AG80" s="472">
        <f t="shared" si="52"/>
        <v>-13</v>
      </c>
      <c r="AH80" s="472">
        <f t="shared" si="52"/>
        <v>-20</v>
      </c>
      <c r="AI80" s="472">
        <f t="shared" si="52"/>
        <v>-25</v>
      </c>
      <c r="AJ80" s="472"/>
      <c r="AK80" s="472"/>
      <c r="AL80" s="472">
        <f t="shared" ref="AL80:AO81" si="53">AL83+AL86</f>
        <v>-90</v>
      </c>
      <c r="AM80" s="472">
        <f t="shared" si="53"/>
        <v>-95</v>
      </c>
      <c r="AN80" s="472">
        <f t="shared" si="53"/>
        <v>-99</v>
      </c>
      <c r="AO80" s="472">
        <f t="shared" si="53"/>
        <v>-106</v>
      </c>
      <c r="AP80" s="472"/>
      <c r="AQ80" s="472"/>
      <c r="AR80" s="472">
        <f t="shared" ref="AR80:AT81" si="54">AR83+AR86</f>
        <v>-6</v>
      </c>
      <c r="AS80" s="472">
        <f t="shared" si="54"/>
        <v>-1014</v>
      </c>
      <c r="AT80" s="472">
        <f t="shared" si="54"/>
        <v>-1021</v>
      </c>
      <c r="AU80" s="472"/>
    </row>
    <row r="81" spans="1:47" x14ac:dyDescent="0.25">
      <c r="A81" s="476" t="s">
        <v>474</v>
      </c>
      <c r="B81" s="472">
        <f t="shared" si="47"/>
        <v>381</v>
      </c>
      <c r="C81" s="472">
        <f t="shared" si="47"/>
        <v>784</v>
      </c>
      <c r="D81" s="472">
        <f t="shared" si="47"/>
        <v>1254</v>
      </c>
      <c r="E81" s="472">
        <f t="shared" si="47"/>
        <v>1779</v>
      </c>
      <c r="F81" s="472"/>
      <c r="G81" s="472"/>
      <c r="H81" s="472">
        <f t="shared" si="48"/>
        <v>-867</v>
      </c>
      <c r="I81" s="472">
        <f t="shared" si="48"/>
        <v>-126</v>
      </c>
      <c r="J81" s="472">
        <f t="shared" si="48"/>
        <v>1390</v>
      </c>
      <c r="K81" s="472">
        <f t="shared" si="48"/>
        <v>1028</v>
      </c>
      <c r="L81" s="472"/>
      <c r="M81" s="472"/>
      <c r="N81" s="472">
        <f t="shared" si="49"/>
        <v>100</v>
      </c>
      <c r="O81" s="472">
        <f t="shared" si="49"/>
        <v>443</v>
      </c>
      <c r="P81" s="472">
        <f t="shared" si="49"/>
        <v>1294</v>
      </c>
      <c r="Q81" s="472">
        <f t="shared" si="49"/>
        <v>77</v>
      </c>
      <c r="R81" s="472"/>
      <c r="S81" s="472"/>
      <c r="T81" s="472">
        <f t="shared" si="50"/>
        <v>-334</v>
      </c>
      <c r="U81" s="472">
        <f t="shared" si="50"/>
        <v>-449</v>
      </c>
      <c r="V81" s="472">
        <f t="shared" si="50"/>
        <v>656</v>
      </c>
      <c r="W81" s="472">
        <f t="shared" si="50"/>
        <v>229</v>
      </c>
      <c r="X81" s="472"/>
      <c r="Y81" s="472"/>
      <c r="Z81" s="472">
        <f t="shared" si="51"/>
        <v>-464</v>
      </c>
      <c r="AA81" s="472">
        <f t="shared" si="51"/>
        <v>348</v>
      </c>
      <c r="AB81" s="472">
        <f t="shared" si="51"/>
        <v>-273</v>
      </c>
      <c r="AC81" s="472">
        <f t="shared" si="51"/>
        <v>-1382</v>
      </c>
      <c r="AD81" s="472"/>
      <c r="AE81" s="472"/>
      <c r="AF81" s="472">
        <f t="shared" si="52"/>
        <v>750</v>
      </c>
      <c r="AG81" s="472">
        <f t="shared" si="52"/>
        <v>-218</v>
      </c>
      <c r="AH81" s="472">
        <f t="shared" si="52"/>
        <v>301</v>
      </c>
      <c r="AI81" s="472">
        <f t="shared" si="52"/>
        <v>-1029</v>
      </c>
      <c r="AJ81" s="472"/>
      <c r="AK81" s="472"/>
      <c r="AL81" s="472">
        <f t="shared" si="53"/>
        <v>132</v>
      </c>
      <c r="AM81" s="472">
        <f t="shared" si="53"/>
        <v>1091</v>
      </c>
      <c r="AN81" s="472">
        <f t="shared" si="53"/>
        <v>2000</v>
      </c>
      <c r="AO81" s="472">
        <f t="shared" si="53"/>
        <v>2045</v>
      </c>
      <c r="AP81" s="472"/>
      <c r="AQ81" s="472"/>
      <c r="AR81" s="472">
        <f t="shared" si="54"/>
        <v>1167</v>
      </c>
      <c r="AS81" s="472">
        <f t="shared" si="54"/>
        <v>-52</v>
      </c>
      <c r="AT81" s="472">
        <f t="shared" si="54"/>
        <v>1738</v>
      </c>
      <c r="AU81" s="472"/>
    </row>
    <row r="82" spans="1:47" x14ac:dyDescent="0.25">
      <c r="A82" s="496" t="s">
        <v>497</v>
      </c>
      <c r="B82" s="499"/>
      <c r="C82" s="499"/>
      <c r="D82" s="499"/>
      <c r="E82" s="499"/>
      <c r="F82" s="499"/>
      <c r="G82" s="499"/>
      <c r="H82" s="499"/>
      <c r="I82" s="499"/>
      <c r="J82" s="499"/>
      <c r="K82" s="499"/>
      <c r="L82" s="499"/>
      <c r="M82" s="499"/>
      <c r="N82" s="499"/>
      <c r="O82" s="499"/>
      <c r="P82" s="499"/>
      <c r="Q82" s="499"/>
      <c r="R82" s="499"/>
      <c r="S82" s="499"/>
      <c r="T82" s="499"/>
      <c r="U82" s="499"/>
      <c r="V82" s="499"/>
      <c r="W82" s="499"/>
      <c r="X82" s="499"/>
      <c r="Y82" s="499"/>
      <c r="Z82" s="499"/>
      <c r="AA82" s="499"/>
      <c r="AB82" s="499"/>
      <c r="AC82" s="499"/>
      <c r="AD82" s="499"/>
      <c r="AE82" s="499"/>
      <c r="AF82" s="499"/>
      <c r="AG82" s="499"/>
      <c r="AH82" s="499"/>
      <c r="AI82" s="499"/>
      <c r="AJ82" s="499"/>
      <c r="AK82" s="499"/>
      <c r="AL82" s="499"/>
      <c r="AM82" s="499"/>
      <c r="AN82" s="499"/>
      <c r="AO82" s="499"/>
      <c r="AP82" s="499"/>
      <c r="AQ82" s="499"/>
      <c r="AR82" s="499"/>
      <c r="AS82" s="499"/>
      <c r="AT82" s="499"/>
    </row>
    <row r="83" spans="1:47" x14ac:dyDescent="0.25">
      <c r="A83" s="476" t="s">
        <v>495</v>
      </c>
      <c r="B83" s="472">
        <v>360</v>
      </c>
      <c r="C83" s="472">
        <v>361</v>
      </c>
      <c r="D83" s="472">
        <v>362</v>
      </c>
      <c r="E83" s="472">
        <v>361</v>
      </c>
      <c r="F83" s="472"/>
      <c r="G83" s="472"/>
      <c r="H83" s="472">
        <v>0</v>
      </c>
      <c r="I83" s="472">
        <v>0</v>
      </c>
      <c r="J83" s="472">
        <v>47</v>
      </c>
      <c r="K83" s="472">
        <v>57</v>
      </c>
      <c r="L83" s="472"/>
      <c r="M83" s="472"/>
      <c r="N83" s="472">
        <v>0</v>
      </c>
      <c r="O83" s="472">
        <v>0</v>
      </c>
      <c r="P83" s="472">
        <v>1479</v>
      </c>
      <c r="Q83" s="472">
        <v>1479</v>
      </c>
      <c r="R83" s="472"/>
      <c r="S83" s="472"/>
      <c r="T83" s="472">
        <v>15</v>
      </c>
      <c r="U83" s="472">
        <v>1991</v>
      </c>
      <c r="V83" s="472">
        <v>1991</v>
      </c>
      <c r="W83" s="472">
        <v>1991</v>
      </c>
      <c r="X83" s="472"/>
      <c r="Y83" s="472"/>
      <c r="Z83" s="472">
        <v>494</v>
      </c>
      <c r="AA83" s="472">
        <v>494</v>
      </c>
      <c r="AB83" s="472">
        <v>494</v>
      </c>
      <c r="AC83" s="472">
        <v>494</v>
      </c>
      <c r="AD83" s="472"/>
      <c r="AE83" s="472"/>
      <c r="AF83" s="472">
        <v>0</v>
      </c>
      <c r="AG83" s="472">
        <v>0</v>
      </c>
      <c r="AH83" s="498"/>
      <c r="AI83" s="472">
        <v>0</v>
      </c>
      <c r="AJ83" s="498"/>
      <c r="AK83" s="498"/>
      <c r="AL83" s="498"/>
      <c r="AM83" s="498"/>
      <c r="AN83" s="498"/>
      <c r="AO83" s="472">
        <v>0</v>
      </c>
      <c r="AP83" s="498"/>
      <c r="AQ83" s="498"/>
      <c r="AR83" s="498"/>
      <c r="AS83" s="498"/>
      <c r="AT83" s="498"/>
    </row>
    <row r="84" spans="1:47" x14ac:dyDescent="0.25">
      <c r="A84" s="476" t="s">
        <v>398</v>
      </c>
      <c r="B84" s="472">
        <v>2355</v>
      </c>
      <c r="C84" s="472">
        <v>4507</v>
      </c>
      <c r="D84" s="472">
        <v>6972</v>
      </c>
      <c r="E84" s="472">
        <v>8702</v>
      </c>
      <c r="F84" s="472"/>
      <c r="G84" s="472"/>
      <c r="H84" s="472">
        <v>1541</v>
      </c>
      <c r="I84" s="472">
        <v>4307</v>
      </c>
      <c r="J84" s="472">
        <v>7026</v>
      </c>
      <c r="K84" s="472">
        <v>8850</v>
      </c>
      <c r="L84" s="472"/>
      <c r="M84" s="472"/>
      <c r="N84" s="472">
        <v>2665</v>
      </c>
      <c r="O84" s="472">
        <v>5340</v>
      </c>
      <c r="P84" s="472">
        <v>7348</v>
      </c>
      <c r="Q84" s="472">
        <v>8362</v>
      </c>
      <c r="R84" s="472"/>
      <c r="S84" s="472"/>
      <c r="T84" s="472">
        <v>2126</v>
      </c>
      <c r="U84" s="472">
        <v>4168</v>
      </c>
      <c r="V84" s="472">
        <v>7427</v>
      </c>
      <c r="W84" s="472">
        <v>8440</v>
      </c>
      <c r="X84" s="472"/>
      <c r="Y84" s="472"/>
      <c r="Z84" s="472">
        <v>1779</v>
      </c>
      <c r="AA84" s="472">
        <v>4412</v>
      </c>
      <c r="AB84" s="472">
        <v>6437</v>
      </c>
      <c r="AC84" s="472">
        <v>6495</v>
      </c>
      <c r="AD84" s="472"/>
      <c r="AE84" s="472"/>
      <c r="AF84" s="472">
        <v>2131</v>
      </c>
      <c r="AG84" s="472">
        <v>4015</v>
      </c>
      <c r="AH84" s="472">
        <v>5570</v>
      </c>
      <c r="AI84" s="472">
        <v>6674</v>
      </c>
      <c r="AJ84" s="472"/>
      <c r="AK84" s="472"/>
      <c r="AL84" s="472">
        <v>1517</v>
      </c>
      <c r="AM84" s="472">
        <v>3299</v>
      </c>
      <c r="AN84" s="472">
        <v>6360</v>
      </c>
      <c r="AO84" s="472">
        <v>8257</v>
      </c>
      <c r="AP84" s="472"/>
      <c r="AQ84" s="472"/>
      <c r="AR84" s="472">
        <v>2731</v>
      </c>
      <c r="AS84" s="472">
        <v>4151</v>
      </c>
      <c r="AT84" s="472">
        <v>7579</v>
      </c>
    </row>
    <row r="85" spans="1:47" x14ac:dyDescent="0.25">
      <c r="A85" s="496" t="s">
        <v>496</v>
      </c>
      <c r="B85" s="499"/>
      <c r="C85" s="499"/>
      <c r="D85" s="499"/>
      <c r="E85" s="499"/>
      <c r="F85" s="499"/>
      <c r="G85" s="499"/>
      <c r="H85" s="499"/>
      <c r="I85" s="499"/>
      <c r="J85" s="499"/>
      <c r="K85" s="499"/>
      <c r="L85" s="499"/>
      <c r="M85" s="499"/>
      <c r="N85" s="499"/>
      <c r="O85" s="499"/>
      <c r="P85" s="499"/>
      <c r="Q85" s="499"/>
      <c r="R85" s="499"/>
      <c r="S85" s="499"/>
      <c r="T85" s="499"/>
      <c r="U85" s="499"/>
      <c r="V85" s="499"/>
      <c r="W85" s="499"/>
      <c r="X85" s="499"/>
      <c r="Y85" s="499"/>
      <c r="Z85" s="499"/>
      <c r="AA85" s="499"/>
      <c r="AB85" s="499"/>
      <c r="AC85" s="499"/>
      <c r="AD85" s="499"/>
      <c r="AE85" s="499"/>
      <c r="AF85" s="499"/>
      <c r="AG85" s="499"/>
      <c r="AH85" s="499"/>
      <c r="AI85" s="499"/>
      <c r="AJ85" s="499"/>
      <c r="AK85" s="499"/>
      <c r="AL85" s="499"/>
      <c r="AM85" s="499"/>
      <c r="AN85" s="499"/>
      <c r="AO85" s="499"/>
      <c r="AP85" s="499"/>
      <c r="AQ85" s="499"/>
      <c r="AR85" s="499"/>
      <c r="AS85" s="499"/>
      <c r="AT85" s="499"/>
    </row>
    <row r="86" spans="1:47" x14ac:dyDescent="0.25">
      <c r="A86" s="476" t="s">
        <v>495</v>
      </c>
      <c r="B86" s="472">
        <v>-4</v>
      </c>
      <c r="C86" s="472">
        <v>-505</v>
      </c>
      <c r="D86" s="472">
        <v>-506</v>
      </c>
      <c r="E86" s="472">
        <v>-1465</v>
      </c>
      <c r="F86" s="472"/>
      <c r="G86" s="472"/>
      <c r="H86" s="472">
        <v>-1</v>
      </c>
      <c r="I86" s="472">
        <v>-3</v>
      </c>
      <c r="J86" s="472">
        <v>-6</v>
      </c>
      <c r="K86" s="472">
        <v>-7</v>
      </c>
      <c r="L86" s="472"/>
      <c r="M86" s="472"/>
      <c r="N86" s="472">
        <v>-2</v>
      </c>
      <c r="O86" s="472">
        <v>-4</v>
      </c>
      <c r="P86" s="472">
        <v>-8</v>
      </c>
      <c r="Q86" s="472">
        <v>-12</v>
      </c>
      <c r="R86" s="472"/>
      <c r="S86" s="472"/>
      <c r="T86" s="472">
        <v>-6</v>
      </c>
      <c r="U86" s="472">
        <v>-12</v>
      </c>
      <c r="V86" s="472">
        <v>-18</v>
      </c>
      <c r="W86" s="472">
        <v>-26</v>
      </c>
      <c r="X86" s="472"/>
      <c r="Y86" s="472"/>
      <c r="Z86" s="472">
        <v>-644</v>
      </c>
      <c r="AA86" s="472">
        <v>-1902</v>
      </c>
      <c r="AB86" s="472">
        <v>-1910</v>
      </c>
      <c r="AC86" s="472">
        <v>-1919</v>
      </c>
      <c r="AD86" s="472"/>
      <c r="AE86" s="472"/>
      <c r="AF86" s="472">
        <v>-6</v>
      </c>
      <c r="AG86" s="472">
        <v>-13</v>
      </c>
      <c r="AH86" s="472">
        <v>-20</v>
      </c>
      <c r="AI86" s="472">
        <v>-25</v>
      </c>
      <c r="AJ86" s="472"/>
      <c r="AK86" s="472"/>
      <c r="AL86" s="472">
        <v>-90</v>
      </c>
      <c r="AM86" s="472">
        <v>-95</v>
      </c>
      <c r="AN86" s="472">
        <v>-99</v>
      </c>
      <c r="AO86" s="472">
        <v>-106</v>
      </c>
      <c r="AP86" s="472"/>
      <c r="AQ86" s="472"/>
      <c r="AR86" s="472">
        <v>-6</v>
      </c>
      <c r="AS86" s="472">
        <v>-1014</v>
      </c>
      <c r="AT86" s="472">
        <v>-1021</v>
      </c>
    </row>
    <row r="87" spans="1:47" x14ac:dyDescent="0.25">
      <c r="A87" s="476" t="s">
        <v>398</v>
      </c>
      <c r="B87" s="472">
        <v>-1974</v>
      </c>
      <c r="C87" s="472">
        <v>-3723</v>
      </c>
      <c r="D87" s="472">
        <v>-5718</v>
      </c>
      <c r="E87" s="472">
        <v>-6923</v>
      </c>
      <c r="F87" s="472"/>
      <c r="G87" s="472"/>
      <c r="H87" s="472">
        <v>-2408</v>
      </c>
      <c r="I87" s="472">
        <v>-4433</v>
      </c>
      <c r="J87" s="472">
        <v>-5636</v>
      </c>
      <c r="K87" s="472">
        <v>-7822</v>
      </c>
      <c r="L87" s="472"/>
      <c r="M87" s="472"/>
      <c r="N87" s="472">
        <v>-2565</v>
      </c>
      <c r="O87" s="472">
        <v>-4897</v>
      </c>
      <c r="P87" s="472">
        <v>-6054</v>
      </c>
      <c r="Q87" s="472">
        <v>-8285</v>
      </c>
      <c r="R87" s="472"/>
      <c r="S87" s="472"/>
      <c r="T87" s="472">
        <v>-2460</v>
      </c>
      <c r="U87" s="472">
        <v>-4617</v>
      </c>
      <c r="V87" s="472">
        <v>-6771</v>
      </c>
      <c r="W87" s="472">
        <v>-8211</v>
      </c>
      <c r="X87" s="472"/>
      <c r="Y87" s="472"/>
      <c r="Z87" s="472">
        <v>-2243</v>
      </c>
      <c r="AA87" s="472">
        <v>-4064</v>
      </c>
      <c r="AB87" s="472">
        <v>-6710</v>
      </c>
      <c r="AC87" s="472">
        <v>-7877</v>
      </c>
      <c r="AD87" s="472"/>
      <c r="AE87" s="472"/>
      <c r="AF87" s="472">
        <v>-1381</v>
      </c>
      <c r="AG87" s="472">
        <v>-4233</v>
      </c>
      <c r="AH87" s="472">
        <v>-5269</v>
      </c>
      <c r="AI87" s="472">
        <v>-7703</v>
      </c>
      <c r="AJ87" s="472"/>
      <c r="AK87" s="472"/>
      <c r="AL87" s="472">
        <v>-1385</v>
      </c>
      <c r="AM87" s="472">
        <v>-2208</v>
      </c>
      <c r="AN87" s="472">
        <v>-4360</v>
      </c>
      <c r="AO87" s="472">
        <v>-6212</v>
      </c>
      <c r="AP87" s="472"/>
      <c r="AQ87" s="472"/>
      <c r="AR87" s="472">
        <v>-1564</v>
      </c>
      <c r="AS87" s="472">
        <v>-4203</v>
      </c>
      <c r="AT87" s="472">
        <v>-5841</v>
      </c>
    </row>
    <row r="88" spans="1:47" x14ac:dyDescent="0.25">
      <c r="A88" s="476" t="s">
        <v>475</v>
      </c>
      <c r="B88" s="472">
        <v>618</v>
      </c>
      <c r="C88" s="472">
        <v>-505</v>
      </c>
      <c r="D88" s="472">
        <v>-2403</v>
      </c>
      <c r="E88" s="472">
        <v>-3058</v>
      </c>
      <c r="F88" s="472"/>
      <c r="G88" s="472"/>
      <c r="H88" s="472">
        <v>1151</v>
      </c>
      <c r="I88" s="472">
        <v>1487</v>
      </c>
      <c r="J88" s="472">
        <v>-465</v>
      </c>
      <c r="K88" s="472">
        <v>762</v>
      </c>
      <c r="L88" s="472"/>
      <c r="M88" s="472"/>
      <c r="N88" s="472">
        <v>-522</v>
      </c>
      <c r="O88" s="472">
        <v>-436</v>
      </c>
      <c r="P88" s="472">
        <v>-1006</v>
      </c>
      <c r="Q88" s="472">
        <v>-138</v>
      </c>
      <c r="R88" s="472"/>
      <c r="S88" s="472"/>
      <c r="T88" s="472">
        <v>-40</v>
      </c>
      <c r="U88" s="472">
        <v>-477</v>
      </c>
      <c r="V88" s="472">
        <v>-2138</v>
      </c>
      <c r="W88" s="472">
        <v>-2804</v>
      </c>
      <c r="X88" s="472"/>
      <c r="Y88" s="472"/>
      <c r="Z88" s="472">
        <v>1659</v>
      </c>
      <c r="AA88" s="472">
        <v>1460</v>
      </c>
      <c r="AB88" s="472">
        <v>1324</v>
      </c>
      <c r="AC88" s="472">
        <v>3488</v>
      </c>
      <c r="AD88" s="472"/>
      <c r="AE88" s="472"/>
      <c r="AF88" s="472">
        <v>-1016</v>
      </c>
      <c r="AG88" s="472">
        <v>-553</v>
      </c>
      <c r="AH88" s="472">
        <v>-1311</v>
      </c>
      <c r="AI88" s="472">
        <v>402</v>
      </c>
      <c r="AJ88" s="472"/>
      <c r="AK88" s="472"/>
      <c r="AL88" s="472">
        <v>-103</v>
      </c>
      <c r="AM88" s="472">
        <v>-406</v>
      </c>
      <c r="AN88" s="472">
        <v>-1726</v>
      </c>
      <c r="AO88" s="472">
        <v>-1345</v>
      </c>
      <c r="AP88" s="472"/>
      <c r="AQ88" s="472"/>
      <c r="AR88" s="472">
        <v>-1050</v>
      </c>
      <c r="AS88" s="472">
        <v>687</v>
      </c>
      <c r="AT88" s="472">
        <v>-848</v>
      </c>
    </row>
    <row r="89" spans="1:47" x14ac:dyDescent="0.25">
      <c r="A89" s="476" t="s">
        <v>476</v>
      </c>
      <c r="B89" s="472">
        <f>SUM(B80:B81,B88)</f>
        <v>1355</v>
      </c>
      <c r="C89" s="472">
        <f>SUM(C80:C81,C88)</f>
        <v>135</v>
      </c>
      <c r="D89" s="472">
        <f>SUM(D80:D81,D88)</f>
        <v>-1293</v>
      </c>
      <c r="E89" s="472">
        <f>SUM(E80:E81,E88)</f>
        <v>-2383</v>
      </c>
      <c r="F89" s="472"/>
      <c r="G89" s="472"/>
      <c r="H89" s="472">
        <f>SUM(H80:H81,H88)</f>
        <v>283</v>
      </c>
      <c r="I89" s="472">
        <f>SUM(I80:I81,I88)</f>
        <v>1358</v>
      </c>
      <c r="J89" s="472">
        <f>SUM(J80:J81,J88)</f>
        <v>966</v>
      </c>
      <c r="K89" s="472">
        <f>SUM(K80:K81,K88)</f>
        <v>1840</v>
      </c>
      <c r="L89" s="472"/>
      <c r="M89" s="472"/>
      <c r="N89" s="472">
        <f>SUM(N80:N81,N88)</f>
        <v>-424</v>
      </c>
      <c r="O89" s="472">
        <f>SUM(O80:O81,O88)</f>
        <v>3</v>
      </c>
      <c r="P89" s="472">
        <f>SUM(P80:P81,P88)</f>
        <v>1759</v>
      </c>
      <c r="Q89" s="472">
        <f>SUM(Q80:Q81,Q88)</f>
        <v>1406</v>
      </c>
      <c r="R89" s="472"/>
      <c r="S89" s="472"/>
      <c r="T89" s="472">
        <f>SUM(T80:T81,T88)</f>
        <v>-365</v>
      </c>
      <c r="U89" s="472">
        <f>SUM(U80:U81,U88)</f>
        <v>1053</v>
      </c>
      <c r="V89" s="472">
        <f>SUM(V80:V81,V88)</f>
        <v>491</v>
      </c>
      <c r="W89" s="472">
        <f>SUM(W80:W81,W88)</f>
        <v>-610</v>
      </c>
      <c r="X89" s="472"/>
      <c r="Y89" s="472"/>
      <c r="Z89" s="472">
        <f>SUM(Z80:Z81,Z88)</f>
        <v>1045</v>
      </c>
      <c r="AA89" s="472">
        <f>SUM(AA80:AA81,AA88)</f>
        <v>400</v>
      </c>
      <c r="AB89" s="472">
        <f>SUM(AB80:AB81,AB88)</f>
        <v>-365</v>
      </c>
      <c r="AC89" s="472">
        <f>SUM(AC80:AC81,AC88)</f>
        <v>681</v>
      </c>
      <c r="AD89" s="472"/>
      <c r="AE89" s="472"/>
      <c r="AF89" s="472">
        <f>SUM(AF80:AF81,AF88)</f>
        <v>-272</v>
      </c>
      <c r="AG89" s="472">
        <f>SUM(AG80:AG81,AG88)</f>
        <v>-784</v>
      </c>
      <c r="AH89" s="472">
        <f>SUM(AH80:AH81,AH88)</f>
        <v>-1030</v>
      </c>
      <c r="AI89" s="472">
        <f>SUM(AI80:AI81,AI88)</f>
        <v>-652</v>
      </c>
      <c r="AJ89" s="472"/>
      <c r="AK89" s="472"/>
      <c r="AL89" s="472">
        <f>SUM(AL80:AL81,AL88)</f>
        <v>-61</v>
      </c>
      <c r="AM89" s="472">
        <f>SUM(AM80:AM81,AM88)</f>
        <v>590</v>
      </c>
      <c r="AN89" s="472">
        <f>SUM(AN80:AN81,AN88)</f>
        <v>175</v>
      </c>
      <c r="AO89" s="472">
        <f>SUM(AO80:AO81,AO88)</f>
        <v>594</v>
      </c>
      <c r="AP89" s="472"/>
      <c r="AQ89" s="472"/>
      <c r="AR89" s="472">
        <f>SUM(AR80:AR81,AR88)</f>
        <v>111</v>
      </c>
      <c r="AS89" s="472">
        <f>SUM(AS80:AS81,AS88)</f>
        <v>-379</v>
      </c>
      <c r="AT89" s="472">
        <f>SUM(AT80:AT81,AT88)</f>
        <v>-131</v>
      </c>
      <c r="AU89" s="472"/>
    </row>
    <row r="90" spans="1:47" x14ac:dyDescent="0.25">
      <c r="A90" s="476" t="s">
        <v>477</v>
      </c>
      <c r="B90" s="472">
        <v>-6</v>
      </c>
      <c r="C90" s="472">
        <v>-6</v>
      </c>
      <c r="D90" s="472">
        <v>-7</v>
      </c>
      <c r="E90" s="472">
        <v>-9</v>
      </c>
      <c r="F90" s="472"/>
      <c r="G90" s="472"/>
      <c r="H90" s="472">
        <v>-3</v>
      </c>
      <c r="I90" s="472">
        <v>-4</v>
      </c>
      <c r="J90" s="472">
        <v>-32</v>
      </c>
      <c r="K90" s="472">
        <v>-54</v>
      </c>
      <c r="L90" s="472"/>
      <c r="M90" s="472"/>
      <c r="N90" s="472">
        <v>-1</v>
      </c>
      <c r="O90" s="472">
        <v>-2</v>
      </c>
      <c r="P90" s="472">
        <v>-2</v>
      </c>
      <c r="Q90" s="472">
        <v>-3</v>
      </c>
      <c r="R90" s="472"/>
      <c r="S90" s="472"/>
      <c r="T90" s="472">
        <v>-1</v>
      </c>
      <c r="U90" s="472">
        <v>-1</v>
      </c>
      <c r="V90" s="472">
        <v>-1</v>
      </c>
      <c r="W90" s="472">
        <v>-1</v>
      </c>
      <c r="X90" s="472"/>
      <c r="Y90" s="472"/>
      <c r="Z90" s="472">
        <v>-2</v>
      </c>
      <c r="AA90" s="472">
        <v>-2</v>
      </c>
      <c r="AB90" s="472">
        <v>-4</v>
      </c>
      <c r="AC90" s="472">
        <v>-4</v>
      </c>
      <c r="AD90" s="472"/>
      <c r="AE90" s="472"/>
      <c r="AF90" s="472">
        <v>0</v>
      </c>
      <c r="AG90" s="472">
        <v>0</v>
      </c>
      <c r="AH90" s="472">
        <v>-1</v>
      </c>
      <c r="AI90" s="472">
        <v>-10</v>
      </c>
      <c r="AJ90" s="472"/>
      <c r="AK90" s="472"/>
      <c r="AL90" s="498"/>
      <c r="AM90" s="498"/>
      <c r="AN90" s="472">
        <v>0</v>
      </c>
      <c r="AO90" s="472">
        <v>0</v>
      </c>
      <c r="AP90" s="472"/>
      <c r="AQ90" s="472"/>
      <c r="AR90" s="498"/>
      <c r="AS90" s="498"/>
      <c r="AT90" s="498"/>
    </row>
    <row r="91" spans="1:47" x14ac:dyDescent="0.25">
      <c r="A91" s="476" t="s">
        <v>494</v>
      </c>
      <c r="B91" s="472">
        <v>878</v>
      </c>
      <c r="C91" s="472">
        <v>-694</v>
      </c>
      <c r="D91" s="472">
        <v>-2314</v>
      </c>
      <c r="E91" s="472">
        <v>-3657</v>
      </c>
      <c r="F91" s="472"/>
      <c r="G91" s="472"/>
      <c r="H91" s="472">
        <v>-538</v>
      </c>
      <c r="I91" s="472">
        <v>-573</v>
      </c>
      <c r="J91" s="472">
        <v>-2218</v>
      </c>
      <c r="K91" s="472">
        <v>-3650</v>
      </c>
      <c r="L91" s="472"/>
      <c r="M91" s="472"/>
      <c r="N91" s="472">
        <v>-1675</v>
      </c>
      <c r="O91" s="472">
        <v>-3051</v>
      </c>
      <c r="P91" s="472">
        <v>-3031</v>
      </c>
      <c r="Q91" s="472">
        <v>-4538</v>
      </c>
      <c r="R91" s="472"/>
      <c r="S91" s="472"/>
      <c r="T91" s="472">
        <v>-1999</v>
      </c>
      <c r="U91" s="472">
        <v>-1213</v>
      </c>
      <c r="V91" s="472">
        <v>-2213</v>
      </c>
      <c r="W91" s="472">
        <v>-3755</v>
      </c>
      <c r="X91" s="472"/>
      <c r="Y91" s="472"/>
      <c r="Z91" s="472">
        <v>546</v>
      </c>
      <c r="AA91" s="472">
        <v>-856</v>
      </c>
      <c r="AB91" s="472">
        <v>-3602</v>
      </c>
      <c r="AC91" s="472">
        <v>-4188</v>
      </c>
      <c r="AD91" s="472"/>
      <c r="AE91" s="472"/>
      <c r="AF91" s="472">
        <v>-1715</v>
      </c>
      <c r="AG91" s="472">
        <v>-3891</v>
      </c>
      <c r="AH91" s="472">
        <v>-6158</v>
      </c>
      <c r="AI91" s="472">
        <v>-7281</v>
      </c>
      <c r="AJ91" s="472"/>
      <c r="AK91" s="472"/>
      <c r="AL91" s="472">
        <v>-1106</v>
      </c>
      <c r="AM91" s="472">
        <v>-2499</v>
      </c>
      <c r="AN91" s="472">
        <v>-3899</v>
      </c>
      <c r="AO91" s="472">
        <v>-6932</v>
      </c>
      <c r="AP91" s="472"/>
      <c r="AQ91" s="472"/>
      <c r="AR91" s="472">
        <v>-5000</v>
      </c>
      <c r="AS91" s="472">
        <v>-7929</v>
      </c>
      <c r="AT91" s="472">
        <v>-9139</v>
      </c>
    </row>
    <row r="92" spans="1:47" x14ac:dyDescent="0.25">
      <c r="A92" s="476" t="s">
        <v>493</v>
      </c>
      <c r="B92" s="472">
        <v>9</v>
      </c>
      <c r="C92" s="472">
        <v>13</v>
      </c>
      <c r="D92" s="472">
        <v>40</v>
      </c>
      <c r="E92" s="472">
        <v>38</v>
      </c>
      <c r="F92" s="472"/>
      <c r="G92" s="472"/>
      <c r="H92" s="472">
        <v>10</v>
      </c>
      <c r="I92" s="472">
        <v>-68</v>
      </c>
      <c r="J92" s="472">
        <v>-117</v>
      </c>
      <c r="K92" s="472">
        <v>-126</v>
      </c>
      <c r="L92" s="472"/>
      <c r="M92" s="472"/>
      <c r="N92" s="472">
        <v>3</v>
      </c>
      <c r="O92" s="472">
        <v>-10</v>
      </c>
      <c r="P92" s="472">
        <v>-47</v>
      </c>
      <c r="Q92" s="472">
        <v>-44</v>
      </c>
      <c r="R92" s="472"/>
      <c r="S92" s="472"/>
      <c r="T92" s="472">
        <v>-80</v>
      </c>
      <c r="U92" s="472">
        <v>-66</v>
      </c>
      <c r="V92" s="472">
        <v>-56</v>
      </c>
      <c r="W92" s="472">
        <v>-13</v>
      </c>
      <c r="X92" s="472"/>
      <c r="Y92" s="472"/>
      <c r="Z92" s="472">
        <v>-12</v>
      </c>
      <c r="AA92" s="472">
        <v>3</v>
      </c>
      <c r="AB92" s="472">
        <v>-9</v>
      </c>
      <c r="AC92" s="472">
        <v>-29</v>
      </c>
      <c r="AD92" s="472"/>
      <c r="AE92" s="472"/>
      <c r="AF92" s="472">
        <v>-16</v>
      </c>
      <c r="AG92" s="472">
        <v>-7</v>
      </c>
      <c r="AH92" s="472">
        <v>-79</v>
      </c>
      <c r="AI92" s="472">
        <v>-194</v>
      </c>
      <c r="AJ92" s="472"/>
      <c r="AK92" s="472"/>
      <c r="AL92" s="472">
        <v>-1</v>
      </c>
      <c r="AM92" s="472">
        <v>-60</v>
      </c>
      <c r="AN92" s="472">
        <v>-119</v>
      </c>
      <c r="AO92" s="472">
        <v>-110</v>
      </c>
      <c r="AP92" s="472"/>
      <c r="AQ92" s="472"/>
      <c r="AR92" s="472">
        <v>-30</v>
      </c>
      <c r="AS92" s="472">
        <v>-17</v>
      </c>
      <c r="AT92" s="472">
        <v>-39</v>
      </c>
    </row>
    <row r="93" spans="1:47" x14ac:dyDescent="0.25">
      <c r="A93" s="496" t="s">
        <v>492</v>
      </c>
      <c r="B93" s="497">
        <v>2336</v>
      </c>
      <c r="C93" s="497">
        <v>3084</v>
      </c>
      <c r="D93" s="497">
        <v>2458</v>
      </c>
      <c r="E93" s="497">
        <v>1121</v>
      </c>
      <c r="F93" s="497"/>
      <c r="G93" s="497"/>
      <c r="H93" s="497">
        <v>-393</v>
      </c>
      <c r="I93" s="497">
        <v>374</v>
      </c>
      <c r="J93" s="497">
        <v>-274</v>
      </c>
      <c r="K93" s="497">
        <v>-430</v>
      </c>
      <c r="L93" s="497"/>
      <c r="M93" s="497"/>
      <c r="N93" s="497">
        <v>-732</v>
      </c>
      <c r="O93" s="497">
        <v>-431</v>
      </c>
      <c r="P93" s="497">
        <v>46</v>
      </c>
      <c r="Q93" s="497">
        <v>402</v>
      </c>
      <c r="R93" s="497"/>
      <c r="S93" s="497"/>
      <c r="T93" s="497">
        <v>-1162</v>
      </c>
      <c r="U93" s="497">
        <v>499</v>
      </c>
      <c r="V93" s="497">
        <v>1027</v>
      </c>
      <c r="W93" s="497">
        <v>1074</v>
      </c>
      <c r="X93" s="497"/>
      <c r="Y93" s="497"/>
      <c r="Z93" s="497">
        <v>1985</v>
      </c>
      <c r="AA93" s="497">
        <v>1476</v>
      </c>
      <c r="AB93" s="497">
        <v>83</v>
      </c>
      <c r="AC93" s="497">
        <v>-103</v>
      </c>
      <c r="AD93" s="497"/>
      <c r="AE93" s="497"/>
      <c r="AF93" s="497">
        <v>-2731</v>
      </c>
      <c r="AG93" s="497">
        <v>-3240</v>
      </c>
      <c r="AH93" s="497">
        <v>-2908</v>
      </c>
      <c r="AI93" s="497">
        <v>-2250</v>
      </c>
      <c r="AJ93" s="497"/>
      <c r="AK93" s="497"/>
      <c r="AL93" s="497">
        <v>-217</v>
      </c>
      <c r="AM93" s="497">
        <v>381</v>
      </c>
      <c r="AN93" s="497">
        <v>-453</v>
      </c>
      <c r="AO93" s="497">
        <v>-28</v>
      </c>
      <c r="AP93" s="497"/>
      <c r="AQ93" s="497"/>
      <c r="AR93" s="497">
        <v>-2020</v>
      </c>
      <c r="AS93" s="497">
        <v>-2637</v>
      </c>
      <c r="AT93" s="497">
        <v>-1340</v>
      </c>
    </row>
    <row r="94" spans="1:47" x14ac:dyDescent="0.25">
      <c r="A94" s="476" t="s">
        <v>491</v>
      </c>
      <c r="B94" s="472">
        <v>7199</v>
      </c>
      <c r="C94" s="472">
        <v>7199</v>
      </c>
      <c r="D94" s="472">
        <v>7199</v>
      </c>
      <c r="E94" s="472">
        <v>7199</v>
      </c>
      <c r="F94" s="472"/>
      <c r="G94" s="472"/>
      <c r="H94" s="472">
        <v>8320</v>
      </c>
      <c r="I94" s="472">
        <v>8320</v>
      </c>
      <c r="J94" s="472">
        <v>8320</v>
      </c>
      <c r="K94" s="472">
        <v>8320</v>
      </c>
      <c r="L94" s="472"/>
      <c r="M94" s="472"/>
      <c r="N94" s="472">
        <v>7890</v>
      </c>
      <c r="O94" s="472">
        <v>7890</v>
      </c>
      <c r="P94" s="472">
        <v>7890</v>
      </c>
      <c r="Q94" s="472">
        <v>7890</v>
      </c>
      <c r="R94" s="472"/>
      <c r="S94" s="472"/>
      <c r="T94" s="472">
        <v>8292</v>
      </c>
      <c r="U94" s="472">
        <v>8292</v>
      </c>
      <c r="V94" s="472">
        <v>8292</v>
      </c>
      <c r="W94" s="472">
        <v>8292</v>
      </c>
      <c r="X94" s="472"/>
      <c r="Y94" s="472"/>
      <c r="Z94" s="472">
        <v>9366</v>
      </c>
      <c r="AA94" s="472">
        <v>9366</v>
      </c>
      <c r="AB94" s="472">
        <v>9366</v>
      </c>
      <c r="AC94" s="472">
        <v>9366</v>
      </c>
      <c r="AD94" s="472"/>
      <c r="AE94" s="472"/>
      <c r="AF94" s="472">
        <v>9263</v>
      </c>
      <c r="AG94" s="472">
        <v>9263</v>
      </c>
      <c r="AH94" s="472">
        <v>9263</v>
      </c>
      <c r="AI94" s="472">
        <v>9263</v>
      </c>
      <c r="AJ94" s="472"/>
      <c r="AK94" s="472"/>
      <c r="AL94" s="472">
        <v>7013</v>
      </c>
      <c r="AM94" s="472">
        <v>7013</v>
      </c>
      <c r="AN94" s="472">
        <v>7013</v>
      </c>
      <c r="AO94" s="472">
        <v>7013</v>
      </c>
      <c r="AP94" s="472"/>
      <c r="AQ94" s="472"/>
      <c r="AR94" s="472">
        <v>6985</v>
      </c>
      <c r="AS94" s="472">
        <v>6985</v>
      </c>
      <c r="AT94" s="472">
        <v>6985</v>
      </c>
    </row>
    <row r="95" spans="1:47" x14ac:dyDescent="0.25">
      <c r="A95" s="476" t="s">
        <v>490</v>
      </c>
      <c r="B95" s="457">
        <v>9535</v>
      </c>
      <c r="C95" s="457">
        <v>10283</v>
      </c>
      <c r="D95" s="457">
        <v>9657</v>
      </c>
      <c r="E95" s="457">
        <v>8320</v>
      </c>
      <c r="F95" s="457"/>
      <c r="G95" s="457"/>
      <c r="H95" s="457">
        <v>7927</v>
      </c>
      <c r="I95" s="457">
        <v>8694</v>
      </c>
      <c r="J95" s="457">
        <v>8046</v>
      </c>
      <c r="K95" s="457">
        <v>7890</v>
      </c>
      <c r="L95" s="457"/>
      <c r="M95" s="457"/>
      <c r="N95" s="457">
        <v>7158</v>
      </c>
      <c r="O95" s="457">
        <v>7459</v>
      </c>
      <c r="P95" s="457">
        <v>7936</v>
      </c>
      <c r="Q95" s="457">
        <v>8292</v>
      </c>
      <c r="R95" s="457"/>
      <c r="S95" s="457"/>
      <c r="T95" s="457">
        <v>7130</v>
      </c>
      <c r="U95" s="457">
        <v>8791</v>
      </c>
      <c r="V95" s="457">
        <v>9319</v>
      </c>
      <c r="W95" s="457">
        <v>9366</v>
      </c>
      <c r="X95" s="457"/>
      <c r="Y95" s="457"/>
      <c r="Z95" s="457">
        <v>11351</v>
      </c>
      <c r="AA95" s="457">
        <v>10842</v>
      </c>
      <c r="AB95" s="457">
        <v>9449</v>
      </c>
      <c r="AC95" s="457">
        <v>9263</v>
      </c>
      <c r="AD95" s="457"/>
      <c r="AE95" s="457"/>
      <c r="AF95" s="457">
        <v>6532</v>
      </c>
      <c r="AG95" s="457">
        <v>6023</v>
      </c>
      <c r="AH95" s="457">
        <v>6355</v>
      </c>
      <c r="AI95" s="457">
        <v>7013</v>
      </c>
      <c r="AJ95" s="457"/>
      <c r="AK95" s="457"/>
      <c r="AL95" s="457">
        <v>6796</v>
      </c>
      <c r="AM95" s="457">
        <v>7394</v>
      </c>
      <c r="AN95" s="457">
        <v>6560</v>
      </c>
      <c r="AO95" s="457">
        <v>6985</v>
      </c>
      <c r="AP95" s="457"/>
      <c r="AQ95" s="457"/>
      <c r="AR95" s="457">
        <v>4965</v>
      </c>
      <c r="AS95" s="457">
        <v>4348</v>
      </c>
      <c r="AT95" s="457">
        <v>5645</v>
      </c>
    </row>
    <row r="96" spans="1:47" x14ac:dyDescent="0.25">
      <c r="A96" s="476"/>
      <c r="B96" s="457"/>
      <c r="C96" s="457"/>
      <c r="D96" s="457"/>
      <c r="E96" s="457"/>
      <c r="F96" s="457"/>
      <c r="G96" s="457"/>
      <c r="H96" s="457"/>
      <c r="I96" s="457"/>
      <c r="J96" s="457"/>
      <c r="K96" s="457"/>
      <c r="L96" s="457"/>
      <c r="M96" s="457"/>
      <c r="N96" s="457"/>
      <c r="O96" s="457"/>
      <c r="P96" s="457"/>
      <c r="Q96" s="457"/>
      <c r="R96" s="457"/>
      <c r="S96" s="457"/>
      <c r="T96" s="457"/>
      <c r="U96" s="457"/>
      <c r="V96" s="457"/>
      <c r="W96" s="457"/>
      <c r="X96" s="457"/>
      <c r="Y96" s="457"/>
      <c r="Z96" s="457"/>
      <c r="AA96" s="457"/>
      <c r="AB96" s="457"/>
      <c r="AC96" s="457"/>
      <c r="AD96" s="457"/>
      <c r="AE96" s="457"/>
      <c r="AF96" s="457"/>
      <c r="AG96" s="457"/>
      <c r="AH96" s="457"/>
      <c r="AI96" s="457"/>
      <c r="AJ96" s="457"/>
      <c r="AK96" s="457"/>
      <c r="AL96" s="457"/>
      <c r="AM96" s="457"/>
      <c r="AN96" s="457"/>
      <c r="AO96" s="457"/>
      <c r="AP96" s="457"/>
      <c r="AQ96" s="457"/>
      <c r="AR96" s="457"/>
      <c r="AS96" s="457"/>
      <c r="AT96" s="457"/>
    </row>
    <row r="97" spans="1:48" x14ac:dyDescent="0.25">
      <c r="A97" s="476" t="s">
        <v>344</v>
      </c>
      <c r="B97" s="472">
        <f>B77</f>
        <v>-452</v>
      </c>
      <c r="C97" s="472">
        <f t="shared" ref="C97:E101" si="55">C77-B77</f>
        <v>-454</v>
      </c>
      <c r="D97" s="472">
        <f t="shared" si="55"/>
        <v>-461</v>
      </c>
      <c r="E97" s="472">
        <f t="shared" si="55"/>
        <v>-464</v>
      </c>
      <c r="F97" s="472">
        <f t="shared" ref="F97:F107" si="56">SUM(B97:E97)</f>
        <v>-1831</v>
      </c>
      <c r="G97" s="457"/>
      <c r="H97" s="472">
        <f>H77</f>
        <v>-467</v>
      </c>
      <c r="I97" s="472">
        <f t="shared" ref="I97:K101" si="57">I77-H77</f>
        <v>-466</v>
      </c>
      <c r="J97" s="472">
        <f t="shared" si="57"/>
        <v>-511</v>
      </c>
      <c r="K97" s="472">
        <f t="shared" si="57"/>
        <v>-507</v>
      </c>
      <c r="L97" s="472">
        <f t="shared" ref="L97:L107" si="58">SUM(H97:K97)</f>
        <v>-1951</v>
      </c>
      <c r="M97" s="457"/>
      <c r="N97" s="472">
        <f>N77</f>
        <v>-494</v>
      </c>
      <c r="O97" s="472">
        <f t="shared" ref="O97:Q101" si="59">O77-N77</f>
        <v>-492</v>
      </c>
      <c r="P97" s="472">
        <f t="shared" si="59"/>
        <v>-578</v>
      </c>
      <c r="Q97" s="472">
        <f t="shared" si="59"/>
        <v>-568</v>
      </c>
      <c r="R97" s="472">
        <f t="shared" ref="R97:R107" si="60">SUM(N97:Q97)</f>
        <v>-2132</v>
      </c>
      <c r="S97" s="457"/>
      <c r="T97" s="472">
        <f>T77</f>
        <v>-567</v>
      </c>
      <c r="U97" s="472">
        <f t="shared" ref="U97:W101" si="61">U77-T77</f>
        <v>-558</v>
      </c>
      <c r="V97" s="472">
        <f t="shared" si="61"/>
        <v>-558</v>
      </c>
      <c r="W97" s="472">
        <f t="shared" si="61"/>
        <v>-560</v>
      </c>
      <c r="X97" s="472">
        <f t="shared" ref="X97:X107" si="62">SUM(T97:W97)</f>
        <v>-2243</v>
      </c>
      <c r="Y97" s="457"/>
      <c r="Z97" s="472">
        <f>Z77</f>
        <v>-562</v>
      </c>
      <c r="AA97" s="472">
        <f t="shared" ref="AA97:AC101" si="63">AA77-Z77</f>
        <v>-564</v>
      </c>
      <c r="AB97" s="472">
        <f t="shared" si="63"/>
        <v>-607</v>
      </c>
      <c r="AC97" s="472">
        <f t="shared" si="63"/>
        <v>-599</v>
      </c>
      <c r="AD97" s="472">
        <f t="shared" ref="AD97:AD107" si="64">SUM(Z97:AC97)</f>
        <v>-2332</v>
      </c>
      <c r="AE97" s="457"/>
      <c r="AF97" s="472">
        <f>AF77</f>
        <v>-595</v>
      </c>
      <c r="AG97" s="472">
        <f t="shared" ref="AG97:AI101" si="65">AG77-AF77</f>
        <v>-592</v>
      </c>
      <c r="AH97" s="472">
        <f t="shared" si="65"/>
        <v>-633</v>
      </c>
      <c r="AI97" s="472">
        <f t="shared" si="65"/>
        <v>-620</v>
      </c>
      <c r="AJ97" s="472">
        <f t="shared" ref="AJ97:AJ107" si="66">SUM(AF97:AI97)</f>
        <v>-2440</v>
      </c>
      <c r="AK97" s="457"/>
      <c r="AL97" s="472">
        <f>AL77</f>
        <v>-620</v>
      </c>
      <c r="AM97" s="472">
        <f t="shared" ref="AM97:AO101" si="67">AM77-AL77</f>
        <v>-618</v>
      </c>
      <c r="AN97" s="472">
        <f t="shared" si="67"/>
        <v>-663</v>
      </c>
      <c r="AO97" s="472">
        <f t="shared" si="67"/>
        <v>-662</v>
      </c>
      <c r="AP97" s="472">
        <f t="shared" ref="AP97:AP107" si="68">SUM(AL97:AO97)</f>
        <v>-2563</v>
      </c>
      <c r="AQ97" s="457"/>
      <c r="AR97" s="472">
        <f>AR77</f>
        <v>-648</v>
      </c>
      <c r="AS97" s="472">
        <f t="shared" ref="AS97:AU101" si="69">AS77-AR77</f>
        <v>-635</v>
      </c>
      <c r="AT97" s="472">
        <f t="shared" si="69"/>
        <v>-683</v>
      </c>
      <c r="AU97" s="472">
        <f t="shared" si="69"/>
        <v>1966</v>
      </c>
      <c r="AV97" s="472"/>
    </row>
    <row r="98" spans="1:48" x14ac:dyDescent="0.25">
      <c r="A98" s="476" t="s">
        <v>471</v>
      </c>
      <c r="B98" s="472">
        <f>B78</f>
        <v>-19</v>
      </c>
      <c r="C98" s="472">
        <f t="shared" si="55"/>
        <v>102</v>
      </c>
      <c r="D98" s="472">
        <f t="shared" si="55"/>
        <v>270</v>
      </c>
      <c r="E98" s="472">
        <f t="shared" si="55"/>
        <v>213</v>
      </c>
      <c r="F98" s="472">
        <f t="shared" si="56"/>
        <v>566</v>
      </c>
      <c r="G98" s="457"/>
      <c r="H98" s="472">
        <f>H78</f>
        <v>149</v>
      </c>
      <c r="I98" s="472">
        <f t="shared" si="57"/>
        <v>107</v>
      </c>
      <c r="J98" s="472">
        <f t="shared" si="57"/>
        <v>36</v>
      </c>
      <c r="K98" s="472">
        <f t="shared" si="57"/>
        <v>21</v>
      </c>
      <c r="L98" s="472">
        <f t="shared" si="58"/>
        <v>313</v>
      </c>
      <c r="M98" s="457"/>
      <c r="N98" s="472">
        <f>N78</f>
        <v>-5</v>
      </c>
      <c r="O98" s="472">
        <f t="shared" si="59"/>
        <v>44</v>
      </c>
      <c r="P98" s="472">
        <f t="shared" si="59"/>
        <v>20</v>
      </c>
      <c r="Q98" s="472">
        <f t="shared" si="59"/>
        <v>179</v>
      </c>
      <c r="R98" s="472">
        <f t="shared" si="60"/>
        <v>238</v>
      </c>
      <c r="S98" s="457"/>
      <c r="T98" s="472">
        <f>T78</f>
        <v>-23</v>
      </c>
      <c r="U98" s="472">
        <f t="shared" si="61"/>
        <v>13</v>
      </c>
      <c r="V98" s="472">
        <f t="shared" si="61"/>
        <v>120</v>
      </c>
      <c r="W98" s="472">
        <f t="shared" si="61"/>
        <v>119</v>
      </c>
      <c r="X98" s="472">
        <f t="shared" si="62"/>
        <v>229</v>
      </c>
      <c r="Y98" s="457"/>
      <c r="Z98" s="472">
        <f>Z78</f>
        <v>65</v>
      </c>
      <c r="AA98" s="472">
        <f t="shared" si="63"/>
        <v>58</v>
      </c>
      <c r="AB98" s="472">
        <f t="shared" si="63"/>
        <v>-1</v>
      </c>
      <c r="AC98" s="472">
        <f t="shared" si="63"/>
        <v>13</v>
      </c>
      <c r="AD98" s="472">
        <f t="shared" si="64"/>
        <v>135</v>
      </c>
      <c r="AE98" s="457"/>
      <c r="AF98" s="472">
        <f>AF78</f>
        <v>-28</v>
      </c>
      <c r="AG98" s="472">
        <f t="shared" si="65"/>
        <v>32</v>
      </c>
      <c r="AH98" s="472">
        <f t="shared" si="65"/>
        <v>-2</v>
      </c>
      <c r="AI98" s="472">
        <f t="shared" si="65"/>
        <v>49</v>
      </c>
      <c r="AJ98" s="472">
        <f t="shared" si="66"/>
        <v>51</v>
      </c>
      <c r="AK98" s="457"/>
      <c r="AL98" s="472">
        <f>AL78</f>
        <v>-25</v>
      </c>
      <c r="AM98" s="472">
        <f t="shared" si="67"/>
        <v>3</v>
      </c>
      <c r="AN98" s="472">
        <f t="shared" si="67"/>
        <v>58</v>
      </c>
      <c r="AO98" s="472">
        <f t="shared" si="67"/>
        <v>-24</v>
      </c>
      <c r="AP98" s="472">
        <f t="shared" si="68"/>
        <v>12</v>
      </c>
      <c r="AQ98" s="457"/>
      <c r="AR98" s="472">
        <f>AR78</f>
        <v>-8</v>
      </c>
      <c r="AS98" s="472">
        <f t="shared" si="69"/>
        <v>16</v>
      </c>
      <c r="AT98" s="472">
        <f t="shared" si="69"/>
        <v>7</v>
      </c>
      <c r="AU98" s="472">
        <f t="shared" si="69"/>
        <v>-15</v>
      </c>
      <c r="AV98" s="472"/>
    </row>
    <row r="99" spans="1:48" x14ac:dyDescent="0.25">
      <c r="A99" s="476" t="s">
        <v>472</v>
      </c>
      <c r="B99" s="472">
        <f>B79</f>
        <v>0</v>
      </c>
      <c r="C99" s="472">
        <f t="shared" si="55"/>
        <v>0</v>
      </c>
      <c r="D99" s="472">
        <f t="shared" si="55"/>
        <v>0</v>
      </c>
      <c r="E99" s="472">
        <f t="shared" si="55"/>
        <v>0</v>
      </c>
      <c r="F99" s="472">
        <f t="shared" si="56"/>
        <v>0</v>
      </c>
      <c r="G99" s="457"/>
      <c r="H99" s="472">
        <f>H79</f>
        <v>-500</v>
      </c>
      <c r="I99" s="472">
        <f t="shared" si="57"/>
        <v>-750</v>
      </c>
      <c r="J99" s="472">
        <f t="shared" si="57"/>
        <v>-750</v>
      </c>
      <c r="K99" s="472">
        <f t="shared" si="57"/>
        <v>-1798</v>
      </c>
      <c r="L99" s="472">
        <f t="shared" si="58"/>
        <v>-3798</v>
      </c>
      <c r="M99" s="457"/>
      <c r="N99" s="472">
        <f>N79</f>
        <v>-751</v>
      </c>
      <c r="O99" s="472">
        <f t="shared" si="59"/>
        <v>-1354</v>
      </c>
      <c r="P99" s="472">
        <f t="shared" si="59"/>
        <v>-1178</v>
      </c>
      <c r="Q99" s="472">
        <f t="shared" si="59"/>
        <v>-764</v>
      </c>
      <c r="R99" s="472">
        <f t="shared" si="60"/>
        <v>-4047</v>
      </c>
      <c r="S99" s="457"/>
      <c r="T99" s="472">
        <f>T79</f>
        <v>-1043</v>
      </c>
      <c r="U99" s="472">
        <f t="shared" si="61"/>
        <v>-87</v>
      </c>
      <c r="V99" s="472">
        <f t="shared" si="61"/>
        <v>0</v>
      </c>
      <c r="W99" s="472">
        <f t="shared" si="61"/>
        <v>0</v>
      </c>
      <c r="X99" s="472">
        <f t="shared" si="62"/>
        <v>-1130</v>
      </c>
      <c r="Y99" s="457"/>
      <c r="Z99" s="472">
        <f>Z79</f>
        <v>0</v>
      </c>
      <c r="AA99" s="472">
        <f t="shared" si="63"/>
        <v>-251</v>
      </c>
      <c r="AB99" s="472">
        <f t="shared" si="63"/>
        <v>-1371</v>
      </c>
      <c r="AC99" s="472">
        <f t="shared" si="63"/>
        <v>-1046</v>
      </c>
      <c r="AD99" s="472">
        <f t="shared" si="64"/>
        <v>-2668</v>
      </c>
      <c r="AE99" s="457"/>
      <c r="AF99" s="472">
        <f>AF79</f>
        <v>-820</v>
      </c>
      <c r="AG99" s="472">
        <f t="shared" si="65"/>
        <v>-1104</v>
      </c>
      <c r="AH99" s="472">
        <f t="shared" si="65"/>
        <v>-1385</v>
      </c>
      <c r="AI99" s="472">
        <f t="shared" si="65"/>
        <v>-921</v>
      </c>
      <c r="AJ99" s="472">
        <f t="shared" si="66"/>
        <v>-4230</v>
      </c>
      <c r="AK99" s="457"/>
      <c r="AL99" s="472">
        <f>AL79</f>
        <v>-400</v>
      </c>
      <c r="AM99" s="472">
        <f t="shared" si="67"/>
        <v>-1429</v>
      </c>
      <c r="AN99" s="472">
        <f t="shared" si="67"/>
        <v>-380</v>
      </c>
      <c r="AO99" s="472">
        <f t="shared" si="67"/>
        <v>-2766</v>
      </c>
      <c r="AP99" s="472">
        <f t="shared" si="68"/>
        <v>-4975</v>
      </c>
      <c r="AQ99" s="457"/>
      <c r="AR99" s="472">
        <f>AR79</f>
        <v>-4455</v>
      </c>
      <c r="AS99" s="472">
        <f t="shared" si="69"/>
        <v>-1820</v>
      </c>
      <c r="AT99" s="472">
        <f t="shared" si="69"/>
        <v>-782</v>
      </c>
      <c r="AU99" s="472">
        <f t="shared" si="69"/>
        <v>7057</v>
      </c>
      <c r="AV99" s="472"/>
    </row>
    <row r="100" spans="1:48" x14ac:dyDescent="0.25">
      <c r="A100" s="476" t="s">
        <v>473</v>
      </c>
      <c r="B100" s="472">
        <f>B80</f>
        <v>356</v>
      </c>
      <c r="C100" s="472">
        <f t="shared" si="55"/>
        <v>-500</v>
      </c>
      <c r="D100" s="472">
        <f t="shared" si="55"/>
        <v>0</v>
      </c>
      <c r="E100" s="472">
        <f t="shared" si="55"/>
        <v>-960</v>
      </c>
      <c r="F100" s="472">
        <f t="shared" si="56"/>
        <v>-1104</v>
      </c>
      <c r="G100" s="457"/>
      <c r="H100" s="472">
        <f>H80</f>
        <v>-1</v>
      </c>
      <c r="I100" s="472">
        <f t="shared" si="57"/>
        <v>-2</v>
      </c>
      <c r="J100" s="472">
        <f t="shared" si="57"/>
        <v>44</v>
      </c>
      <c r="K100" s="472">
        <f t="shared" si="57"/>
        <v>9</v>
      </c>
      <c r="L100" s="472">
        <f t="shared" si="58"/>
        <v>50</v>
      </c>
      <c r="M100" s="457"/>
      <c r="N100" s="472">
        <f>N80</f>
        <v>-2</v>
      </c>
      <c r="O100" s="472">
        <f t="shared" si="59"/>
        <v>-2</v>
      </c>
      <c r="P100" s="472">
        <f t="shared" si="59"/>
        <v>1475</v>
      </c>
      <c r="Q100" s="472">
        <f t="shared" si="59"/>
        <v>-4</v>
      </c>
      <c r="R100" s="472">
        <f t="shared" si="60"/>
        <v>1467</v>
      </c>
      <c r="S100" s="457"/>
      <c r="T100" s="472">
        <f>T80</f>
        <v>9</v>
      </c>
      <c r="U100" s="472">
        <f t="shared" si="61"/>
        <v>1970</v>
      </c>
      <c r="V100" s="472">
        <f t="shared" si="61"/>
        <v>-6</v>
      </c>
      <c r="W100" s="472">
        <f t="shared" si="61"/>
        <v>-8</v>
      </c>
      <c r="X100" s="472">
        <f t="shared" si="62"/>
        <v>1965</v>
      </c>
      <c r="Y100" s="457"/>
      <c r="Z100" s="472">
        <f>Z80</f>
        <v>-150</v>
      </c>
      <c r="AA100" s="472">
        <f t="shared" si="63"/>
        <v>-1258</v>
      </c>
      <c r="AB100" s="472">
        <f t="shared" si="63"/>
        <v>-8</v>
      </c>
      <c r="AC100" s="472">
        <f t="shared" si="63"/>
        <v>-9</v>
      </c>
      <c r="AD100" s="472">
        <f t="shared" si="64"/>
        <v>-1425</v>
      </c>
      <c r="AE100" s="457"/>
      <c r="AF100" s="472">
        <f>AF80</f>
        <v>-6</v>
      </c>
      <c r="AG100" s="472">
        <f t="shared" si="65"/>
        <v>-7</v>
      </c>
      <c r="AH100" s="472">
        <f t="shared" si="65"/>
        <v>-7</v>
      </c>
      <c r="AI100" s="472">
        <f t="shared" si="65"/>
        <v>-5</v>
      </c>
      <c r="AJ100" s="472">
        <f t="shared" si="66"/>
        <v>-25</v>
      </c>
      <c r="AK100" s="457"/>
      <c r="AL100" s="472">
        <f>AL80</f>
        <v>-90</v>
      </c>
      <c r="AM100" s="472">
        <f t="shared" si="67"/>
        <v>-5</v>
      </c>
      <c r="AN100" s="472">
        <f t="shared" si="67"/>
        <v>-4</v>
      </c>
      <c r="AO100" s="472">
        <f t="shared" si="67"/>
        <v>-7</v>
      </c>
      <c r="AP100" s="472">
        <f t="shared" si="68"/>
        <v>-106</v>
      </c>
      <c r="AQ100" s="457"/>
      <c r="AR100" s="472">
        <f>AR80</f>
        <v>-6</v>
      </c>
      <c r="AS100" s="472">
        <f t="shared" si="69"/>
        <v>-1008</v>
      </c>
      <c r="AT100" s="472">
        <f t="shared" si="69"/>
        <v>-7</v>
      </c>
      <c r="AU100" s="472">
        <f t="shared" si="69"/>
        <v>1021</v>
      </c>
      <c r="AV100" s="472"/>
    </row>
    <row r="101" spans="1:48" x14ac:dyDescent="0.25">
      <c r="A101" s="476" t="s">
        <v>474</v>
      </c>
      <c r="B101" s="472">
        <f>B81</f>
        <v>381</v>
      </c>
      <c r="C101" s="472">
        <f t="shared" si="55"/>
        <v>403</v>
      </c>
      <c r="D101" s="472">
        <f t="shared" si="55"/>
        <v>470</v>
      </c>
      <c r="E101" s="472">
        <f t="shared" si="55"/>
        <v>525</v>
      </c>
      <c r="F101" s="472">
        <f t="shared" si="56"/>
        <v>1779</v>
      </c>
      <c r="G101" s="457"/>
      <c r="H101" s="472">
        <f>H81</f>
        <v>-867</v>
      </c>
      <c r="I101" s="472">
        <f t="shared" si="57"/>
        <v>741</v>
      </c>
      <c r="J101" s="472">
        <f t="shared" si="57"/>
        <v>1516</v>
      </c>
      <c r="K101" s="472">
        <f t="shared" si="57"/>
        <v>-362</v>
      </c>
      <c r="L101" s="472">
        <f t="shared" si="58"/>
        <v>1028</v>
      </c>
      <c r="M101" s="457"/>
      <c r="N101" s="472">
        <f>N81</f>
        <v>100</v>
      </c>
      <c r="O101" s="472">
        <f t="shared" si="59"/>
        <v>343</v>
      </c>
      <c r="P101" s="472">
        <f t="shared" si="59"/>
        <v>851</v>
      </c>
      <c r="Q101" s="472">
        <f t="shared" si="59"/>
        <v>-1217</v>
      </c>
      <c r="R101" s="472">
        <f t="shared" si="60"/>
        <v>77</v>
      </c>
      <c r="S101" s="457"/>
      <c r="T101" s="472">
        <f>T81</f>
        <v>-334</v>
      </c>
      <c r="U101" s="472">
        <f t="shared" si="61"/>
        <v>-115</v>
      </c>
      <c r="V101" s="472">
        <f t="shared" si="61"/>
        <v>1105</v>
      </c>
      <c r="W101" s="472">
        <f t="shared" si="61"/>
        <v>-427</v>
      </c>
      <c r="X101" s="472">
        <f t="shared" si="62"/>
        <v>229</v>
      </c>
      <c r="Y101" s="457"/>
      <c r="Z101" s="472">
        <f>Z81</f>
        <v>-464</v>
      </c>
      <c r="AA101" s="472">
        <f t="shared" si="63"/>
        <v>812</v>
      </c>
      <c r="AB101" s="472">
        <f t="shared" si="63"/>
        <v>-621</v>
      </c>
      <c r="AC101" s="472">
        <f t="shared" si="63"/>
        <v>-1109</v>
      </c>
      <c r="AD101" s="472">
        <f t="shared" si="64"/>
        <v>-1382</v>
      </c>
      <c r="AE101" s="457"/>
      <c r="AF101" s="472">
        <f>AF81</f>
        <v>750</v>
      </c>
      <c r="AG101" s="472">
        <f t="shared" si="65"/>
        <v>-968</v>
      </c>
      <c r="AH101" s="472">
        <f t="shared" si="65"/>
        <v>519</v>
      </c>
      <c r="AI101" s="472">
        <f t="shared" si="65"/>
        <v>-1330</v>
      </c>
      <c r="AJ101" s="472">
        <f t="shared" si="66"/>
        <v>-1029</v>
      </c>
      <c r="AK101" s="457"/>
      <c r="AL101" s="472">
        <f>AL81</f>
        <v>132</v>
      </c>
      <c r="AM101" s="472">
        <f t="shared" si="67"/>
        <v>959</v>
      </c>
      <c r="AN101" s="472">
        <f t="shared" si="67"/>
        <v>909</v>
      </c>
      <c r="AO101" s="472">
        <f t="shared" si="67"/>
        <v>45</v>
      </c>
      <c r="AP101" s="472">
        <f t="shared" si="68"/>
        <v>2045</v>
      </c>
      <c r="AQ101" s="457"/>
      <c r="AR101" s="472">
        <f>AR81</f>
        <v>1167</v>
      </c>
      <c r="AS101" s="472">
        <f t="shared" si="69"/>
        <v>-1219</v>
      </c>
      <c r="AT101" s="472">
        <f t="shared" si="69"/>
        <v>1790</v>
      </c>
      <c r="AU101" s="472">
        <f t="shared" si="69"/>
        <v>-1738</v>
      </c>
      <c r="AV101" s="472"/>
    </row>
    <row r="102" spans="1:48" x14ac:dyDescent="0.25">
      <c r="A102" s="476" t="s">
        <v>475</v>
      </c>
      <c r="B102" s="472">
        <f t="shared" ref="B102:B109" si="70">B88</f>
        <v>618</v>
      </c>
      <c r="C102" s="472">
        <f t="shared" ref="C102:E107" si="71">C88-B88</f>
        <v>-1123</v>
      </c>
      <c r="D102" s="472">
        <f t="shared" si="71"/>
        <v>-1898</v>
      </c>
      <c r="E102" s="472">
        <f t="shared" si="71"/>
        <v>-655</v>
      </c>
      <c r="F102" s="472">
        <f t="shared" si="56"/>
        <v>-3058</v>
      </c>
      <c r="G102" s="457"/>
      <c r="H102" s="472">
        <f t="shared" ref="H102:H109" si="72">H88</f>
        <v>1151</v>
      </c>
      <c r="I102" s="472">
        <f t="shared" ref="I102:K107" si="73">I88-H88</f>
        <v>336</v>
      </c>
      <c r="J102" s="472">
        <f t="shared" si="73"/>
        <v>-1952</v>
      </c>
      <c r="K102" s="472">
        <f t="shared" si="73"/>
        <v>1227</v>
      </c>
      <c r="L102" s="472">
        <f t="shared" si="58"/>
        <v>762</v>
      </c>
      <c r="M102" s="457"/>
      <c r="N102" s="472">
        <f t="shared" ref="N102:N109" si="74">N88</f>
        <v>-522</v>
      </c>
      <c r="O102" s="472">
        <f t="shared" ref="O102:Q107" si="75">O88-N88</f>
        <v>86</v>
      </c>
      <c r="P102" s="472">
        <f t="shared" si="75"/>
        <v>-570</v>
      </c>
      <c r="Q102" s="472">
        <f t="shared" si="75"/>
        <v>868</v>
      </c>
      <c r="R102" s="472">
        <f t="shared" si="60"/>
        <v>-138</v>
      </c>
      <c r="S102" s="457"/>
      <c r="T102" s="472">
        <f t="shared" ref="T102:T109" si="76">T88</f>
        <v>-40</v>
      </c>
      <c r="U102" s="472">
        <f t="shared" ref="U102:W107" si="77">U88-T88</f>
        <v>-437</v>
      </c>
      <c r="V102" s="472">
        <f t="shared" si="77"/>
        <v>-1661</v>
      </c>
      <c r="W102" s="472">
        <f t="shared" si="77"/>
        <v>-666</v>
      </c>
      <c r="X102" s="472">
        <f t="shared" si="62"/>
        <v>-2804</v>
      </c>
      <c r="Y102" s="457"/>
      <c r="Z102" s="472">
        <f t="shared" ref="Z102:Z109" si="78">Z88</f>
        <v>1659</v>
      </c>
      <c r="AA102" s="472">
        <f t="shared" ref="AA102:AC107" si="79">AA88-Z88</f>
        <v>-199</v>
      </c>
      <c r="AB102" s="472">
        <f t="shared" si="79"/>
        <v>-136</v>
      </c>
      <c r="AC102" s="472">
        <f t="shared" si="79"/>
        <v>2164</v>
      </c>
      <c r="AD102" s="472">
        <f t="shared" si="64"/>
        <v>3488</v>
      </c>
      <c r="AE102" s="457"/>
      <c r="AF102" s="472">
        <f t="shared" ref="AF102:AF109" si="80">AF88</f>
        <v>-1016</v>
      </c>
      <c r="AG102" s="472">
        <f t="shared" ref="AG102:AI107" si="81">AG88-AF88</f>
        <v>463</v>
      </c>
      <c r="AH102" s="472">
        <f t="shared" si="81"/>
        <v>-758</v>
      </c>
      <c r="AI102" s="472">
        <f t="shared" si="81"/>
        <v>1713</v>
      </c>
      <c r="AJ102" s="472">
        <f t="shared" si="66"/>
        <v>402</v>
      </c>
      <c r="AK102" s="457"/>
      <c r="AL102" s="472">
        <f t="shared" ref="AL102:AL109" si="82">AL88</f>
        <v>-103</v>
      </c>
      <c r="AM102" s="472">
        <f t="shared" ref="AM102:AO107" si="83">AM88-AL88</f>
        <v>-303</v>
      </c>
      <c r="AN102" s="472">
        <f t="shared" si="83"/>
        <v>-1320</v>
      </c>
      <c r="AO102" s="472">
        <f t="shared" si="83"/>
        <v>381</v>
      </c>
      <c r="AP102" s="472">
        <f t="shared" si="68"/>
        <v>-1345</v>
      </c>
      <c r="AQ102" s="457"/>
      <c r="AR102" s="472">
        <f t="shared" ref="AR102:AR109" si="84">AR88</f>
        <v>-1050</v>
      </c>
      <c r="AS102" s="472">
        <f t="shared" ref="AS102:AU107" si="85">AS88-AR88</f>
        <v>1737</v>
      </c>
      <c r="AT102" s="472">
        <f t="shared" si="85"/>
        <v>-1535</v>
      </c>
      <c r="AU102" s="472">
        <f t="shared" si="85"/>
        <v>848</v>
      </c>
      <c r="AV102" s="472"/>
    </row>
    <row r="103" spans="1:48" x14ac:dyDescent="0.25">
      <c r="A103" s="476" t="s">
        <v>476</v>
      </c>
      <c r="B103" s="472">
        <f t="shared" si="70"/>
        <v>1355</v>
      </c>
      <c r="C103" s="472">
        <f t="shared" si="71"/>
        <v>-1220</v>
      </c>
      <c r="D103" s="472">
        <f t="shared" si="71"/>
        <v>-1428</v>
      </c>
      <c r="E103" s="472">
        <f t="shared" si="71"/>
        <v>-1090</v>
      </c>
      <c r="F103" s="472">
        <f t="shared" si="56"/>
        <v>-2383</v>
      </c>
      <c r="G103" s="457"/>
      <c r="H103" s="472">
        <f t="shared" si="72"/>
        <v>283</v>
      </c>
      <c r="I103" s="472">
        <f t="shared" si="73"/>
        <v>1075</v>
      </c>
      <c r="J103" s="472">
        <f t="shared" si="73"/>
        <v>-392</v>
      </c>
      <c r="K103" s="472">
        <f t="shared" si="73"/>
        <v>874</v>
      </c>
      <c r="L103" s="472">
        <f t="shared" si="58"/>
        <v>1840</v>
      </c>
      <c r="M103" s="457"/>
      <c r="N103" s="472">
        <f t="shared" si="74"/>
        <v>-424</v>
      </c>
      <c r="O103" s="472">
        <f t="shared" si="75"/>
        <v>427</v>
      </c>
      <c r="P103" s="472">
        <f t="shared" si="75"/>
        <v>1756</v>
      </c>
      <c r="Q103" s="472">
        <f t="shared" si="75"/>
        <v>-353</v>
      </c>
      <c r="R103" s="472">
        <f t="shared" si="60"/>
        <v>1406</v>
      </c>
      <c r="S103" s="457"/>
      <c r="T103" s="472">
        <f t="shared" si="76"/>
        <v>-365</v>
      </c>
      <c r="U103" s="472">
        <f t="shared" si="77"/>
        <v>1418</v>
      </c>
      <c r="V103" s="472">
        <f t="shared" si="77"/>
        <v>-562</v>
      </c>
      <c r="W103" s="472">
        <f t="shared" si="77"/>
        <v>-1101</v>
      </c>
      <c r="X103" s="472">
        <f t="shared" si="62"/>
        <v>-610</v>
      </c>
      <c r="Y103" s="457"/>
      <c r="Z103" s="472">
        <f t="shared" si="78"/>
        <v>1045</v>
      </c>
      <c r="AA103" s="472">
        <f t="shared" si="79"/>
        <v>-645</v>
      </c>
      <c r="AB103" s="472">
        <f t="shared" si="79"/>
        <v>-765</v>
      </c>
      <c r="AC103" s="472">
        <f t="shared" si="79"/>
        <v>1046</v>
      </c>
      <c r="AD103" s="472">
        <f t="shared" si="64"/>
        <v>681</v>
      </c>
      <c r="AE103" s="457"/>
      <c r="AF103" s="472">
        <f t="shared" si="80"/>
        <v>-272</v>
      </c>
      <c r="AG103" s="472">
        <f t="shared" si="81"/>
        <v>-512</v>
      </c>
      <c r="AH103" s="472">
        <f t="shared" si="81"/>
        <v>-246</v>
      </c>
      <c r="AI103" s="472">
        <f t="shared" si="81"/>
        <v>378</v>
      </c>
      <c r="AJ103" s="472">
        <f t="shared" si="66"/>
        <v>-652</v>
      </c>
      <c r="AK103" s="457"/>
      <c r="AL103" s="472">
        <f t="shared" si="82"/>
        <v>-61</v>
      </c>
      <c r="AM103" s="472">
        <f t="shared" si="83"/>
        <v>651</v>
      </c>
      <c r="AN103" s="472">
        <f t="shared" si="83"/>
        <v>-415</v>
      </c>
      <c r="AO103" s="472">
        <f t="shared" si="83"/>
        <v>419</v>
      </c>
      <c r="AP103" s="472">
        <f t="shared" si="68"/>
        <v>594</v>
      </c>
      <c r="AQ103" s="457"/>
      <c r="AR103" s="472">
        <f t="shared" si="84"/>
        <v>111</v>
      </c>
      <c r="AS103" s="472">
        <f t="shared" si="85"/>
        <v>-490</v>
      </c>
      <c r="AT103" s="472">
        <f t="shared" si="85"/>
        <v>248</v>
      </c>
      <c r="AU103" s="472">
        <f t="shared" si="85"/>
        <v>131</v>
      </c>
      <c r="AV103" s="472"/>
    </row>
    <row r="104" spans="1:48" x14ac:dyDescent="0.25">
      <c r="A104" s="476" t="s">
        <v>477</v>
      </c>
      <c r="B104" s="472">
        <f t="shared" si="70"/>
        <v>-6</v>
      </c>
      <c r="C104" s="472">
        <f t="shared" si="71"/>
        <v>0</v>
      </c>
      <c r="D104" s="472">
        <f t="shared" si="71"/>
        <v>-1</v>
      </c>
      <c r="E104" s="472">
        <f t="shared" si="71"/>
        <v>-2</v>
      </c>
      <c r="F104" s="472">
        <f t="shared" si="56"/>
        <v>-9</v>
      </c>
      <c r="G104" s="457"/>
      <c r="H104" s="472">
        <f t="shared" si="72"/>
        <v>-3</v>
      </c>
      <c r="I104" s="472">
        <f t="shared" si="73"/>
        <v>-1</v>
      </c>
      <c r="J104" s="472">
        <f t="shared" si="73"/>
        <v>-28</v>
      </c>
      <c r="K104" s="472">
        <f t="shared" si="73"/>
        <v>-22</v>
      </c>
      <c r="L104" s="472">
        <f t="shared" si="58"/>
        <v>-54</v>
      </c>
      <c r="M104" s="457"/>
      <c r="N104" s="472">
        <f t="shared" si="74"/>
        <v>-1</v>
      </c>
      <c r="O104" s="472">
        <f t="shared" si="75"/>
        <v>-1</v>
      </c>
      <c r="P104" s="472">
        <f t="shared" si="75"/>
        <v>0</v>
      </c>
      <c r="Q104" s="472">
        <f t="shared" si="75"/>
        <v>-1</v>
      </c>
      <c r="R104" s="472">
        <f t="shared" si="60"/>
        <v>-3</v>
      </c>
      <c r="S104" s="457"/>
      <c r="T104" s="472">
        <f t="shared" si="76"/>
        <v>-1</v>
      </c>
      <c r="U104" s="472">
        <f t="shared" si="77"/>
        <v>0</v>
      </c>
      <c r="V104" s="472">
        <f t="shared" si="77"/>
        <v>0</v>
      </c>
      <c r="W104" s="472">
        <f t="shared" si="77"/>
        <v>0</v>
      </c>
      <c r="X104" s="472">
        <f t="shared" si="62"/>
        <v>-1</v>
      </c>
      <c r="Y104" s="457"/>
      <c r="Z104" s="472">
        <f t="shared" si="78"/>
        <v>-2</v>
      </c>
      <c r="AA104" s="472">
        <f t="shared" si="79"/>
        <v>0</v>
      </c>
      <c r="AB104" s="472">
        <f t="shared" si="79"/>
        <v>-2</v>
      </c>
      <c r="AC104" s="472">
        <f t="shared" si="79"/>
        <v>0</v>
      </c>
      <c r="AD104" s="472">
        <f t="shared" si="64"/>
        <v>-4</v>
      </c>
      <c r="AE104" s="457"/>
      <c r="AF104" s="472">
        <f t="shared" si="80"/>
        <v>0</v>
      </c>
      <c r="AG104" s="472">
        <f t="shared" si="81"/>
        <v>0</v>
      </c>
      <c r="AH104" s="472">
        <f t="shared" si="81"/>
        <v>-1</v>
      </c>
      <c r="AI104" s="472">
        <f t="shared" si="81"/>
        <v>-9</v>
      </c>
      <c r="AJ104" s="472">
        <f t="shared" si="66"/>
        <v>-10</v>
      </c>
      <c r="AK104" s="457"/>
      <c r="AL104" s="472">
        <f t="shared" si="82"/>
        <v>0</v>
      </c>
      <c r="AM104" s="472">
        <f t="shared" si="83"/>
        <v>0</v>
      </c>
      <c r="AN104" s="472">
        <f t="shared" si="83"/>
        <v>0</v>
      </c>
      <c r="AO104" s="472">
        <f t="shared" si="83"/>
        <v>0</v>
      </c>
      <c r="AP104" s="472">
        <f t="shared" si="68"/>
        <v>0</v>
      </c>
      <c r="AQ104" s="457"/>
      <c r="AR104" s="472">
        <f t="shared" si="84"/>
        <v>0</v>
      </c>
      <c r="AS104" s="472">
        <f t="shared" si="85"/>
        <v>0</v>
      </c>
      <c r="AT104" s="472">
        <f t="shared" si="85"/>
        <v>0</v>
      </c>
      <c r="AU104" s="472">
        <f t="shared" si="85"/>
        <v>0</v>
      </c>
      <c r="AV104" s="472"/>
    </row>
    <row r="105" spans="1:48" x14ac:dyDescent="0.25">
      <c r="A105" s="476" t="s">
        <v>494</v>
      </c>
      <c r="B105" s="472">
        <f t="shared" si="70"/>
        <v>878</v>
      </c>
      <c r="C105" s="472">
        <f t="shared" si="71"/>
        <v>-1572</v>
      </c>
      <c r="D105" s="472">
        <f t="shared" si="71"/>
        <v>-1620</v>
      </c>
      <c r="E105" s="472">
        <f t="shared" si="71"/>
        <v>-1343</v>
      </c>
      <c r="F105" s="472">
        <f t="shared" si="56"/>
        <v>-3657</v>
      </c>
      <c r="G105" s="457"/>
      <c r="H105" s="472">
        <f t="shared" si="72"/>
        <v>-538</v>
      </c>
      <c r="I105" s="472">
        <f t="shared" si="73"/>
        <v>-35</v>
      </c>
      <c r="J105" s="472">
        <f t="shared" si="73"/>
        <v>-1645</v>
      </c>
      <c r="K105" s="472">
        <f t="shared" si="73"/>
        <v>-1432</v>
      </c>
      <c r="L105" s="472">
        <f t="shared" si="58"/>
        <v>-3650</v>
      </c>
      <c r="M105" s="457"/>
      <c r="N105" s="472">
        <f t="shared" si="74"/>
        <v>-1675</v>
      </c>
      <c r="O105" s="472">
        <f t="shared" si="75"/>
        <v>-1376</v>
      </c>
      <c r="P105" s="472">
        <f t="shared" si="75"/>
        <v>20</v>
      </c>
      <c r="Q105" s="472">
        <f t="shared" si="75"/>
        <v>-1507</v>
      </c>
      <c r="R105" s="472">
        <f t="shared" si="60"/>
        <v>-4538</v>
      </c>
      <c r="S105" s="457"/>
      <c r="T105" s="472">
        <f t="shared" si="76"/>
        <v>-1999</v>
      </c>
      <c r="U105" s="472">
        <f t="shared" si="77"/>
        <v>786</v>
      </c>
      <c r="V105" s="472">
        <f t="shared" si="77"/>
        <v>-1000</v>
      </c>
      <c r="W105" s="472">
        <f t="shared" si="77"/>
        <v>-1542</v>
      </c>
      <c r="X105" s="472">
        <f t="shared" si="62"/>
        <v>-3755</v>
      </c>
      <c r="Y105" s="457"/>
      <c r="Z105" s="472">
        <f t="shared" si="78"/>
        <v>546</v>
      </c>
      <c r="AA105" s="472">
        <f t="shared" si="79"/>
        <v>-1402</v>
      </c>
      <c r="AB105" s="472">
        <f t="shared" si="79"/>
        <v>-2746</v>
      </c>
      <c r="AC105" s="472">
        <f t="shared" si="79"/>
        <v>-586</v>
      </c>
      <c r="AD105" s="472">
        <f t="shared" si="64"/>
        <v>-4188</v>
      </c>
      <c r="AE105" s="457"/>
      <c r="AF105" s="472">
        <f t="shared" si="80"/>
        <v>-1715</v>
      </c>
      <c r="AG105" s="472">
        <f t="shared" si="81"/>
        <v>-2176</v>
      </c>
      <c r="AH105" s="472">
        <f t="shared" si="81"/>
        <v>-2267</v>
      </c>
      <c r="AI105" s="472">
        <f t="shared" si="81"/>
        <v>-1123</v>
      </c>
      <c r="AJ105" s="472">
        <f t="shared" si="66"/>
        <v>-7281</v>
      </c>
      <c r="AK105" s="457"/>
      <c r="AL105" s="472">
        <f t="shared" si="82"/>
        <v>-1106</v>
      </c>
      <c r="AM105" s="472">
        <f t="shared" si="83"/>
        <v>-1393</v>
      </c>
      <c r="AN105" s="472">
        <f t="shared" si="83"/>
        <v>-1400</v>
      </c>
      <c r="AO105" s="472">
        <f t="shared" si="83"/>
        <v>-3033</v>
      </c>
      <c r="AP105" s="472">
        <f t="shared" si="68"/>
        <v>-6932</v>
      </c>
      <c r="AQ105" s="457"/>
      <c r="AR105" s="472">
        <f t="shared" si="84"/>
        <v>-5000</v>
      </c>
      <c r="AS105" s="472">
        <f t="shared" si="85"/>
        <v>-2929</v>
      </c>
      <c r="AT105" s="472">
        <f t="shared" si="85"/>
        <v>-1210</v>
      </c>
      <c r="AU105" s="472">
        <f t="shared" si="85"/>
        <v>9139</v>
      </c>
      <c r="AV105" s="472"/>
    </row>
    <row r="106" spans="1:48" x14ac:dyDescent="0.25">
      <c r="A106" s="476" t="s">
        <v>493</v>
      </c>
      <c r="B106" s="472">
        <f t="shared" si="70"/>
        <v>9</v>
      </c>
      <c r="C106" s="472">
        <f t="shared" si="71"/>
        <v>4</v>
      </c>
      <c r="D106" s="472">
        <f t="shared" si="71"/>
        <v>27</v>
      </c>
      <c r="E106" s="472">
        <f t="shared" si="71"/>
        <v>-2</v>
      </c>
      <c r="F106" s="472">
        <f t="shared" si="56"/>
        <v>38</v>
      </c>
      <c r="G106" s="457"/>
      <c r="H106" s="472">
        <f t="shared" si="72"/>
        <v>10</v>
      </c>
      <c r="I106" s="472">
        <f t="shared" si="73"/>
        <v>-78</v>
      </c>
      <c r="J106" s="472">
        <f t="shared" si="73"/>
        <v>-49</v>
      </c>
      <c r="K106" s="472">
        <f t="shared" si="73"/>
        <v>-9</v>
      </c>
      <c r="L106" s="472">
        <f t="shared" si="58"/>
        <v>-126</v>
      </c>
      <c r="M106" s="457"/>
      <c r="N106" s="472">
        <f t="shared" si="74"/>
        <v>3</v>
      </c>
      <c r="O106" s="472">
        <f t="shared" si="75"/>
        <v>-13</v>
      </c>
      <c r="P106" s="472">
        <f t="shared" si="75"/>
        <v>-37</v>
      </c>
      <c r="Q106" s="472">
        <f t="shared" si="75"/>
        <v>3</v>
      </c>
      <c r="R106" s="472">
        <f t="shared" si="60"/>
        <v>-44</v>
      </c>
      <c r="S106" s="457"/>
      <c r="T106" s="472">
        <f t="shared" si="76"/>
        <v>-80</v>
      </c>
      <c r="U106" s="472">
        <f t="shared" si="77"/>
        <v>14</v>
      </c>
      <c r="V106" s="472">
        <f t="shared" si="77"/>
        <v>10</v>
      </c>
      <c r="W106" s="472">
        <f t="shared" si="77"/>
        <v>43</v>
      </c>
      <c r="X106" s="472">
        <f t="shared" si="62"/>
        <v>-13</v>
      </c>
      <c r="Y106" s="457"/>
      <c r="Z106" s="472">
        <f t="shared" si="78"/>
        <v>-12</v>
      </c>
      <c r="AA106" s="472">
        <f t="shared" si="79"/>
        <v>15</v>
      </c>
      <c r="AB106" s="472">
        <f t="shared" si="79"/>
        <v>-12</v>
      </c>
      <c r="AC106" s="472">
        <f t="shared" si="79"/>
        <v>-20</v>
      </c>
      <c r="AD106" s="472">
        <f t="shared" si="64"/>
        <v>-29</v>
      </c>
      <c r="AE106" s="457"/>
      <c r="AF106" s="472">
        <f t="shared" si="80"/>
        <v>-16</v>
      </c>
      <c r="AG106" s="472">
        <f t="shared" si="81"/>
        <v>9</v>
      </c>
      <c r="AH106" s="472">
        <f t="shared" si="81"/>
        <v>-72</v>
      </c>
      <c r="AI106" s="472">
        <f t="shared" si="81"/>
        <v>-115</v>
      </c>
      <c r="AJ106" s="472">
        <f t="shared" si="66"/>
        <v>-194</v>
      </c>
      <c r="AK106" s="457"/>
      <c r="AL106" s="472">
        <f t="shared" si="82"/>
        <v>-1</v>
      </c>
      <c r="AM106" s="472">
        <f t="shared" si="83"/>
        <v>-59</v>
      </c>
      <c r="AN106" s="472">
        <f t="shared" si="83"/>
        <v>-59</v>
      </c>
      <c r="AO106" s="472">
        <f t="shared" si="83"/>
        <v>9</v>
      </c>
      <c r="AP106" s="472">
        <f t="shared" si="68"/>
        <v>-110</v>
      </c>
      <c r="AQ106" s="457"/>
      <c r="AR106" s="472">
        <f t="shared" si="84"/>
        <v>-30</v>
      </c>
      <c r="AS106" s="472">
        <f t="shared" si="85"/>
        <v>13</v>
      </c>
      <c r="AT106" s="472">
        <f t="shared" si="85"/>
        <v>-22</v>
      </c>
      <c r="AU106" s="472">
        <f t="shared" si="85"/>
        <v>39</v>
      </c>
      <c r="AV106" s="472"/>
    </row>
    <row r="107" spans="1:48" x14ac:dyDescent="0.25">
      <c r="A107" s="496" t="s">
        <v>492</v>
      </c>
      <c r="B107" s="472">
        <f t="shared" si="70"/>
        <v>2336</v>
      </c>
      <c r="C107" s="472">
        <f t="shared" si="71"/>
        <v>748</v>
      </c>
      <c r="D107" s="472">
        <f t="shared" si="71"/>
        <v>-626</v>
      </c>
      <c r="E107" s="472">
        <f t="shared" si="71"/>
        <v>-1337</v>
      </c>
      <c r="F107" s="472">
        <f t="shared" si="56"/>
        <v>1121</v>
      </c>
      <c r="G107" s="457"/>
      <c r="H107" s="472">
        <f t="shared" si="72"/>
        <v>-393</v>
      </c>
      <c r="I107" s="472">
        <f t="shared" si="73"/>
        <v>767</v>
      </c>
      <c r="J107" s="472">
        <f t="shared" si="73"/>
        <v>-648</v>
      </c>
      <c r="K107" s="472">
        <f t="shared" si="73"/>
        <v>-156</v>
      </c>
      <c r="L107" s="472">
        <f t="shared" si="58"/>
        <v>-430</v>
      </c>
      <c r="M107" s="457"/>
      <c r="N107" s="472">
        <f t="shared" si="74"/>
        <v>-732</v>
      </c>
      <c r="O107" s="472">
        <f t="shared" si="75"/>
        <v>301</v>
      </c>
      <c r="P107" s="472">
        <f t="shared" si="75"/>
        <v>477</v>
      </c>
      <c r="Q107" s="472">
        <f t="shared" si="75"/>
        <v>356</v>
      </c>
      <c r="R107" s="472">
        <f t="shared" si="60"/>
        <v>402</v>
      </c>
      <c r="S107" s="457"/>
      <c r="T107" s="472">
        <f t="shared" si="76"/>
        <v>-1162</v>
      </c>
      <c r="U107" s="472">
        <f t="shared" si="77"/>
        <v>1661</v>
      </c>
      <c r="V107" s="472">
        <f t="shared" si="77"/>
        <v>528</v>
      </c>
      <c r="W107" s="472">
        <f t="shared" si="77"/>
        <v>47</v>
      </c>
      <c r="X107" s="472">
        <f t="shared" si="62"/>
        <v>1074</v>
      </c>
      <c r="Y107" s="457"/>
      <c r="Z107" s="472">
        <f t="shared" si="78"/>
        <v>1985</v>
      </c>
      <c r="AA107" s="472">
        <f t="shared" si="79"/>
        <v>-509</v>
      </c>
      <c r="AB107" s="472">
        <f t="shared" si="79"/>
        <v>-1393</v>
      </c>
      <c r="AC107" s="472">
        <f t="shared" si="79"/>
        <v>-186</v>
      </c>
      <c r="AD107" s="472">
        <f t="shared" si="64"/>
        <v>-103</v>
      </c>
      <c r="AE107" s="457"/>
      <c r="AF107" s="472">
        <f t="shared" si="80"/>
        <v>-2731</v>
      </c>
      <c r="AG107" s="472">
        <f t="shared" si="81"/>
        <v>-509</v>
      </c>
      <c r="AH107" s="472">
        <f t="shared" si="81"/>
        <v>332</v>
      </c>
      <c r="AI107" s="472">
        <f t="shared" si="81"/>
        <v>658</v>
      </c>
      <c r="AJ107" s="472">
        <f t="shared" si="66"/>
        <v>-2250</v>
      </c>
      <c r="AK107" s="457"/>
      <c r="AL107" s="472">
        <f t="shared" si="82"/>
        <v>-217</v>
      </c>
      <c r="AM107" s="472">
        <f t="shared" si="83"/>
        <v>598</v>
      </c>
      <c r="AN107" s="472">
        <f t="shared" si="83"/>
        <v>-834</v>
      </c>
      <c r="AO107" s="472">
        <f t="shared" si="83"/>
        <v>425</v>
      </c>
      <c r="AP107" s="472">
        <f t="shared" si="68"/>
        <v>-28</v>
      </c>
      <c r="AQ107" s="457"/>
      <c r="AR107" s="472">
        <f t="shared" si="84"/>
        <v>-2020</v>
      </c>
      <c r="AS107" s="472">
        <f t="shared" si="85"/>
        <v>-617</v>
      </c>
      <c r="AT107" s="472">
        <f t="shared" si="85"/>
        <v>1297</v>
      </c>
      <c r="AU107" s="472">
        <f t="shared" si="85"/>
        <v>1340</v>
      </c>
      <c r="AV107" s="472"/>
    </row>
    <row r="108" spans="1:48" x14ac:dyDescent="0.25">
      <c r="A108" s="476" t="s">
        <v>491</v>
      </c>
      <c r="B108" s="472">
        <f t="shared" si="70"/>
        <v>7199</v>
      </c>
      <c r="C108" s="472">
        <f t="shared" ref="C108:F109" si="86">C94</f>
        <v>7199</v>
      </c>
      <c r="D108" s="472">
        <f t="shared" si="86"/>
        <v>7199</v>
      </c>
      <c r="E108" s="472">
        <f t="shared" si="86"/>
        <v>7199</v>
      </c>
      <c r="F108" s="472">
        <f t="shared" si="86"/>
        <v>0</v>
      </c>
      <c r="G108" s="457"/>
      <c r="H108" s="472">
        <f t="shared" si="72"/>
        <v>8320</v>
      </c>
      <c r="I108" s="472">
        <f t="shared" ref="I108:L109" si="87">I94</f>
        <v>8320</v>
      </c>
      <c r="J108" s="472">
        <f t="shared" si="87"/>
        <v>8320</v>
      </c>
      <c r="K108" s="472">
        <f t="shared" si="87"/>
        <v>8320</v>
      </c>
      <c r="L108" s="472">
        <f t="shared" si="87"/>
        <v>0</v>
      </c>
      <c r="M108" s="457"/>
      <c r="N108" s="472">
        <f t="shared" si="74"/>
        <v>7890</v>
      </c>
      <c r="O108" s="472">
        <f t="shared" ref="O108:R109" si="88">O94</f>
        <v>7890</v>
      </c>
      <c r="P108" s="472">
        <f t="shared" si="88"/>
        <v>7890</v>
      </c>
      <c r="Q108" s="472">
        <f t="shared" si="88"/>
        <v>7890</v>
      </c>
      <c r="R108" s="472">
        <f t="shared" si="88"/>
        <v>0</v>
      </c>
      <c r="S108" s="457"/>
      <c r="T108" s="472">
        <f t="shared" si="76"/>
        <v>8292</v>
      </c>
      <c r="U108" s="472">
        <f t="shared" ref="U108:X109" si="89">U94</f>
        <v>8292</v>
      </c>
      <c r="V108" s="472">
        <f t="shared" si="89"/>
        <v>8292</v>
      </c>
      <c r="W108" s="472">
        <f t="shared" si="89"/>
        <v>8292</v>
      </c>
      <c r="X108" s="472">
        <f t="shared" si="89"/>
        <v>0</v>
      </c>
      <c r="Y108" s="457"/>
      <c r="Z108" s="472">
        <f t="shared" si="78"/>
        <v>9366</v>
      </c>
      <c r="AA108" s="472">
        <f t="shared" ref="AA108:AD109" si="90">AA94</f>
        <v>9366</v>
      </c>
      <c r="AB108" s="472">
        <f t="shared" si="90"/>
        <v>9366</v>
      </c>
      <c r="AC108" s="472">
        <f t="shared" si="90"/>
        <v>9366</v>
      </c>
      <c r="AD108" s="472">
        <f t="shared" si="90"/>
        <v>0</v>
      </c>
      <c r="AE108" s="457"/>
      <c r="AF108" s="472">
        <f t="shared" si="80"/>
        <v>9263</v>
      </c>
      <c r="AG108" s="472">
        <f t="shared" ref="AG108:AJ109" si="91">AG94</f>
        <v>9263</v>
      </c>
      <c r="AH108" s="472">
        <f t="shared" si="91"/>
        <v>9263</v>
      </c>
      <c r="AI108" s="472">
        <f t="shared" si="91"/>
        <v>9263</v>
      </c>
      <c r="AJ108" s="472">
        <f t="shared" si="91"/>
        <v>0</v>
      </c>
      <c r="AK108" s="457"/>
      <c r="AL108" s="472">
        <f t="shared" si="82"/>
        <v>7013</v>
      </c>
      <c r="AM108" s="472">
        <f t="shared" ref="AM108:AP109" si="92">AM94</f>
        <v>7013</v>
      </c>
      <c r="AN108" s="472">
        <f t="shared" si="92"/>
        <v>7013</v>
      </c>
      <c r="AO108" s="472">
        <f t="shared" si="92"/>
        <v>7013</v>
      </c>
      <c r="AP108" s="472">
        <f t="shared" si="92"/>
        <v>0</v>
      </c>
      <c r="AQ108" s="457"/>
      <c r="AR108" s="472">
        <f t="shared" si="84"/>
        <v>6985</v>
      </c>
      <c r="AS108" s="472">
        <f t="shared" ref="AS108:AU109" si="93">AS94</f>
        <v>6985</v>
      </c>
      <c r="AT108" s="472">
        <f t="shared" si="93"/>
        <v>6985</v>
      </c>
      <c r="AU108" s="472">
        <f t="shared" si="93"/>
        <v>0</v>
      </c>
      <c r="AV108" s="472"/>
    </row>
    <row r="109" spans="1:48" x14ac:dyDescent="0.25">
      <c r="A109" s="476" t="s">
        <v>490</v>
      </c>
      <c r="B109" s="472">
        <f t="shared" si="70"/>
        <v>9535</v>
      </c>
      <c r="C109" s="472">
        <f t="shared" si="86"/>
        <v>10283</v>
      </c>
      <c r="D109" s="472">
        <f t="shared" si="86"/>
        <v>9657</v>
      </c>
      <c r="E109" s="472">
        <f t="shared" si="86"/>
        <v>8320</v>
      </c>
      <c r="F109" s="472">
        <f t="shared" si="86"/>
        <v>0</v>
      </c>
      <c r="G109" s="457"/>
      <c r="H109" s="472">
        <f t="shared" si="72"/>
        <v>7927</v>
      </c>
      <c r="I109" s="472">
        <f t="shared" si="87"/>
        <v>8694</v>
      </c>
      <c r="J109" s="472">
        <f t="shared" si="87"/>
        <v>8046</v>
      </c>
      <c r="K109" s="472">
        <f t="shared" si="87"/>
        <v>7890</v>
      </c>
      <c r="L109" s="472">
        <f t="shared" si="87"/>
        <v>0</v>
      </c>
      <c r="M109" s="457"/>
      <c r="N109" s="472">
        <f t="shared" si="74"/>
        <v>7158</v>
      </c>
      <c r="O109" s="472">
        <f t="shared" si="88"/>
        <v>7459</v>
      </c>
      <c r="P109" s="472">
        <f t="shared" si="88"/>
        <v>7936</v>
      </c>
      <c r="Q109" s="472">
        <f t="shared" si="88"/>
        <v>8292</v>
      </c>
      <c r="R109" s="472">
        <f t="shared" si="88"/>
        <v>0</v>
      </c>
      <c r="S109" s="457"/>
      <c r="T109" s="472">
        <f t="shared" si="76"/>
        <v>7130</v>
      </c>
      <c r="U109" s="472">
        <f t="shared" si="89"/>
        <v>8791</v>
      </c>
      <c r="V109" s="472">
        <f t="shared" si="89"/>
        <v>9319</v>
      </c>
      <c r="W109" s="472">
        <f t="shared" si="89"/>
        <v>9366</v>
      </c>
      <c r="X109" s="472">
        <f t="shared" si="89"/>
        <v>0</v>
      </c>
      <c r="Y109" s="457"/>
      <c r="Z109" s="472">
        <f t="shared" si="78"/>
        <v>11351</v>
      </c>
      <c r="AA109" s="472">
        <f t="shared" si="90"/>
        <v>10842</v>
      </c>
      <c r="AB109" s="472">
        <f t="shared" si="90"/>
        <v>9449</v>
      </c>
      <c r="AC109" s="472">
        <f t="shared" si="90"/>
        <v>9263</v>
      </c>
      <c r="AD109" s="472">
        <f t="shared" si="90"/>
        <v>0</v>
      </c>
      <c r="AE109" s="457"/>
      <c r="AF109" s="472">
        <f t="shared" si="80"/>
        <v>6532</v>
      </c>
      <c r="AG109" s="472">
        <f t="shared" si="91"/>
        <v>6023</v>
      </c>
      <c r="AH109" s="472">
        <f t="shared" si="91"/>
        <v>6355</v>
      </c>
      <c r="AI109" s="472">
        <f t="shared" si="91"/>
        <v>7013</v>
      </c>
      <c r="AJ109" s="472">
        <f t="shared" si="91"/>
        <v>0</v>
      </c>
      <c r="AK109" s="457"/>
      <c r="AL109" s="472">
        <f t="shared" si="82"/>
        <v>6796</v>
      </c>
      <c r="AM109" s="472">
        <f t="shared" si="92"/>
        <v>7394</v>
      </c>
      <c r="AN109" s="472">
        <f t="shared" si="92"/>
        <v>6560</v>
      </c>
      <c r="AO109" s="472">
        <f t="shared" si="92"/>
        <v>6985</v>
      </c>
      <c r="AP109" s="472">
        <f t="shared" si="92"/>
        <v>0</v>
      </c>
      <c r="AQ109" s="457"/>
      <c r="AR109" s="472">
        <f t="shared" si="84"/>
        <v>4965</v>
      </c>
      <c r="AS109" s="472">
        <f t="shared" si="93"/>
        <v>4348</v>
      </c>
      <c r="AT109" s="472">
        <f t="shared" si="93"/>
        <v>5645</v>
      </c>
      <c r="AU109" s="472">
        <f t="shared" si="93"/>
        <v>0</v>
      </c>
      <c r="AV109" s="472"/>
    </row>
    <row r="110" spans="1:48" x14ac:dyDescent="0.25">
      <c r="A110" s="476"/>
      <c r="B110" s="457"/>
      <c r="C110" s="457"/>
      <c r="D110" s="457"/>
      <c r="E110" s="457"/>
      <c r="F110" s="457"/>
      <c r="G110" s="457"/>
      <c r="H110" s="457"/>
      <c r="I110" s="457"/>
      <c r="J110" s="457"/>
      <c r="K110" s="457"/>
      <c r="L110" s="457"/>
      <c r="M110" s="457"/>
      <c r="N110" s="457"/>
      <c r="O110" s="457"/>
      <c r="P110" s="457"/>
      <c r="Q110" s="457"/>
      <c r="R110" s="457"/>
      <c r="S110" s="457"/>
      <c r="T110" s="457"/>
      <c r="U110" s="457"/>
      <c r="V110" s="457"/>
      <c r="W110" s="457"/>
      <c r="X110" s="457"/>
      <c r="Y110" s="457"/>
      <c r="Z110" s="457"/>
      <c r="AA110" s="457"/>
      <c r="AB110" s="457"/>
      <c r="AC110" s="457"/>
      <c r="AD110" s="457"/>
      <c r="AE110" s="457"/>
      <c r="AF110" s="457"/>
      <c r="AG110" s="457"/>
      <c r="AH110" s="457"/>
      <c r="AI110" s="457"/>
      <c r="AJ110" s="457"/>
      <c r="AK110" s="457"/>
      <c r="AL110" s="457"/>
      <c r="AM110" s="457"/>
      <c r="AN110" s="457"/>
      <c r="AO110" s="457"/>
      <c r="AP110" s="457"/>
      <c r="AQ110" s="457"/>
      <c r="AR110" s="457"/>
      <c r="AS110" s="457"/>
      <c r="AT110" s="457"/>
    </row>
    <row r="111" spans="1:48" x14ac:dyDescent="0.25">
      <c r="A111" s="476"/>
      <c r="B111" s="457"/>
      <c r="C111" s="457"/>
      <c r="D111" s="457"/>
      <c r="E111" s="457"/>
      <c r="F111" s="457"/>
      <c r="G111" s="457"/>
      <c r="H111" s="457"/>
      <c r="I111" s="457"/>
      <c r="J111" s="457"/>
      <c r="K111" s="457"/>
      <c r="L111" s="457"/>
      <c r="M111" s="457"/>
      <c r="N111" s="457"/>
      <c r="O111" s="457"/>
      <c r="P111" s="457"/>
      <c r="Q111" s="457"/>
      <c r="R111" s="457"/>
      <c r="S111" s="457"/>
      <c r="T111" s="457"/>
      <c r="U111" s="457"/>
      <c r="V111" s="457"/>
      <c r="W111" s="457"/>
      <c r="X111" s="457"/>
      <c r="Y111" s="457"/>
      <c r="Z111" s="457"/>
      <c r="AA111" s="457"/>
      <c r="AB111" s="457"/>
      <c r="AC111" s="457"/>
      <c r="AD111" s="457"/>
      <c r="AE111" s="457"/>
      <c r="AF111" s="457"/>
      <c r="AG111" s="457"/>
      <c r="AH111" s="457"/>
      <c r="AI111" s="457"/>
      <c r="AJ111" s="457"/>
      <c r="AK111" s="457"/>
      <c r="AL111" s="457"/>
      <c r="AM111" s="457"/>
      <c r="AN111" s="457"/>
      <c r="AO111" s="457"/>
      <c r="AP111" s="457"/>
      <c r="AQ111" s="457"/>
      <c r="AR111" s="457"/>
      <c r="AS111" s="457"/>
      <c r="AT111" s="457"/>
    </row>
    <row r="112" spans="1:48" x14ac:dyDescent="0.25">
      <c r="A112" s="476"/>
      <c r="B112" s="457"/>
      <c r="C112" s="457"/>
      <c r="D112" s="457"/>
      <c r="E112" s="457"/>
      <c r="F112" s="457"/>
      <c r="G112" s="457"/>
      <c r="H112" s="457"/>
      <c r="I112" s="457"/>
      <c r="J112" s="457"/>
      <c r="K112" s="457"/>
      <c r="L112" s="457"/>
      <c r="M112" s="457"/>
      <c r="N112" s="457"/>
      <c r="O112" s="457"/>
      <c r="P112" s="457"/>
      <c r="Q112" s="457"/>
      <c r="R112" s="457"/>
      <c r="S112" s="457"/>
      <c r="T112" s="457"/>
      <c r="U112" s="457"/>
      <c r="V112" s="457"/>
      <c r="W112" s="457"/>
      <c r="X112" s="457"/>
      <c r="Y112" s="457"/>
      <c r="Z112" s="457"/>
      <c r="AA112" s="457"/>
      <c r="AB112" s="457"/>
      <c r="AC112" s="457"/>
      <c r="AD112" s="457"/>
      <c r="AE112" s="457"/>
      <c r="AF112" s="457"/>
      <c r="AG112" s="457"/>
      <c r="AH112" s="457"/>
      <c r="AI112" s="457"/>
      <c r="AJ112" s="457"/>
      <c r="AK112" s="457"/>
      <c r="AL112" s="457"/>
      <c r="AM112" s="457"/>
      <c r="AN112" s="457"/>
      <c r="AO112" s="457"/>
      <c r="AP112" s="457"/>
      <c r="AQ112" s="457"/>
      <c r="AR112" s="457"/>
      <c r="AS112" s="457"/>
      <c r="AT112" s="457"/>
    </row>
    <row r="113" spans="1:46" x14ac:dyDescent="0.25">
      <c r="A113" s="476"/>
      <c r="B113" s="457"/>
      <c r="C113" s="457"/>
      <c r="D113" s="457"/>
      <c r="E113" s="457"/>
      <c r="F113" s="457"/>
      <c r="G113" s="457"/>
      <c r="H113" s="457"/>
      <c r="I113" s="457"/>
      <c r="J113" s="457"/>
      <c r="K113" s="457"/>
      <c r="L113" s="457"/>
      <c r="M113" s="457"/>
      <c r="N113" s="457"/>
      <c r="O113" s="457"/>
      <c r="P113" s="457"/>
      <c r="Q113" s="457"/>
      <c r="R113" s="457"/>
      <c r="S113" s="457"/>
      <c r="T113" s="457"/>
      <c r="U113" s="457"/>
      <c r="V113" s="457"/>
      <c r="W113" s="457"/>
      <c r="X113" s="457"/>
      <c r="Y113" s="457"/>
      <c r="Z113" s="457"/>
      <c r="AA113" s="457"/>
      <c r="AB113" s="457"/>
      <c r="AC113" s="457"/>
      <c r="AD113" s="457"/>
      <c r="AE113" s="457"/>
      <c r="AF113" s="457"/>
      <c r="AG113" s="457"/>
      <c r="AH113" s="457"/>
      <c r="AI113" s="457"/>
      <c r="AJ113" s="457"/>
      <c r="AK113" s="457"/>
      <c r="AL113" s="457"/>
      <c r="AM113" s="457"/>
      <c r="AN113" s="457"/>
      <c r="AO113" s="457"/>
      <c r="AP113" s="457"/>
      <c r="AQ113" s="457"/>
      <c r="AR113" s="457"/>
      <c r="AS113" s="457"/>
      <c r="AT113" s="457"/>
    </row>
    <row r="114" spans="1:46" x14ac:dyDescent="0.25">
      <c r="A114" s="476"/>
      <c r="B114" s="457"/>
      <c r="C114" s="457"/>
      <c r="D114" s="457"/>
      <c r="E114" s="457"/>
      <c r="F114" s="457"/>
      <c r="G114" s="457"/>
      <c r="H114" s="457"/>
      <c r="I114" s="457"/>
      <c r="J114" s="457"/>
      <c r="K114" s="457"/>
      <c r="L114" s="457"/>
      <c r="M114" s="457"/>
      <c r="N114" s="457"/>
      <c r="O114" s="457"/>
      <c r="P114" s="457"/>
      <c r="Q114" s="457"/>
      <c r="R114" s="457"/>
      <c r="S114" s="457"/>
      <c r="T114" s="457"/>
      <c r="U114" s="457"/>
      <c r="V114" s="457"/>
      <c r="W114" s="457"/>
      <c r="X114" s="457"/>
      <c r="Y114" s="457"/>
      <c r="Z114" s="457"/>
      <c r="AA114" s="457"/>
      <c r="AB114" s="457"/>
      <c r="AC114" s="457"/>
      <c r="AD114" s="457"/>
      <c r="AE114" s="457"/>
      <c r="AF114" s="457"/>
      <c r="AG114" s="457"/>
      <c r="AH114" s="457"/>
      <c r="AI114" s="457"/>
      <c r="AJ114" s="457"/>
      <c r="AK114" s="457"/>
      <c r="AL114" s="457"/>
      <c r="AM114" s="457"/>
      <c r="AN114" s="457"/>
      <c r="AO114" s="457"/>
      <c r="AP114" s="457"/>
      <c r="AQ114" s="457"/>
      <c r="AR114" s="457"/>
      <c r="AS114" s="457"/>
      <c r="AT114" s="457"/>
    </row>
    <row r="115" spans="1:46" x14ac:dyDescent="0.25">
      <c r="A115" s="476"/>
      <c r="B115" s="457"/>
      <c r="C115" s="457"/>
      <c r="D115" s="457"/>
      <c r="E115" s="457"/>
      <c r="F115" s="457"/>
      <c r="G115" s="457"/>
      <c r="H115" s="457"/>
      <c r="I115" s="457"/>
      <c r="J115" s="457"/>
      <c r="K115" s="457"/>
      <c r="L115" s="457"/>
      <c r="M115" s="457"/>
      <c r="N115" s="457"/>
      <c r="O115" s="457"/>
      <c r="P115" s="457"/>
      <c r="Q115" s="457"/>
      <c r="R115" s="457"/>
      <c r="S115" s="457"/>
      <c r="T115" s="457"/>
      <c r="U115" s="457"/>
      <c r="V115" s="457"/>
      <c r="W115" s="457"/>
      <c r="X115" s="457"/>
      <c r="Y115" s="457"/>
      <c r="Z115" s="457"/>
      <c r="AA115" s="457"/>
      <c r="AB115" s="457"/>
      <c r="AC115" s="457"/>
      <c r="AD115" s="457"/>
      <c r="AE115" s="457"/>
      <c r="AF115" s="457"/>
      <c r="AG115" s="457"/>
      <c r="AH115" s="457"/>
      <c r="AI115" s="457"/>
      <c r="AJ115" s="457"/>
      <c r="AK115" s="457"/>
      <c r="AL115" s="457"/>
      <c r="AM115" s="457"/>
      <c r="AN115" s="457"/>
      <c r="AO115" s="457"/>
      <c r="AP115" s="457"/>
      <c r="AQ115" s="457"/>
      <c r="AR115" s="457"/>
      <c r="AS115" s="457"/>
      <c r="AT115" s="457"/>
    </row>
    <row r="116" spans="1:46" x14ac:dyDescent="0.25">
      <c r="A116" s="476"/>
      <c r="B116" s="457"/>
      <c r="C116" s="457"/>
      <c r="D116" s="457"/>
      <c r="E116" s="457"/>
      <c r="F116" s="457"/>
      <c r="G116" s="457"/>
      <c r="H116" s="457"/>
      <c r="I116" s="457"/>
      <c r="J116" s="457"/>
      <c r="K116" s="457"/>
      <c r="L116" s="457"/>
      <c r="M116" s="457"/>
      <c r="N116" s="457"/>
      <c r="O116" s="457"/>
      <c r="P116" s="457"/>
      <c r="Q116" s="457"/>
      <c r="R116" s="457"/>
      <c r="S116" s="457"/>
      <c r="T116" s="457"/>
      <c r="U116" s="457"/>
      <c r="V116" s="457"/>
      <c r="W116" s="457"/>
      <c r="X116" s="457"/>
      <c r="Y116" s="457"/>
      <c r="Z116" s="457"/>
      <c r="AA116" s="457"/>
      <c r="AB116" s="457"/>
      <c r="AC116" s="457"/>
      <c r="AD116" s="457"/>
      <c r="AE116" s="457"/>
      <c r="AF116" s="457"/>
      <c r="AG116" s="457"/>
      <c r="AH116" s="457"/>
      <c r="AI116" s="457"/>
      <c r="AJ116" s="457"/>
      <c r="AK116" s="457"/>
      <c r="AL116" s="457"/>
      <c r="AM116" s="457"/>
      <c r="AN116" s="457"/>
      <c r="AO116" s="457"/>
      <c r="AP116" s="457"/>
      <c r="AQ116" s="457"/>
      <c r="AR116" s="457"/>
      <c r="AS116" s="457"/>
      <c r="AT116" s="457"/>
    </row>
    <row r="117" spans="1:46" x14ac:dyDescent="0.25">
      <c r="A117" s="476"/>
      <c r="B117" s="457"/>
      <c r="C117" s="457"/>
      <c r="D117" s="457"/>
      <c r="E117" s="457"/>
      <c r="F117" s="457"/>
      <c r="G117" s="457"/>
      <c r="H117" s="457"/>
      <c r="I117" s="457"/>
      <c r="J117" s="457"/>
      <c r="K117" s="457"/>
      <c r="L117" s="457"/>
      <c r="M117" s="457"/>
      <c r="N117" s="457"/>
      <c r="O117" s="457"/>
      <c r="P117" s="457"/>
      <c r="Q117" s="457"/>
      <c r="R117" s="457"/>
      <c r="S117" s="457"/>
      <c r="T117" s="457"/>
      <c r="U117" s="457"/>
      <c r="V117" s="457"/>
      <c r="W117" s="457"/>
      <c r="X117" s="457"/>
      <c r="Y117" s="457"/>
      <c r="Z117" s="457"/>
      <c r="AA117" s="457"/>
      <c r="AB117" s="457"/>
      <c r="AC117" s="457"/>
      <c r="AD117" s="457"/>
      <c r="AE117" s="457"/>
      <c r="AF117" s="457"/>
      <c r="AG117" s="457"/>
      <c r="AH117" s="457"/>
      <c r="AI117" s="457"/>
      <c r="AJ117" s="457"/>
      <c r="AK117" s="457"/>
      <c r="AL117" s="457"/>
      <c r="AM117" s="457"/>
      <c r="AN117" s="457"/>
      <c r="AO117" s="457"/>
      <c r="AP117" s="457"/>
      <c r="AQ117" s="457"/>
      <c r="AR117" s="457"/>
      <c r="AS117" s="457"/>
      <c r="AT117" s="457"/>
    </row>
    <row r="118" spans="1:46" x14ac:dyDescent="0.25">
      <c r="A118" s="476"/>
      <c r="B118" s="457"/>
      <c r="C118" s="457"/>
      <c r="D118" s="457"/>
      <c r="E118" s="457"/>
      <c r="F118" s="457"/>
      <c r="G118" s="457"/>
      <c r="H118" s="457"/>
      <c r="I118" s="457"/>
      <c r="J118" s="457"/>
      <c r="K118" s="457"/>
      <c r="L118" s="457"/>
      <c r="M118" s="457"/>
      <c r="N118" s="457"/>
      <c r="O118" s="457"/>
      <c r="P118" s="457"/>
      <c r="Q118" s="457"/>
      <c r="R118" s="457"/>
      <c r="S118" s="457"/>
      <c r="T118" s="457"/>
      <c r="U118" s="457"/>
      <c r="V118" s="457"/>
      <c r="W118" s="457"/>
      <c r="X118" s="457"/>
      <c r="Y118" s="457"/>
      <c r="Z118" s="457"/>
      <c r="AA118" s="457"/>
      <c r="AB118" s="457"/>
      <c r="AC118" s="457"/>
      <c r="AD118" s="457"/>
      <c r="AE118" s="457"/>
      <c r="AF118" s="457"/>
      <c r="AG118" s="457"/>
      <c r="AH118" s="457"/>
      <c r="AI118" s="457"/>
      <c r="AJ118" s="457"/>
      <c r="AK118" s="457"/>
      <c r="AL118" s="457"/>
      <c r="AM118" s="457"/>
      <c r="AN118" s="457"/>
      <c r="AO118" s="457"/>
      <c r="AP118" s="457"/>
      <c r="AQ118" s="457"/>
      <c r="AR118" s="457"/>
      <c r="AS118" s="457"/>
      <c r="AT118" s="457"/>
    </row>
    <row r="119" spans="1:46" x14ac:dyDescent="0.25">
      <c r="A119" s="476"/>
      <c r="B119" s="457"/>
      <c r="C119" s="457"/>
      <c r="D119" s="457"/>
      <c r="E119" s="457"/>
      <c r="F119" s="457"/>
      <c r="G119" s="457"/>
      <c r="H119" s="457"/>
      <c r="I119" s="457"/>
      <c r="J119" s="457"/>
      <c r="K119" s="457"/>
      <c r="L119" s="457"/>
      <c r="M119" s="457"/>
      <c r="N119" s="457"/>
      <c r="O119" s="457"/>
      <c r="P119" s="457"/>
      <c r="Q119" s="457"/>
      <c r="R119" s="457"/>
      <c r="S119" s="457"/>
      <c r="T119" s="457"/>
      <c r="U119" s="457"/>
      <c r="V119" s="457"/>
      <c r="W119" s="457"/>
      <c r="X119" s="457"/>
      <c r="Y119" s="457"/>
      <c r="Z119" s="457"/>
      <c r="AA119" s="457"/>
      <c r="AB119" s="457"/>
      <c r="AC119" s="457"/>
      <c r="AD119" s="457"/>
      <c r="AE119" s="457"/>
      <c r="AF119" s="457"/>
      <c r="AG119" s="457"/>
      <c r="AH119" s="457"/>
      <c r="AI119" s="457"/>
      <c r="AJ119" s="457"/>
      <c r="AK119" s="457"/>
      <c r="AL119" s="457"/>
      <c r="AM119" s="457"/>
      <c r="AN119" s="457"/>
      <c r="AO119" s="457"/>
      <c r="AP119" s="457"/>
      <c r="AQ119" s="457"/>
      <c r="AR119" s="457"/>
      <c r="AS119" s="457"/>
      <c r="AT119" s="457"/>
    </row>
    <row r="120" spans="1:46" x14ac:dyDescent="0.25">
      <c r="A120" s="476"/>
      <c r="B120" s="457"/>
      <c r="C120" s="457"/>
      <c r="D120" s="457"/>
      <c r="E120" s="457"/>
      <c r="F120" s="457"/>
      <c r="G120" s="457"/>
      <c r="H120" s="457"/>
      <c r="I120" s="457"/>
      <c r="J120" s="457"/>
      <c r="K120" s="457"/>
      <c r="L120" s="457"/>
      <c r="M120" s="457"/>
      <c r="N120" s="457"/>
      <c r="O120" s="457"/>
      <c r="P120" s="457"/>
      <c r="Q120" s="457"/>
      <c r="R120" s="457"/>
      <c r="S120" s="457"/>
      <c r="T120" s="457"/>
      <c r="U120" s="457"/>
      <c r="V120" s="457"/>
      <c r="W120" s="457"/>
      <c r="X120" s="457"/>
      <c r="Y120" s="457"/>
      <c r="Z120" s="457"/>
      <c r="AA120" s="457"/>
      <c r="AB120" s="457"/>
      <c r="AC120" s="457"/>
      <c r="AD120" s="457"/>
      <c r="AE120" s="457"/>
      <c r="AF120" s="457"/>
      <c r="AG120" s="457"/>
      <c r="AH120" s="457"/>
      <c r="AI120" s="457"/>
      <c r="AJ120" s="457"/>
      <c r="AK120" s="457"/>
      <c r="AL120" s="457"/>
      <c r="AM120" s="457"/>
      <c r="AN120" s="457"/>
      <c r="AO120" s="457"/>
      <c r="AP120" s="457"/>
      <c r="AQ120" s="457"/>
      <c r="AR120" s="457"/>
      <c r="AS120" s="457"/>
      <c r="AT120" s="457"/>
    </row>
    <row r="121" spans="1:46" x14ac:dyDescent="0.25">
      <c r="A121" s="476"/>
      <c r="B121" s="457"/>
      <c r="C121" s="457"/>
      <c r="D121" s="457"/>
      <c r="E121" s="457"/>
      <c r="F121" s="457"/>
      <c r="G121" s="457"/>
      <c r="H121" s="457"/>
      <c r="I121" s="457"/>
      <c r="J121" s="457"/>
      <c r="K121" s="457"/>
      <c r="L121" s="457"/>
      <c r="M121" s="457"/>
      <c r="N121" s="457"/>
      <c r="O121" s="457"/>
      <c r="P121" s="457"/>
      <c r="Q121" s="457"/>
      <c r="R121" s="457"/>
      <c r="S121" s="457"/>
      <c r="T121" s="457"/>
      <c r="U121" s="457"/>
      <c r="V121" s="457"/>
      <c r="W121" s="457"/>
      <c r="X121" s="457"/>
      <c r="Y121" s="457"/>
      <c r="Z121" s="457"/>
      <c r="AA121" s="457"/>
      <c r="AB121" s="457"/>
      <c r="AC121" s="457"/>
      <c r="AD121" s="457"/>
      <c r="AE121" s="457"/>
      <c r="AF121" s="457"/>
      <c r="AG121" s="457"/>
      <c r="AH121" s="457"/>
      <c r="AI121" s="457"/>
      <c r="AJ121" s="457"/>
      <c r="AK121" s="457"/>
      <c r="AL121" s="457"/>
      <c r="AM121" s="457"/>
      <c r="AN121" s="457"/>
      <c r="AO121" s="457"/>
      <c r="AP121" s="457"/>
      <c r="AQ121" s="457"/>
      <c r="AR121" s="457"/>
      <c r="AS121" s="457"/>
      <c r="AT121" s="457"/>
    </row>
    <row r="122" spans="1:46" x14ac:dyDescent="0.25">
      <c r="A122" s="476"/>
      <c r="B122" s="457"/>
      <c r="C122" s="457"/>
      <c r="D122" s="457"/>
      <c r="E122" s="457"/>
      <c r="F122" s="457"/>
      <c r="G122" s="457"/>
      <c r="H122" s="457"/>
      <c r="I122" s="457"/>
      <c r="J122" s="457"/>
      <c r="K122" s="457"/>
      <c r="L122" s="457"/>
      <c r="M122" s="457"/>
      <c r="N122" s="457"/>
      <c r="O122" s="457"/>
      <c r="P122" s="457"/>
      <c r="Q122" s="457"/>
      <c r="R122" s="457"/>
      <c r="S122" s="457"/>
      <c r="T122" s="457"/>
      <c r="U122" s="457"/>
      <c r="V122" s="457"/>
      <c r="W122" s="457"/>
      <c r="X122" s="457"/>
      <c r="Y122" s="457"/>
      <c r="Z122" s="457"/>
      <c r="AA122" s="457"/>
      <c r="AB122" s="457"/>
      <c r="AC122" s="457"/>
      <c r="AD122" s="457"/>
      <c r="AE122" s="457"/>
      <c r="AF122" s="457"/>
      <c r="AG122" s="457"/>
      <c r="AH122" s="457"/>
      <c r="AI122" s="457"/>
      <c r="AJ122" s="457"/>
      <c r="AK122" s="457"/>
      <c r="AL122" s="457"/>
      <c r="AM122" s="457"/>
      <c r="AN122" s="457"/>
      <c r="AO122" s="457"/>
      <c r="AP122" s="457"/>
      <c r="AQ122" s="457"/>
      <c r="AR122" s="457"/>
      <c r="AS122" s="457"/>
      <c r="AT122" s="457"/>
    </row>
    <row r="123" spans="1:46" x14ac:dyDescent="0.25">
      <c r="A123" s="476"/>
      <c r="B123" s="457"/>
      <c r="C123" s="457"/>
      <c r="D123" s="457"/>
      <c r="E123" s="457"/>
      <c r="F123" s="457"/>
      <c r="G123" s="457"/>
      <c r="H123" s="457"/>
      <c r="I123" s="457"/>
      <c r="J123" s="457"/>
      <c r="K123" s="457"/>
      <c r="L123" s="457"/>
      <c r="M123" s="457"/>
      <c r="N123" s="457"/>
      <c r="O123" s="457"/>
      <c r="P123" s="457"/>
      <c r="Q123" s="457"/>
      <c r="R123" s="457"/>
      <c r="S123" s="457"/>
      <c r="T123" s="457"/>
      <c r="U123" s="457"/>
      <c r="V123" s="457"/>
      <c r="W123" s="457"/>
      <c r="X123" s="457"/>
      <c r="Y123" s="457"/>
      <c r="Z123" s="457"/>
      <c r="AA123" s="457"/>
      <c r="AB123" s="457"/>
      <c r="AC123" s="457"/>
      <c r="AD123" s="457"/>
      <c r="AE123" s="457"/>
      <c r="AF123" s="457"/>
      <c r="AG123" s="457"/>
      <c r="AH123" s="457"/>
      <c r="AI123" s="457"/>
      <c r="AJ123" s="457"/>
      <c r="AK123" s="457"/>
      <c r="AL123" s="457"/>
      <c r="AM123" s="457"/>
      <c r="AN123" s="457"/>
      <c r="AO123" s="457"/>
      <c r="AP123" s="457"/>
      <c r="AQ123" s="457"/>
      <c r="AR123" s="457"/>
      <c r="AS123" s="457"/>
      <c r="AT123" s="457"/>
    </row>
    <row r="124" spans="1:46" x14ac:dyDescent="0.25">
      <c r="A124" s="476"/>
      <c r="B124" s="457"/>
      <c r="C124" s="457"/>
      <c r="D124" s="457"/>
      <c r="E124" s="457"/>
      <c r="F124" s="457"/>
      <c r="G124" s="457"/>
      <c r="H124" s="457"/>
      <c r="I124" s="457"/>
      <c r="J124" s="457"/>
      <c r="K124" s="457"/>
      <c r="L124" s="457"/>
      <c r="M124" s="457"/>
      <c r="N124" s="457"/>
      <c r="O124" s="457"/>
      <c r="P124" s="457"/>
      <c r="Q124" s="457"/>
      <c r="R124" s="457"/>
      <c r="S124" s="457"/>
      <c r="T124" s="457"/>
      <c r="U124" s="457"/>
      <c r="V124" s="457"/>
      <c r="W124" s="457"/>
      <c r="X124" s="457"/>
      <c r="Y124" s="457"/>
      <c r="Z124" s="457"/>
      <c r="AA124" s="457"/>
      <c r="AB124" s="457"/>
      <c r="AC124" s="457"/>
      <c r="AD124" s="457"/>
      <c r="AE124" s="457"/>
      <c r="AF124" s="457"/>
      <c r="AG124" s="457"/>
      <c r="AH124" s="457"/>
      <c r="AI124" s="457"/>
      <c r="AJ124" s="457"/>
      <c r="AK124" s="457"/>
      <c r="AL124" s="457"/>
      <c r="AM124" s="457"/>
      <c r="AN124" s="457"/>
      <c r="AO124" s="457"/>
      <c r="AP124" s="457"/>
      <c r="AQ124" s="457"/>
      <c r="AR124" s="457"/>
      <c r="AS124" s="457"/>
      <c r="AT124" s="457"/>
    </row>
    <row r="125" spans="1:46" x14ac:dyDescent="0.25">
      <c r="A125" s="476"/>
      <c r="B125" s="457"/>
      <c r="C125" s="457"/>
      <c r="D125" s="457"/>
      <c r="E125" s="457"/>
      <c r="F125" s="457"/>
      <c r="G125" s="457"/>
      <c r="H125" s="457"/>
      <c r="I125" s="457"/>
      <c r="J125" s="457"/>
      <c r="K125" s="457"/>
      <c r="L125" s="457"/>
      <c r="M125" s="457"/>
      <c r="N125" s="457"/>
      <c r="O125" s="457"/>
      <c r="P125" s="457"/>
      <c r="Q125" s="457"/>
      <c r="R125" s="457"/>
      <c r="S125" s="457"/>
      <c r="T125" s="457"/>
      <c r="U125" s="457"/>
      <c r="V125" s="457"/>
      <c r="W125" s="457"/>
      <c r="X125" s="457"/>
      <c r="Y125" s="457"/>
      <c r="Z125" s="457"/>
      <c r="AA125" s="457"/>
      <c r="AB125" s="457"/>
      <c r="AC125" s="457"/>
      <c r="AD125" s="457"/>
      <c r="AE125" s="457"/>
      <c r="AF125" s="457"/>
      <c r="AG125" s="457"/>
      <c r="AH125" s="457"/>
      <c r="AI125" s="457"/>
      <c r="AJ125" s="457"/>
      <c r="AK125" s="457"/>
      <c r="AL125" s="457"/>
      <c r="AM125" s="457"/>
      <c r="AN125" s="457"/>
      <c r="AO125" s="457"/>
      <c r="AP125" s="457"/>
      <c r="AQ125" s="457"/>
      <c r="AR125" s="457"/>
      <c r="AS125" s="457"/>
      <c r="AT125" s="457"/>
    </row>
    <row r="126" spans="1:46" x14ac:dyDescent="0.25">
      <c r="A126" s="476"/>
      <c r="B126" s="457"/>
      <c r="C126" s="457"/>
      <c r="D126" s="457"/>
      <c r="E126" s="457"/>
      <c r="F126" s="457"/>
      <c r="G126" s="457"/>
      <c r="H126" s="457"/>
      <c r="I126" s="457"/>
      <c r="J126" s="457"/>
      <c r="K126" s="457"/>
      <c r="L126" s="457"/>
      <c r="M126" s="457"/>
      <c r="N126" s="457"/>
      <c r="O126" s="457"/>
      <c r="P126" s="457"/>
      <c r="Q126" s="457"/>
      <c r="R126" s="457"/>
      <c r="S126" s="457"/>
      <c r="T126" s="457"/>
      <c r="U126" s="457"/>
      <c r="V126" s="457"/>
      <c r="W126" s="457"/>
      <c r="X126" s="457"/>
      <c r="Y126" s="457"/>
      <c r="Z126" s="457"/>
      <c r="AA126" s="457"/>
      <c r="AB126" s="457"/>
      <c r="AC126" s="457"/>
      <c r="AD126" s="457"/>
      <c r="AE126" s="457"/>
      <c r="AF126" s="457"/>
      <c r="AG126" s="457"/>
      <c r="AH126" s="457"/>
      <c r="AI126" s="457"/>
      <c r="AJ126" s="457"/>
      <c r="AK126" s="457"/>
      <c r="AL126" s="457"/>
      <c r="AM126" s="457"/>
      <c r="AN126" s="457"/>
      <c r="AO126" s="457"/>
      <c r="AP126" s="457"/>
      <c r="AQ126" s="457"/>
      <c r="AR126" s="457"/>
      <c r="AS126" s="457"/>
      <c r="AT126" s="457"/>
    </row>
    <row r="127" spans="1:46" x14ac:dyDescent="0.25">
      <c r="A127" s="476"/>
      <c r="B127" s="457"/>
      <c r="C127" s="457"/>
      <c r="D127" s="457"/>
      <c r="E127" s="457"/>
      <c r="F127" s="457"/>
      <c r="G127" s="457"/>
      <c r="H127" s="457"/>
      <c r="I127" s="457"/>
      <c r="J127" s="457"/>
      <c r="K127" s="457"/>
      <c r="L127" s="457"/>
      <c r="M127" s="457"/>
      <c r="N127" s="457"/>
      <c r="O127" s="457"/>
      <c r="P127" s="457"/>
      <c r="Q127" s="457"/>
      <c r="R127" s="457"/>
      <c r="S127" s="457"/>
      <c r="T127" s="457"/>
      <c r="U127" s="457"/>
      <c r="V127" s="457"/>
      <c r="W127" s="457"/>
      <c r="X127" s="457"/>
      <c r="Y127" s="457"/>
      <c r="Z127" s="457"/>
      <c r="AA127" s="457"/>
      <c r="AB127" s="457"/>
      <c r="AC127" s="457"/>
      <c r="AD127" s="457"/>
      <c r="AE127" s="457"/>
      <c r="AF127" s="457"/>
      <c r="AG127" s="457"/>
      <c r="AH127" s="457"/>
      <c r="AI127" s="457"/>
      <c r="AJ127" s="457"/>
      <c r="AK127" s="457"/>
      <c r="AL127" s="457"/>
      <c r="AM127" s="457"/>
      <c r="AN127" s="457"/>
      <c r="AO127" s="457"/>
      <c r="AP127" s="457"/>
      <c r="AQ127" s="457"/>
      <c r="AR127" s="457"/>
      <c r="AS127" s="457"/>
      <c r="AT127" s="457"/>
    </row>
    <row r="128" spans="1:46" x14ac:dyDescent="0.25">
      <c r="A128" s="476"/>
      <c r="B128" s="457"/>
      <c r="C128" s="457"/>
      <c r="D128" s="457"/>
      <c r="E128" s="457"/>
      <c r="F128" s="457"/>
      <c r="G128" s="457"/>
      <c r="H128" s="457"/>
      <c r="I128" s="457"/>
      <c r="J128" s="457"/>
      <c r="K128" s="457"/>
      <c r="L128" s="457"/>
      <c r="M128" s="457"/>
      <c r="N128" s="457"/>
      <c r="O128" s="457"/>
      <c r="P128" s="457"/>
      <c r="Q128" s="457"/>
      <c r="R128" s="457"/>
      <c r="S128" s="457"/>
      <c r="T128" s="457"/>
      <c r="U128" s="457"/>
      <c r="V128" s="457"/>
      <c r="W128" s="457"/>
      <c r="X128" s="457"/>
      <c r="Y128" s="457"/>
      <c r="Z128" s="457"/>
      <c r="AA128" s="457"/>
      <c r="AB128" s="457"/>
      <c r="AC128" s="457"/>
      <c r="AD128" s="457"/>
      <c r="AE128" s="457"/>
      <c r="AF128" s="457"/>
      <c r="AG128" s="457"/>
      <c r="AH128" s="457"/>
      <c r="AI128" s="457"/>
      <c r="AJ128" s="457"/>
      <c r="AK128" s="457"/>
      <c r="AL128" s="457"/>
      <c r="AM128" s="457"/>
      <c r="AN128" s="457"/>
      <c r="AO128" s="457"/>
      <c r="AP128" s="457"/>
      <c r="AQ128" s="457"/>
      <c r="AR128" s="457"/>
      <c r="AS128" s="457"/>
      <c r="AT128" s="457"/>
    </row>
    <row r="129" spans="1:46" x14ac:dyDescent="0.25">
      <c r="A129" s="476"/>
      <c r="B129" s="457"/>
      <c r="C129" s="457"/>
      <c r="D129" s="457"/>
      <c r="E129" s="457"/>
      <c r="F129" s="457"/>
      <c r="G129" s="457"/>
      <c r="H129" s="457"/>
      <c r="I129" s="457"/>
      <c r="J129" s="457"/>
      <c r="K129" s="457"/>
      <c r="L129" s="457"/>
      <c r="M129" s="457"/>
      <c r="N129" s="457"/>
      <c r="O129" s="457"/>
      <c r="P129" s="457"/>
      <c r="Q129" s="457"/>
      <c r="R129" s="457"/>
      <c r="S129" s="457"/>
      <c r="T129" s="457"/>
      <c r="U129" s="457"/>
      <c r="V129" s="457"/>
      <c r="W129" s="457"/>
      <c r="X129" s="457"/>
      <c r="Y129" s="457"/>
      <c r="Z129" s="457"/>
      <c r="AA129" s="457"/>
      <c r="AB129" s="457"/>
      <c r="AC129" s="457"/>
      <c r="AD129" s="457"/>
      <c r="AE129" s="457"/>
      <c r="AF129" s="457"/>
      <c r="AG129" s="457"/>
      <c r="AH129" s="457"/>
      <c r="AI129" s="457"/>
      <c r="AJ129" s="457"/>
      <c r="AK129" s="457"/>
      <c r="AL129" s="457"/>
      <c r="AM129" s="457"/>
      <c r="AN129" s="457"/>
      <c r="AO129" s="457"/>
      <c r="AP129" s="457"/>
      <c r="AQ129" s="457"/>
      <c r="AR129" s="457"/>
      <c r="AS129" s="457"/>
      <c r="AT129" s="457"/>
    </row>
    <row r="130" spans="1:46" x14ac:dyDescent="0.25">
      <c r="A130" s="476"/>
      <c r="B130" s="457"/>
      <c r="C130" s="457"/>
      <c r="D130" s="457"/>
      <c r="E130" s="457"/>
      <c r="F130" s="457"/>
      <c r="G130" s="457"/>
      <c r="H130" s="457"/>
      <c r="I130" s="457"/>
      <c r="J130" s="457"/>
      <c r="K130" s="457"/>
      <c r="L130" s="457"/>
      <c r="M130" s="457"/>
      <c r="N130" s="457"/>
      <c r="O130" s="457"/>
      <c r="P130" s="457"/>
      <c r="Q130" s="457"/>
      <c r="R130" s="457"/>
      <c r="S130" s="457"/>
      <c r="T130" s="457"/>
      <c r="U130" s="457"/>
      <c r="V130" s="457"/>
      <c r="W130" s="457"/>
      <c r="X130" s="457"/>
      <c r="Y130" s="457"/>
      <c r="Z130" s="457"/>
      <c r="AA130" s="457"/>
      <c r="AB130" s="457"/>
      <c r="AC130" s="457"/>
      <c r="AD130" s="457"/>
      <c r="AE130" s="457"/>
      <c r="AF130" s="457"/>
      <c r="AG130" s="457"/>
      <c r="AH130" s="457"/>
      <c r="AI130" s="457"/>
      <c r="AJ130" s="457"/>
      <c r="AK130" s="457"/>
      <c r="AL130" s="457"/>
      <c r="AM130" s="457"/>
      <c r="AN130" s="457"/>
      <c r="AO130" s="457"/>
      <c r="AP130" s="457"/>
      <c r="AQ130" s="457"/>
      <c r="AR130" s="457"/>
      <c r="AS130" s="457"/>
      <c r="AT130" s="457"/>
    </row>
    <row r="131" spans="1:46" x14ac:dyDescent="0.25">
      <c r="A131" s="476"/>
      <c r="B131" s="457"/>
      <c r="C131" s="457"/>
      <c r="D131" s="457"/>
      <c r="E131" s="457"/>
      <c r="F131" s="457"/>
      <c r="G131" s="457"/>
      <c r="H131" s="457"/>
      <c r="I131" s="457"/>
      <c r="J131" s="457"/>
      <c r="K131" s="457"/>
      <c r="L131" s="457"/>
      <c r="M131" s="457"/>
      <c r="N131" s="457"/>
      <c r="O131" s="457"/>
      <c r="P131" s="457"/>
      <c r="Q131" s="457"/>
      <c r="R131" s="457"/>
      <c r="S131" s="457"/>
      <c r="T131" s="457"/>
      <c r="U131" s="457"/>
      <c r="V131" s="457"/>
      <c r="W131" s="457"/>
      <c r="X131" s="457"/>
      <c r="Y131" s="457"/>
      <c r="Z131" s="457"/>
      <c r="AA131" s="457"/>
      <c r="AB131" s="457"/>
      <c r="AC131" s="457"/>
      <c r="AD131" s="457"/>
      <c r="AE131" s="457"/>
      <c r="AF131" s="457"/>
      <c r="AG131" s="457"/>
      <c r="AH131" s="457"/>
      <c r="AI131" s="457"/>
      <c r="AJ131" s="457"/>
      <c r="AK131" s="457"/>
      <c r="AL131" s="457"/>
      <c r="AM131" s="457"/>
      <c r="AN131" s="457"/>
      <c r="AO131" s="457"/>
      <c r="AP131" s="457"/>
      <c r="AQ131" s="457"/>
      <c r="AR131" s="457"/>
      <c r="AS131" s="457"/>
      <c r="AT131" s="457"/>
    </row>
    <row r="132" spans="1:46" x14ac:dyDescent="0.25">
      <c r="A132" s="476"/>
      <c r="B132" s="457"/>
      <c r="C132" s="457"/>
      <c r="D132" s="457"/>
      <c r="E132" s="457"/>
      <c r="F132" s="457"/>
      <c r="G132" s="457"/>
      <c r="H132" s="457"/>
      <c r="I132" s="457"/>
      <c r="J132" s="457"/>
      <c r="K132" s="457"/>
      <c r="L132" s="457"/>
      <c r="M132" s="457"/>
      <c r="N132" s="457"/>
      <c r="O132" s="457"/>
      <c r="P132" s="457"/>
      <c r="Q132" s="457"/>
      <c r="R132" s="457"/>
      <c r="S132" s="457"/>
      <c r="T132" s="457"/>
      <c r="U132" s="457"/>
      <c r="V132" s="457"/>
      <c r="W132" s="457"/>
      <c r="X132" s="457"/>
      <c r="Y132" s="457"/>
      <c r="Z132" s="457"/>
      <c r="AA132" s="457"/>
      <c r="AB132" s="457"/>
      <c r="AC132" s="457"/>
      <c r="AD132" s="457"/>
      <c r="AE132" s="457"/>
      <c r="AF132" s="457"/>
      <c r="AG132" s="457"/>
      <c r="AH132" s="457"/>
      <c r="AI132" s="457"/>
      <c r="AJ132" s="457"/>
      <c r="AK132" s="457"/>
      <c r="AL132" s="457"/>
      <c r="AM132" s="457"/>
      <c r="AN132" s="457"/>
      <c r="AO132" s="457"/>
      <c r="AP132" s="457"/>
      <c r="AQ132" s="457"/>
      <c r="AR132" s="457"/>
      <c r="AS132" s="457"/>
      <c r="AT132" s="457"/>
    </row>
    <row r="133" spans="1:46" x14ac:dyDescent="0.25">
      <c r="A133" s="476"/>
      <c r="B133" s="457"/>
      <c r="C133" s="457"/>
      <c r="D133" s="457"/>
      <c r="E133" s="457"/>
      <c r="F133" s="457"/>
      <c r="G133" s="457"/>
      <c r="H133" s="457"/>
      <c r="I133" s="457"/>
      <c r="J133" s="457"/>
      <c r="K133" s="457"/>
      <c r="L133" s="457"/>
      <c r="M133" s="457"/>
      <c r="N133" s="457"/>
      <c r="O133" s="457"/>
      <c r="P133" s="457"/>
      <c r="Q133" s="457"/>
      <c r="R133" s="457"/>
      <c r="S133" s="457"/>
      <c r="T133" s="457"/>
      <c r="U133" s="457"/>
      <c r="V133" s="457"/>
      <c r="W133" s="457"/>
      <c r="X133" s="457"/>
      <c r="Y133" s="457"/>
      <c r="Z133" s="457"/>
      <c r="AA133" s="457"/>
      <c r="AB133" s="457"/>
      <c r="AC133" s="457"/>
      <c r="AD133" s="457"/>
      <c r="AE133" s="457"/>
      <c r="AF133" s="457"/>
      <c r="AG133" s="457"/>
      <c r="AH133" s="457"/>
      <c r="AI133" s="457"/>
      <c r="AJ133" s="457"/>
      <c r="AK133" s="457"/>
      <c r="AL133" s="457"/>
      <c r="AM133" s="457"/>
      <c r="AN133" s="457"/>
      <c r="AO133" s="457"/>
      <c r="AP133" s="457"/>
      <c r="AQ133" s="457"/>
      <c r="AR133" s="457"/>
      <c r="AS133" s="457"/>
      <c r="AT133" s="457"/>
    </row>
    <row r="134" spans="1:46" x14ac:dyDescent="0.25">
      <c r="A134" s="476"/>
      <c r="B134" s="457"/>
      <c r="C134" s="457"/>
      <c r="D134" s="457"/>
      <c r="E134" s="457"/>
      <c r="F134" s="457"/>
      <c r="G134" s="457"/>
      <c r="H134" s="457"/>
      <c r="I134" s="457"/>
      <c r="J134" s="457"/>
      <c r="K134" s="457"/>
      <c r="L134" s="457"/>
      <c r="M134" s="457"/>
      <c r="N134" s="457"/>
      <c r="O134" s="457"/>
      <c r="P134" s="457"/>
      <c r="Q134" s="457"/>
      <c r="R134" s="457"/>
      <c r="S134" s="457"/>
      <c r="T134" s="457"/>
      <c r="U134" s="457"/>
      <c r="V134" s="457"/>
      <c r="W134" s="457"/>
      <c r="X134" s="457"/>
      <c r="Y134" s="457"/>
      <c r="Z134" s="457"/>
      <c r="AA134" s="457"/>
      <c r="AB134" s="457"/>
      <c r="AC134" s="457"/>
      <c r="AD134" s="457"/>
      <c r="AE134" s="457"/>
      <c r="AF134" s="457"/>
      <c r="AG134" s="457"/>
      <c r="AH134" s="457"/>
      <c r="AI134" s="457"/>
      <c r="AJ134" s="457"/>
      <c r="AK134" s="457"/>
      <c r="AL134" s="457"/>
      <c r="AM134" s="457"/>
      <c r="AN134" s="457"/>
      <c r="AO134" s="457"/>
      <c r="AP134" s="457"/>
      <c r="AQ134" s="457"/>
      <c r="AR134" s="457"/>
      <c r="AS134" s="457"/>
      <c r="AT134" s="457"/>
    </row>
    <row r="135" spans="1:46" x14ac:dyDescent="0.25">
      <c r="A135" s="476"/>
      <c r="B135" s="457"/>
      <c r="C135" s="457"/>
      <c r="D135" s="457"/>
      <c r="E135" s="457"/>
      <c r="F135" s="457"/>
      <c r="G135" s="457"/>
      <c r="H135" s="457"/>
      <c r="I135" s="457"/>
      <c r="J135" s="457"/>
      <c r="K135" s="457"/>
      <c r="L135" s="457"/>
      <c r="M135" s="457"/>
      <c r="N135" s="457"/>
      <c r="O135" s="457"/>
      <c r="P135" s="457"/>
      <c r="Q135" s="457"/>
      <c r="R135" s="457"/>
      <c r="S135" s="457"/>
      <c r="T135" s="457"/>
      <c r="U135" s="457"/>
      <c r="V135" s="457"/>
      <c r="W135" s="457"/>
      <c r="X135" s="457"/>
      <c r="Y135" s="457"/>
      <c r="Z135" s="457"/>
      <c r="AA135" s="457"/>
      <c r="AB135" s="457"/>
      <c r="AC135" s="457"/>
      <c r="AD135" s="457"/>
      <c r="AE135" s="457"/>
      <c r="AF135" s="457"/>
      <c r="AG135" s="457"/>
      <c r="AH135" s="457"/>
      <c r="AI135" s="457"/>
      <c r="AJ135" s="457"/>
      <c r="AK135" s="457"/>
      <c r="AL135" s="457"/>
      <c r="AM135" s="457"/>
      <c r="AN135" s="457"/>
      <c r="AO135" s="457"/>
      <c r="AP135" s="457"/>
      <c r="AQ135" s="457"/>
      <c r="AR135" s="457"/>
      <c r="AS135" s="457"/>
      <c r="AT135" s="457"/>
    </row>
    <row r="136" spans="1:46" x14ac:dyDescent="0.25">
      <c r="A136" s="476"/>
      <c r="B136" s="457"/>
      <c r="C136" s="457"/>
      <c r="D136" s="457"/>
      <c r="E136" s="457"/>
      <c r="F136" s="457"/>
      <c r="G136" s="457"/>
      <c r="H136" s="457"/>
      <c r="I136" s="457"/>
      <c r="J136" s="457"/>
      <c r="K136" s="457"/>
      <c r="L136" s="457"/>
      <c r="M136" s="457"/>
      <c r="N136" s="457"/>
      <c r="O136" s="457"/>
      <c r="P136" s="457"/>
      <c r="Q136" s="457"/>
      <c r="R136" s="457"/>
      <c r="S136" s="457"/>
      <c r="T136" s="457"/>
      <c r="U136" s="457"/>
      <c r="V136" s="457"/>
      <c r="W136" s="457"/>
      <c r="X136" s="457"/>
      <c r="Y136" s="457"/>
      <c r="Z136" s="457"/>
      <c r="AA136" s="457"/>
      <c r="AB136" s="457"/>
      <c r="AC136" s="457"/>
      <c r="AD136" s="457"/>
      <c r="AE136" s="457"/>
      <c r="AF136" s="457"/>
      <c r="AG136" s="457"/>
      <c r="AH136" s="457"/>
      <c r="AI136" s="457"/>
      <c r="AJ136" s="457"/>
      <c r="AK136" s="457"/>
      <c r="AL136" s="457"/>
      <c r="AM136" s="457"/>
      <c r="AN136" s="457"/>
      <c r="AO136" s="457"/>
      <c r="AP136" s="457"/>
      <c r="AQ136" s="457"/>
      <c r="AR136" s="457"/>
      <c r="AS136" s="457"/>
      <c r="AT136" s="457"/>
    </row>
    <row r="137" spans="1:46" x14ac:dyDescent="0.25">
      <c r="A137" s="476"/>
      <c r="B137" s="457"/>
      <c r="C137" s="457"/>
      <c r="D137" s="457"/>
      <c r="E137" s="457"/>
      <c r="F137" s="457"/>
      <c r="G137" s="457"/>
      <c r="H137" s="457"/>
      <c r="I137" s="457"/>
      <c r="J137" s="457"/>
      <c r="K137" s="457"/>
      <c r="L137" s="457"/>
      <c r="M137" s="457"/>
      <c r="N137" s="457"/>
      <c r="O137" s="457"/>
      <c r="P137" s="457"/>
      <c r="Q137" s="457"/>
      <c r="R137" s="457"/>
      <c r="S137" s="457"/>
      <c r="T137" s="457"/>
      <c r="U137" s="457"/>
      <c r="V137" s="457"/>
      <c r="W137" s="457"/>
      <c r="X137" s="457"/>
      <c r="Y137" s="457"/>
      <c r="Z137" s="457"/>
      <c r="AA137" s="457"/>
      <c r="AB137" s="457"/>
      <c r="AC137" s="457"/>
      <c r="AD137" s="457"/>
      <c r="AE137" s="457"/>
      <c r="AF137" s="457"/>
      <c r="AG137" s="457"/>
      <c r="AH137" s="457"/>
      <c r="AI137" s="457"/>
      <c r="AJ137" s="457"/>
      <c r="AK137" s="457"/>
      <c r="AL137" s="457"/>
      <c r="AM137" s="457"/>
      <c r="AN137" s="457"/>
      <c r="AO137" s="457"/>
      <c r="AP137" s="457"/>
      <c r="AQ137" s="457"/>
      <c r="AR137" s="457"/>
      <c r="AS137" s="457"/>
      <c r="AT137" s="457"/>
    </row>
    <row r="138" spans="1:46" x14ac:dyDescent="0.25">
      <c r="A138" s="476"/>
      <c r="B138" s="457"/>
      <c r="C138" s="457"/>
      <c r="D138" s="457"/>
      <c r="E138" s="457"/>
      <c r="F138" s="457"/>
      <c r="G138" s="457"/>
      <c r="H138" s="457"/>
      <c r="I138" s="457"/>
      <c r="J138" s="457"/>
      <c r="K138" s="457"/>
      <c r="L138" s="457"/>
      <c r="M138" s="457"/>
      <c r="N138" s="457"/>
      <c r="O138" s="457"/>
      <c r="P138" s="457"/>
      <c r="Q138" s="457"/>
      <c r="R138" s="457"/>
      <c r="S138" s="457"/>
      <c r="T138" s="457"/>
      <c r="U138" s="457"/>
      <c r="V138" s="457"/>
      <c r="W138" s="457"/>
      <c r="X138" s="457"/>
      <c r="Y138" s="457"/>
      <c r="Z138" s="457"/>
      <c r="AA138" s="457"/>
      <c r="AB138" s="457"/>
      <c r="AC138" s="457"/>
      <c r="AD138" s="457"/>
      <c r="AE138" s="457"/>
      <c r="AF138" s="457"/>
      <c r="AG138" s="457"/>
      <c r="AH138" s="457"/>
      <c r="AI138" s="457"/>
      <c r="AJ138" s="457"/>
      <c r="AK138" s="457"/>
      <c r="AL138" s="457"/>
      <c r="AM138" s="457"/>
      <c r="AN138" s="457"/>
      <c r="AO138" s="457"/>
      <c r="AP138" s="457"/>
      <c r="AQ138" s="457"/>
      <c r="AR138" s="457"/>
      <c r="AS138" s="457"/>
      <c r="AT138" s="457"/>
    </row>
    <row r="139" spans="1:46" x14ac:dyDescent="0.25">
      <c r="A139" s="476"/>
      <c r="B139" s="457"/>
      <c r="C139" s="457"/>
      <c r="D139" s="457"/>
      <c r="E139" s="457"/>
      <c r="F139" s="457"/>
      <c r="G139" s="457"/>
      <c r="H139" s="457"/>
      <c r="I139" s="457"/>
      <c r="J139" s="457"/>
      <c r="K139" s="457"/>
      <c r="L139" s="457"/>
      <c r="M139" s="457"/>
      <c r="N139" s="457"/>
      <c r="O139" s="457"/>
      <c r="P139" s="457"/>
      <c r="Q139" s="457"/>
      <c r="R139" s="457"/>
      <c r="S139" s="457"/>
      <c r="T139" s="457"/>
      <c r="U139" s="457"/>
      <c r="V139" s="457"/>
      <c r="W139" s="457"/>
      <c r="X139" s="457"/>
      <c r="Y139" s="457"/>
      <c r="Z139" s="457"/>
      <c r="AA139" s="457"/>
      <c r="AB139" s="457"/>
      <c r="AC139" s="457"/>
      <c r="AD139" s="457"/>
      <c r="AE139" s="457"/>
      <c r="AF139" s="457"/>
      <c r="AG139" s="457"/>
      <c r="AH139" s="457"/>
      <c r="AI139" s="457"/>
      <c r="AJ139" s="457"/>
      <c r="AK139" s="457"/>
      <c r="AL139" s="457"/>
      <c r="AM139" s="457"/>
      <c r="AN139" s="457"/>
      <c r="AO139" s="457"/>
      <c r="AP139" s="457"/>
      <c r="AQ139" s="457"/>
      <c r="AR139" s="457"/>
      <c r="AS139" s="457"/>
      <c r="AT139" s="457"/>
    </row>
    <row r="140" spans="1:46" x14ac:dyDescent="0.25">
      <c r="A140" s="476"/>
      <c r="B140" s="457"/>
      <c r="C140" s="457"/>
      <c r="D140" s="457"/>
      <c r="E140" s="457"/>
      <c r="F140" s="457"/>
      <c r="G140" s="457"/>
      <c r="H140" s="457"/>
      <c r="I140" s="457"/>
      <c r="J140" s="457"/>
      <c r="K140" s="457"/>
      <c r="L140" s="457"/>
      <c r="M140" s="457"/>
      <c r="N140" s="457"/>
      <c r="O140" s="457"/>
      <c r="P140" s="457"/>
      <c r="Q140" s="457"/>
      <c r="R140" s="457"/>
      <c r="S140" s="457"/>
      <c r="T140" s="457"/>
      <c r="U140" s="457"/>
      <c r="V140" s="457"/>
      <c r="W140" s="457"/>
      <c r="X140" s="457"/>
      <c r="Y140" s="457"/>
      <c r="Z140" s="457"/>
      <c r="AA140" s="457"/>
      <c r="AB140" s="457"/>
      <c r="AC140" s="457"/>
      <c r="AD140" s="457"/>
      <c r="AE140" s="457"/>
      <c r="AF140" s="457"/>
      <c r="AG140" s="457"/>
      <c r="AH140" s="457"/>
      <c r="AI140" s="457"/>
      <c r="AJ140" s="457"/>
      <c r="AK140" s="457"/>
      <c r="AL140" s="457"/>
      <c r="AM140" s="457"/>
      <c r="AN140" s="457"/>
      <c r="AO140" s="457"/>
      <c r="AP140" s="457"/>
      <c r="AQ140" s="457"/>
      <c r="AR140" s="457"/>
      <c r="AS140" s="457"/>
      <c r="AT140" s="457"/>
    </row>
    <row r="141" spans="1:46" x14ac:dyDescent="0.25">
      <c r="A141" s="476"/>
      <c r="B141" s="457"/>
      <c r="C141" s="457"/>
      <c r="D141" s="457"/>
      <c r="E141" s="457"/>
      <c r="F141" s="457"/>
      <c r="G141" s="457"/>
      <c r="H141" s="457"/>
      <c r="I141" s="457"/>
      <c r="J141" s="457"/>
      <c r="K141" s="457"/>
      <c r="L141" s="457"/>
      <c r="M141" s="457"/>
      <c r="N141" s="457"/>
      <c r="O141" s="457"/>
      <c r="P141" s="457"/>
      <c r="Q141" s="457"/>
      <c r="R141" s="457"/>
      <c r="S141" s="457"/>
      <c r="T141" s="457"/>
      <c r="U141" s="457"/>
      <c r="V141" s="457"/>
      <c r="W141" s="457"/>
      <c r="X141" s="457"/>
      <c r="Y141" s="457"/>
      <c r="Z141" s="457"/>
      <c r="AA141" s="457"/>
      <c r="AB141" s="457"/>
      <c r="AC141" s="457"/>
      <c r="AD141" s="457"/>
      <c r="AE141" s="457"/>
      <c r="AF141" s="457"/>
      <c r="AG141" s="457"/>
      <c r="AH141" s="457"/>
      <c r="AI141" s="457"/>
      <c r="AJ141" s="457"/>
      <c r="AK141" s="457"/>
      <c r="AL141" s="457"/>
      <c r="AM141" s="457"/>
      <c r="AN141" s="457"/>
      <c r="AO141" s="457"/>
      <c r="AP141" s="457"/>
      <c r="AQ141" s="457"/>
      <c r="AR141" s="457"/>
      <c r="AS141" s="457"/>
      <c r="AT141" s="457"/>
    </row>
    <row r="142" spans="1:46" x14ac:dyDescent="0.25">
      <c r="A142" s="476"/>
      <c r="B142" s="457"/>
      <c r="C142" s="457"/>
      <c r="D142" s="457"/>
      <c r="E142" s="457"/>
      <c r="F142" s="457"/>
      <c r="G142" s="457"/>
      <c r="H142" s="457"/>
      <c r="I142" s="457"/>
      <c r="J142" s="457"/>
      <c r="K142" s="457"/>
      <c r="L142" s="457"/>
      <c r="M142" s="457"/>
      <c r="N142" s="457"/>
      <c r="O142" s="457"/>
      <c r="P142" s="457"/>
      <c r="Q142" s="457"/>
      <c r="R142" s="457"/>
      <c r="S142" s="457"/>
      <c r="T142" s="457"/>
      <c r="U142" s="457"/>
      <c r="V142" s="457"/>
      <c r="W142" s="457"/>
      <c r="X142" s="457"/>
      <c r="Y142" s="457"/>
      <c r="Z142" s="457"/>
      <c r="AA142" s="457"/>
      <c r="AB142" s="457"/>
      <c r="AC142" s="457"/>
      <c r="AD142" s="457"/>
      <c r="AE142" s="457"/>
      <c r="AF142" s="457"/>
      <c r="AG142" s="457"/>
      <c r="AH142" s="457"/>
      <c r="AI142" s="457"/>
      <c r="AJ142" s="457"/>
      <c r="AK142" s="457"/>
      <c r="AL142" s="457"/>
      <c r="AM142" s="457"/>
      <c r="AN142" s="457"/>
      <c r="AO142" s="457"/>
      <c r="AP142" s="457"/>
      <c r="AQ142" s="457"/>
      <c r="AR142" s="457"/>
      <c r="AS142" s="457"/>
      <c r="AT142" s="457"/>
    </row>
    <row r="143" spans="1:46" x14ac:dyDescent="0.25">
      <c r="A143" s="476"/>
      <c r="B143" s="457"/>
      <c r="C143" s="457"/>
      <c r="D143" s="457"/>
      <c r="E143" s="457"/>
      <c r="F143" s="457"/>
      <c r="G143" s="457"/>
      <c r="H143" s="457"/>
      <c r="I143" s="457"/>
      <c r="J143" s="457"/>
      <c r="K143" s="457"/>
      <c r="L143" s="457"/>
      <c r="M143" s="457"/>
      <c r="N143" s="457"/>
      <c r="O143" s="457"/>
      <c r="P143" s="457"/>
      <c r="Q143" s="457"/>
      <c r="R143" s="457"/>
      <c r="S143" s="457"/>
      <c r="T143" s="457"/>
      <c r="U143" s="457"/>
      <c r="V143" s="457"/>
      <c r="W143" s="457"/>
      <c r="X143" s="457"/>
      <c r="Y143" s="457"/>
      <c r="Z143" s="457"/>
      <c r="AA143" s="457"/>
      <c r="AB143" s="457"/>
      <c r="AC143" s="457"/>
      <c r="AD143" s="457"/>
      <c r="AE143" s="457"/>
      <c r="AF143" s="457"/>
      <c r="AG143" s="457"/>
      <c r="AH143" s="457"/>
      <c r="AI143" s="457"/>
      <c r="AJ143" s="457"/>
      <c r="AK143" s="457"/>
      <c r="AL143" s="457"/>
      <c r="AM143" s="457"/>
      <c r="AN143" s="457"/>
      <c r="AO143" s="457"/>
      <c r="AP143" s="457"/>
      <c r="AQ143" s="457"/>
      <c r="AR143" s="457"/>
      <c r="AS143" s="457"/>
      <c r="AT143" s="457"/>
    </row>
    <row r="144" spans="1:46" x14ac:dyDescent="0.25">
      <c r="A144" s="476"/>
      <c r="B144" s="457"/>
      <c r="C144" s="457"/>
      <c r="D144" s="457"/>
      <c r="E144" s="457"/>
      <c r="F144" s="457"/>
      <c r="G144" s="457"/>
      <c r="H144" s="457"/>
      <c r="I144" s="457"/>
      <c r="J144" s="457"/>
      <c r="K144" s="457"/>
      <c r="L144" s="457"/>
      <c r="M144" s="457"/>
      <c r="N144" s="457"/>
      <c r="O144" s="457"/>
      <c r="P144" s="457"/>
      <c r="Q144" s="457"/>
      <c r="R144" s="457"/>
      <c r="S144" s="457"/>
      <c r="T144" s="457"/>
      <c r="U144" s="457"/>
      <c r="V144" s="457"/>
      <c r="W144" s="457"/>
      <c r="X144" s="457"/>
      <c r="Y144" s="457"/>
      <c r="Z144" s="457"/>
      <c r="AA144" s="457"/>
      <c r="AB144" s="457"/>
      <c r="AC144" s="457"/>
      <c r="AD144" s="457"/>
      <c r="AE144" s="457"/>
      <c r="AF144" s="457"/>
      <c r="AG144" s="457"/>
      <c r="AH144" s="457"/>
      <c r="AI144" s="457"/>
      <c r="AJ144" s="457"/>
      <c r="AK144" s="457"/>
      <c r="AL144" s="457"/>
      <c r="AM144" s="457"/>
      <c r="AN144" s="457"/>
      <c r="AO144" s="457"/>
      <c r="AP144" s="457"/>
      <c r="AQ144" s="457"/>
      <c r="AR144" s="457"/>
      <c r="AS144" s="457"/>
      <c r="AT144" s="457"/>
    </row>
    <row r="145" spans="1:46" x14ac:dyDescent="0.25">
      <c r="A145" s="476"/>
      <c r="B145" s="457"/>
      <c r="C145" s="457"/>
      <c r="D145" s="457"/>
      <c r="E145" s="457"/>
      <c r="F145" s="457"/>
      <c r="G145" s="457"/>
      <c r="H145" s="457"/>
      <c r="I145" s="457"/>
      <c r="J145" s="457"/>
      <c r="K145" s="457"/>
      <c r="L145" s="457"/>
      <c r="M145" s="457"/>
      <c r="N145" s="457"/>
      <c r="O145" s="457"/>
      <c r="P145" s="457"/>
      <c r="Q145" s="457"/>
      <c r="R145" s="457"/>
      <c r="S145" s="457"/>
      <c r="T145" s="457"/>
      <c r="U145" s="457"/>
      <c r="V145" s="457"/>
      <c r="W145" s="457"/>
      <c r="X145" s="457"/>
      <c r="Y145" s="457"/>
      <c r="Z145" s="457"/>
      <c r="AA145" s="457"/>
      <c r="AB145" s="457"/>
      <c r="AC145" s="457"/>
      <c r="AD145" s="457"/>
      <c r="AE145" s="457"/>
      <c r="AF145" s="457"/>
      <c r="AG145" s="457"/>
      <c r="AH145" s="457"/>
      <c r="AI145" s="457"/>
      <c r="AJ145" s="457"/>
      <c r="AK145" s="457"/>
      <c r="AL145" s="457"/>
      <c r="AM145" s="457"/>
      <c r="AN145" s="457"/>
      <c r="AO145" s="457"/>
      <c r="AP145" s="457"/>
      <c r="AQ145" s="457"/>
      <c r="AR145" s="457"/>
      <c r="AS145" s="457"/>
      <c r="AT145" s="457"/>
    </row>
    <row r="146" spans="1:46" x14ac:dyDescent="0.25">
      <c r="A146" s="476"/>
      <c r="B146" s="457"/>
      <c r="C146" s="457"/>
      <c r="D146" s="457"/>
      <c r="E146" s="457"/>
      <c r="F146" s="457"/>
      <c r="G146" s="457"/>
      <c r="H146" s="457"/>
      <c r="I146" s="457"/>
      <c r="J146" s="457"/>
      <c r="K146" s="457"/>
      <c r="L146" s="457"/>
      <c r="M146" s="457"/>
      <c r="N146" s="457"/>
      <c r="O146" s="457"/>
      <c r="P146" s="457"/>
      <c r="Q146" s="457"/>
      <c r="R146" s="457"/>
      <c r="S146" s="457"/>
      <c r="T146" s="457"/>
      <c r="U146" s="457"/>
      <c r="V146" s="457"/>
      <c r="W146" s="457"/>
      <c r="X146" s="457"/>
      <c r="Y146" s="457"/>
      <c r="Z146" s="457"/>
      <c r="AA146" s="457"/>
      <c r="AB146" s="457"/>
      <c r="AC146" s="457"/>
      <c r="AD146" s="457"/>
      <c r="AE146" s="457"/>
      <c r="AF146" s="457"/>
      <c r="AG146" s="457"/>
      <c r="AH146" s="457"/>
      <c r="AI146" s="457"/>
      <c r="AJ146" s="457"/>
      <c r="AK146" s="457"/>
      <c r="AL146" s="457"/>
      <c r="AM146" s="457"/>
      <c r="AN146" s="457"/>
      <c r="AO146" s="457"/>
      <c r="AP146" s="457"/>
      <c r="AQ146" s="457"/>
      <c r="AR146" s="457"/>
      <c r="AS146" s="457"/>
      <c r="AT146" s="457"/>
    </row>
    <row r="147" spans="1:46" x14ac:dyDescent="0.25">
      <c r="A147" s="476"/>
      <c r="B147" s="457"/>
      <c r="C147" s="457"/>
      <c r="D147" s="457"/>
      <c r="E147" s="457"/>
      <c r="F147" s="457"/>
      <c r="G147" s="457"/>
      <c r="H147" s="457"/>
      <c r="I147" s="457"/>
      <c r="J147" s="457"/>
      <c r="K147" s="457"/>
      <c r="L147" s="457"/>
      <c r="M147" s="457"/>
      <c r="N147" s="457"/>
      <c r="O147" s="457"/>
      <c r="P147" s="457"/>
      <c r="Q147" s="457"/>
      <c r="R147" s="457"/>
      <c r="S147" s="457"/>
      <c r="T147" s="457"/>
      <c r="U147" s="457"/>
      <c r="V147" s="457"/>
      <c r="W147" s="457"/>
      <c r="X147" s="457"/>
      <c r="Y147" s="457"/>
      <c r="Z147" s="457"/>
      <c r="AA147" s="457"/>
      <c r="AB147" s="457"/>
      <c r="AC147" s="457"/>
      <c r="AD147" s="457"/>
      <c r="AE147" s="457"/>
      <c r="AF147" s="457"/>
      <c r="AG147" s="457"/>
      <c r="AH147" s="457"/>
      <c r="AI147" s="457"/>
      <c r="AJ147" s="457"/>
      <c r="AK147" s="457"/>
      <c r="AL147" s="457"/>
      <c r="AM147" s="457"/>
      <c r="AN147" s="457"/>
      <c r="AO147" s="457"/>
      <c r="AP147" s="457"/>
      <c r="AQ147" s="457"/>
      <c r="AR147" s="457"/>
      <c r="AS147" s="457"/>
      <c r="AT147" s="457"/>
    </row>
    <row r="148" spans="1:46" x14ac:dyDescent="0.25">
      <c r="A148" s="476"/>
      <c r="B148" s="457"/>
      <c r="C148" s="457"/>
      <c r="D148" s="457"/>
      <c r="E148" s="457"/>
      <c r="F148" s="457"/>
      <c r="G148" s="457"/>
      <c r="H148" s="457"/>
      <c r="I148" s="457"/>
      <c r="J148" s="457"/>
      <c r="K148" s="457"/>
      <c r="L148" s="457"/>
      <c r="M148" s="457"/>
      <c r="N148" s="457"/>
      <c r="O148" s="457"/>
      <c r="P148" s="457"/>
      <c r="Q148" s="457"/>
      <c r="R148" s="457"/>
      <c r="S148" s="457"/>
      <c r="T148" s="457"/>
      <c r="U148" s="457"/>
      <c r="V148" s="457"/>
      <c r="W148" s="457"/>
      <c r="X148" s="457"/>
      <c r="Y148" s="457"/>
      <c r="Z148" s="457"/>
      <c r="AA148" s="457"/>
      <c r="AB148" s="457"/>
      <c r="AC148" s="457"/>
      <c r="AD148" s="457"/>
      <c r="AE148" s="457"/>
      <c r="AF148" s="457"/>
      <c r="AG148" s="457"/>
      <c r="AH148" s="457"/>
      <c r="AI148" s="457"/>
      <c r="AJ148" s="457"/>
      <c r="AK148" s="457"/>
      <c r="AL148" s="457"/>
      <c r="AM148" s="457"/>
      <c r="AN148" s="457"/>
      <c r="AO148" s="457"/>
      <c r="AP148" s="457"/>
      <c r="AQ148" s="457"/>
      <c r="AR148" s="457"/>
      <c r="AS148" s="457"/>
      <c r="AT148" s="457"/>
    </row>
    <row r="149" spans="1:46" x14ac:dyDescent="0.25">
      <c r="A149" s="476"/>
      <c r="B149" s="457"/>
      <c r="C149" s="457"/>
      <c r="D149" s="457"/>
      <c r="E149" s="457"/>
      <c r="F149" s="457"/>
      <c r="G149" s="457"/>
      <c r="H149" s="457"/>
      <c r="I149" s="457"/>
      <c r="J149" s="457"/>
      <c r="K149" s="457"/>
      <c r="L149" s="457"/>
      <c r="M149" s="457"/>
      <c r="N149" s="457"/>
      <c r="O149" s="457"/>
      <c r="P149" s="457"/>
      <c r="Q149" s="457"/>
      <c r="R149" s="457"/>
      <c r="S149" s="457"/>
      <c r="T149" s="457"/>
      <c r="U149" s="457"/>
      <c r="V149" s="457"/>
      <c r="W149" s="457"/>
      <c r="X149" s="457"/>
      <c r="Y149" s="457"/>
      <c r="Z149" s="457"/>
      <c r="AA149" s="457"/>
      <c r="AB149" s="457"/>
      <c r="AC149" s="457"/>
      <c r="AD149" s="457"/>
      <c r="AE149" s="457"/>
      <c r="AF149" s="457"/>
      <c r="AG149" s="457"/>
      <c r="AH149" s="457"/>
      <c r="AI149" s="457"/>
      <c r="AJ149" s="457"/>
      <c r="AK149" s="457"/>
      <c r="AL149" s="457"/>
      <c r="AM149" s="457"/>
      <c r="AN149" s="457"/>
      <c r="AO149" s="457"/>
      <c r="AP149" s="457"/>
      <c r="AQ149" s="457"/>
      <c r="AR149" s="457"/>
      <c r="AS149" s="457"/>
      <c r="AT149" s="457"/>
    </row>
    <row r="150" spans="1:46" x14ac:dyDescent="0.25">
      <c r="A150" s="476"/>
      <c r="B150" s="457"/>
      <c r="C150" s="457"/>
      <c r="D150" s="457"/>
      <c r="E150" s="457"/>
      <c r="F150" s="457"/>
      <c r="G150" s="457"/>
      <c r="H150" s="457"/>
      <c r="I150" s="457"/>
      <c r="J150" s="457"/>
      <c r="K150" s="457"/>
      <c r="L150" s="457"/>
      <c r="M150" s="457"/>
      <c r="N150" s="457"/>
      <c r="O150" s="457"/>
      <c r="P150" s="457"/>
      <c r="Q150" s="457"/>
      <c r="R150" s="457"/>
      <c r="S150" s="457"/>
      <c r="T150" s="457"/>
      <c r="U150" s="457"/>
      <c r="V150" s="457"/>
      <c r="W150" s="457"/>
      <c r="X150" s="457"/>
      <c r="Y150" s="457"/>
      <c r="Z150" s="457"/>
      <c r="AA150" s="457"/>
      <c r="AB150" s="457"/>
      <c r="AC150" s="457"/>
      <c r="AD150" s="457"/>
      <c r="AE150" s="457"/>
      <c r="AF150" s="457"/>
      <c r="AG150" s="457"/>
      <c r="AH150" s="457"/>
      <c r="AI150" s="457"/>
      <c r="AJ150" s="457"/>
      <c r="AK150" s="457"/>
      <c r="AL150" s="457"/>
      <c r="AM150" s="457"/>
      <c r="AN150" s="457"/>
      <c r="AO150" s="457"/>
      <c r="AP150" s="457"/>
      <c r="AQ150" s="457"/>
      <c r="AR150" s="457"/>
      <c r="AS150" s="457"/>
      <c r="AT150" s="457"/>
    </row>
    <row r="151" spans="1:46" x14ac:dyDescent="0.25">
      <c r="A151" s="476"/>
      <c r="B151" s="457"/>
      <c r="C151" s="457"/>
      <c r="D151" s="457"/>
      <c r="E151" s="457"/>
      <c r="F151" s="457"/>
      <c r="G151" s="457"/>
      <c r="H151" s="457"/>
      <c r="I151" s="457"/>
      <c r="J151" s="457"/>
      <c r="K151" s="457"/>
      <c r="L151" s="457"/>
      <c r="M151" s="457"/>
      <c r="N151" s="457"/>
      <c r="O151" s="457"/>
      <c r="P151" s="457"/>
      <c r="Q151" s="457"/>
      <c r="R151" s="457"/>
      <c r="S151" s="457"/>
      <c r="T151" s="457"/>
      <c r="U151" s="457"/>
      <c r="V151" s="457"/>
      <c r="W151" s="457"/>
      <c r="X151" s="457"/>
      <c r="Y151" s="457"/>
      <c r="Z151" s="457"/>
      <c r="AA151" s="457"/>
      <c r="AB151" s="457"/>
      <c r="AC151" s="457"/>
      <c r="AD151" s="457"/>
      <c r="AE151" s="457"/>
      <c r="AF151" s="457"/>
      <c r="AG151" s="457"/>
      <c r="AH151" s="457"/>
      <c r="AI151" s="457"/>
      <c r="AJ151" s="457"/>
      <c r="AK151" s="457"/>
      <c r="AL151" s="457"/>
      <c r="AM151" s="457"/>
      <c r="AN151" s="457"/>
      <c r="AO151" s="457"/>
      <c r="AP151" s="457"/>
      <c r="AQ151" s="457"/>
      <c r="AR151" s="457"/>
      <c r="AS151" s="457"/>
      <c r="AT151" s="457"/>
    </row>
    <row r="152" spans="1:46" x14ac:dyDescent="0.25">
      <c r="A152" s="476"/>
      <c r="B152" s="457"/>
      <c r="C152" s="457"/>
      <c r="D152" s="457"/>
      <c r="E152" s="457"/>
      <c r="F152" s="457"/>
      <c r="G152" s="457"/>
      <c r="H152" s="457"/>
      <c r="I152" s="457"/>
      <c r="J152" s="457"/>
      <c r="K152" s="457"/>
      <c r="L152" s="457"/>
      <c r="M152" s="457"/>
      <c r="N152" s="457"/>
      <c r="O152" s="457"/>
      <c r="P152" s="457"/>
      <c r="Q152" s="457"/>
      <c r="R152" s="457"/>
      <c r="S152" s="457"/>
      <c r="T152" s="457"/>
      <c r="U152" s="457"/>
      <c r="V152" s="457"/>
      <c r="W152" s="457"/>
      <c r="X152" s="457"/>
      <c r="Y152" s="457"/>
      <c r="Z152" s="457"/>
      <c r="AA152" s="457"/>
      <c r="AB152" s="457"/>
      <c r="AC152" s="457"/>
      <c r="AD152" s="457"/>
      <c r="AE152" s="457"/>
      <c r="AF152" s="457"/>
      <c r="AG152" s="457"/>
      <c r="AH152" s="457"/>
      <c r="AI152" s="457"/>
      <c r="AJ152" s="457"/>
      <c r="AK152" s="457"/>
      <c r="AL152" s="457"/>
      <c r="AM152" s="457"/>
      <c r="AN152" s="457"/>
      <c r="AO152" s="457"/>
      <c r="AP152" s="457"/>
      <c r="AQ152" s="457"/>
      <c r="AR152" s="457"/>
      <c r="AS152" s="457"/>
      <c r="AT152" s="457"/>
    </row>
    <row r="153" spans="1:46" x14ac:dyDescent="0.25">
      <c r="A153" s="476"/>
      <c r="B153" s="457"/>
      <c r="C153" s="457"/>
      <c r="D153" s="457"/>
      <c r="E153" s="457"/>
      <c r="F153" s="457"/>
      <c r="G153" s="457"/>
      <c r="H153" s="457"/>
      <c r="I153" s="457"/>
      <c r="J153" s="457"/>
      <c r="K153" s="457"/>
      <c r="L153" s="457"/>
      <c r="M153" s="457"/>
      <c r="N153" s="457"/>
      <c r="O153" s="457"/>
      <c r="P153" s="457"/>
      <c r="Q153" s="457"/>
      <c r="R153" s="457"/>
      <c r="S153" s="457"/>
      <c r="T153" s="457"/>
      <c r="U153" s="457"/>
      <c r="V153" s="457"/>
      <c r="W153" s="457"/>
      <c r="X153" s="457"/>
      <c r="Y153" s="457"/>
      <c r="Z153" s="457"/>
      <c r="AA153" s="457"/>
      <c r="AB153" s="457"/>
      <c r="AC153" s="457"/>
      <c r="AD153" s="457"/>
      <c r="AE153" s="457"/>
      <c r="AF153" s="457"/>
      <c r="AG153" s="457"/>
      <c r="AH153" s="457"/>
      <c r="AI153" s="457"/>
      <c r="AJ153" s="457"/>
      <c r="AK153" s="457"/>
      <c r="AL153" s="457"/>
      <c r="AM153" s="457"/>
      <c r="AN153" s="457"/>
      <c r="AO153" s="457"/>
      <c r="AP153" s="457"/>
      <c r="AQ153" s="457"/>
      <c r="AR153" s="457"/>
      <c r="AS153" s="457"/>
      <c r="AT153" s="457"/>
    </row>
    <row r="154" spans="1:46" x14ac:dyDescent="0.25">
      <c r="A154" s="476"/>
      <c r="B154" s="457"/>
      <c r="C154" s="457"/>
      <c r="D154" s="457"/>
      <c r="E154" s="457"/>
      <c r="F154" s="457"/>
      <c r="G154" s="457"/>
      <c r="H154" s="457"/>
      <c r="I154" s="457"/>
      <c r="J154" s="457"/>
      <c r="K154" s="457"/>
      <c r="L154" s="457"/>
      <c r="M154" s="457"/>
      <c r="N154" s="457"/>
      <c r="O154" s="457"/>
      <c r="P154" s="457"/>
      <c r="Q154" s="457"/>
      <c r="R154" s="457"/>
      <c r="S154" s="457"/>
      <c r="T154" s="457"/>
      <c r="U154" s="457"/>
      <c r="V154" s="457"/>
      <c r="W154" s="457"/>
      <c r="X154" s="457"/>
      <c r="Y154" s="457"/>
      <c r="Z154" s="457"/>
      <c r="AA154" s="457"/>
      <c r="AB154" s="457"/>
      <c r="AC154" s="457"/>
      <c r="AD154" s="457"/>
      <c r="AE154" s="457"/>
      <c r="AF154" s="457"/>
      <c r="AG154" s="457"/>
      <c r="AH154" s="457"/>
      <c r="AI154" s="457"/>
      <c r="AJ154" s="457"/>
      <c r="AK154" s="457"/>
      <c r="AL154" s="457"/>
      <c r="AM154" s="457"/>
      <c r="AN154" s="457"/>
      <c r="AO154" s="457"/>
      <c r="AP154" s="457"/>
      <c r="AQ154" s="457"/>
      <c r="AR154" s="457"/>
      <c r="AS154" s="457"/>
      <c r="AT154" s="457"/>
    </row>
    <row r="155" spans="1:46" x14ac:dyDescent="0.25">
      <c r="A155" s="476"/>
      <c r="B155" s="457"/>
      <c r="C155" s="457"/>
      <c r="D155" s="457"/>
      <c r="E155" s="457"/>
      <c r="F155" s="457"/>
      <c r="G155" s="457"/>
      <c r="H155" s="457"/>
      <c r="I155" s="457"/>
      <c r="J155" s="457"/>
      <c r="K155" s="457"/>
      <c r="L155" s="457"/>
      <c r="M155" s="457"/>
      <c r="N155" s="457"/>
      <c r="O155" s="457"/>
      <c r="P155" s="457"/>
      <c r="Q155" s="457"/>
      <c r="R155" s="457"/>
      <c r="S155" s="457"/>
      <c r="T155" s="457"/>
      <c r="U155" s="457"/>
      <c r="V155" s="457"/>
      <c r="W155" s="457"/>
      <c r="X155" s="457"/>
      <c r="Y155" s="457"/>
      <c r="Z155" s="457"/>
      <c r="AA155" s="457"/>
      <c r="AB155" s="457"/>
      <c r="AC155" s="457"/>
      <c r="AD155" s="457"/>
      <c r="AE155" s="457"/>
      <c r="AF155" s="457"/>
      <c r="AG155" s="457"/>
      <c r="AH155" s="457"/>
      <c r="AI155" s="457"/>
      <c r="AJ155" s="457"/>
      <c r="AK155" s="457"/>
      <c r="AL155" s="457"/>
      <c r="AM155" s="457"/>
      <c r="AN155" s="457"/>
      <c r="AO155" s="457"/>
      <c r="AP155" s="457"/>
      <c r="AQ155" s="457"/>
      <c r="AR155" s="457"/>
      <c r="AS155" s="457"/>
      <c r="AT155" s="457"/>
    </row>
    <row r="156" spans="1:46" x14ac:dyDescent="0.25">
      <c r="A156" s="476"/>
      <c r="B156" s="457"/>
      <c r="C156" s="457"/>
      <c r="D156" s="457"/>
      <c r="E156" s="457"/>
      <c r="F156" s="457"/>
      <c r="G156" s="457"/>
      <c r="H156" s="457"/>
      <c r="I156" s="457"/>
      <c r="J156" s="457"/>
      <c r="K156" s="457"/>
      <c r="L156" s="457"/>
      <c r="M156" s="457"/>
      <c r="N156" s="457"/>
      <c r="O156" s="457"/>
      <c r="P156" s="457"/>
      <c r="Q156" s="457"/>
      <c r="R156" s="457"/>
      <c r="S156" s="457"/>
      <c r="T156" s="457"/>
      <c r="U156" s="457"/>
      <c r="V156" s="457"/>
      <c r="W156" s="457"/>
      <c r="X156" s="457"/>
      <c r="Y156" s="457"/>
      <c r="Z156" s="457"/>
      <c r="AA156" s="457"/>
      <c r="AB156" s="457"/>
      <c r="AC156" s="457"/>
      <c r="AD156" s="457"/>
      <c r="AE156" s="457"/>
      <c r="AF156" s="457"/>
      <c r="AG156" s="457"/>
      <c r="AH156" s="457"/>
      <c r="AI156" s="457"/>
      <c r="AJ156" s="457"/>
      <c r="AK156" s="457"/>
      <c r="AL156" s="457"/>
      <c r="AM156" s="457"/>
      <c r="AN156" s="457"/>
      <c r="AO156" s="457"/>
      <c r="AP156" s="457"/>
      <c r="AQ156" s="457"/>
      <c r="AR156" s="457"/>
      <c r="AS156" s="457"/>
      <c r="AT156" s="457"/>
    </row>
    <row r="157" spans="1:46" x14ac:dyDescent="0.25">
      <c r="A157" s="476"/>
      <c r="B157" s="457"/>
      <c r="C157" s="457"/>
      <c r="D157" s="457"/>
      <c r="E157" s="457"/>
      <c r="F157" s="457"/>
      <c r="G157" s="457"/>
      <c r="H157" s="457"/>
      <c r="I157" s="457"/>
      <c r="J157" s="457"/>
      <c r="K157" s="457"/>
      <c r="L157" s="457"/>
      <c r="M157" s="457"/>
      <c r="N157" s="457"/>
      <c r="O157" s="457"/>
      <c r="P157" s="457"/>
      <c r="Q157" s="457"/>
      <c r="R157" s="457"/>
      <c r="S157" s="457"/>
      <c r="T157" s="457"/>
      <c r="U157" s="457"/>
      <c r="V157" s="457"/>
      <c r="W157" s="457"/>
      <c r="X157" s="457"/>
      <c r="Y157" s="457"/>
      <c r="Z157" s="457"/>
      <c r="AA157" s="457"/>
      <c r="AB157" s="457"/>
      <c r="AC157" s="457"/>
      <c r="AD157" s="457"/>
      <c r="AE157" s="457"/>
      <c r="AF157" s="457"/>
      <c r="AG157" s="457"/>
      <c r="AH157" s="457"/>
      <c r="AI157" s="457"/>
      <c r="AJ157" s="457"/>
      <c r="AK157" s="457"/>
      <c r="AL157" s="457"/>
      <c r="AM157" s="457"/>
      <c r="AN157" s="457"/>
      <c r="AO157" s="457"/>
      <c r="AP157" s="457"/>
      <c r="AQ157" s="457"/>
      <c r="AR157" s="457"/>
      <c r="AS157" s="457"/>
      <c r="AT157" s="457"/>
    </row>
    <row r="158" spans="1:46" x14ac:dyDescent="0.25">
      <c r="A158" s="476"/>
      <c r="B158" s="457"/>
      <c r="C158" s="457"/>
      <c r="D158" s="457"/>
      <c r="E158" s="457"/>
      <c r="F158" s="457"/>
      <c r="G158" s="457"/>
      <c r="H158" s="457"/>
      <c r="I158" s="457"/>
      <c r="J158" s="457"/>
      <c r="K158" s="457"/>
      <c r="L158" s="457"/>
      <c r="M158" s="457"/>
      <c r="N158" s="457"/>
      <c r="O158" s="457"/>
      <c r="P158" s="457"/>
      <c r="Q158" s="457"/>
      <c r="R158" s="457"/>
      <c r="S158" s="457"/>
      <c r="T158" s="457"/>
      <c r="U158" s="457"/>
      <c r="V158" s="457"/>
      <c r="W158" s="457"/>
      <c r="X158" s="457"/>
      <c r="Y158" s="457"/>
      <c r="Z158" s="457"/>
      <c r="AA158" s="457"/>
      <c r="AB158" s="457"/>
      <c r="AC158" s="457"/>
      <c r="AD158" s="457"/>
      <c r="AE158" s="457"/>
      <c r="AF158" s="457"/>
      <c r="AG158" s="457"/>
      <c r="AH158" s="457"/>
      <c r="AI158" s="457"/>
      <c r="AJ158" s="457"/>
      <c r="AK158" s="457"/>
      <c r="AL158" s="457"/>
      <c r="AM158" s="457"/>
      <c r="AN158" s="457"/>
      <c r="AO158" s="457"/>
      <c r="AP158" s="457"/>
      <c r="AQ158" s="457"/>
      <c r="AR158" s="457"/>
      <c r="AS158" s="457"/>
      <c r="AT158" s="457"/>
    </row>
    <row r="159" spans="1:46" x14ac:dyDescent="0.25">
      <c r="A159" s="476"/>
      <c r="B159" s="457"/>
      <c r="C159" s="457"/>
      <c r="D159" s="457"/>
      <c r="E159" s="457"/>
      <c r="F159" s="457"/>
      <c r="G159" s="457"/>
      <c r="H159" s="457"/>
      <c r="I159" s="457"/>
      <c r="J159" s="457"/>
      <c r="K159" s="457"/>
      <c r="L159" s="457"/>
      <c r="M159" s="457"/>
      <c r="N159" s="457"/>
      <c r="O159" s="457"/>
      <c r="P159" s="457"/>
      <c r="Q159" s="457"/>
      <c r="R159" s="457"/>
      <c r="S159" s="457"/>
      <c r="T159" s="457"/>
      <c r="U159" s="457"/>
      <c r="V159" s="457"/>
      <c r="W159" s="457"/>
      <c r="X159" s="457"/>
      <c r="Y159" s="457"/>
      <c r="Z159" s="457"/>
      <c r="AA159" s="457"/>
      <c r="AB159" s="457"/>
      <c r="AC159" s="457"/>
      <c r="AD159" s="457"/>
      <c r="AE159" s="457"/>
      <c r="AF159" s="457"/>
      <c r="AG159" s="457"/>
      <c r="AH159" s="457"/>
      <c r="AI159" s="457"/>
      <c r="AJ159" s="457"/>
      <c r="AK159" s="457"/>
      <c r="AL159" s="457"/>
      <c r="AM159" s="457"/>
      <c r="AN159" s="457"/>
      <c r="AO159" s="457"/>
      <c r="AP159" s="457"/>
      <c r="AQ159" s="457"/>
      <c r="AR159" s="457"/>
      <c r="AS159" s="457"/>
      <c r="AT159" s="457"/>
    </row>
    <row r="161" spans="2:46" x14ac:dyDescent="0.25">
      <c r="B161" s="495" t="s">
        <v>489</v>
      </c>
      <c r="C161" s="495" t="s">
        <v>489</v>
      </c>
      <c r="D161" s="495" t="s">
        <v>489</v>
      </c>
      <c r="E161" s="495"/>
      <c r="F161" s="495"/>
      <c r="G161" s="495"/>
      <c r="H161" s="495" t="s">
        <v>489</v>
      </c>
      <c r="I161" s="495" t="s">
        <v>489</v>
      </c>
      <c r="J161" s="495" t="s">
        <v>489</v>
      </c>
      <c r="K161" s="495"/>
      <c r="L161" s="495"/>
      <c r="M161" s="495"/>
      <c r="N161" s="495" t="s">
        <v>489</v>
      </c>
      <c r="O161" s="495" t="s">
        <v>489</v>
      </c>
      <c r="P161" s="495" t="s">
        <v>489</v>
      </c>
      <c r="Q161" s="495"/>
      <c r="R161" s="495"/>
      <c r="S161" s="495"/>
      <c r="T161" s="495" t="s">
        <v>489</v>
      </c>
      <c r="U161" s="495" t="s">
        <v>489</v>
      </c>
      <c r="V161" s="495" t="s">
        <v>489</v>
      </c>
      <c r="W161" s="495"/>
      <c r="X161" s="495"/>
      <c r="Y161" s="495"/>
      <c r="Z161" s="495" t="s">
        <v>489</v>
      </c>
      <c r="AA161" s="495" t="s">
        <v>489</v>
      </c>
      <c r="AB161" s="495" t="s">
        <v>489</v>
      </c>
      <c r="AC161" s="495"/>
      <c r="AD161" s="495"/>
      <c r="AE161" s="495"/>
      <c r="AF161" s="495" t="s">
        <v>489</v>
      </c>
      <c r="AG161" s="495" t="s">
        <v>489</v>
      </c>
      <c r="AH161" s="495" t="s">
        <v>489</v>
      </c>
      <c r="AI161" s="495"/>
      <c r="AJ161" s="495"/>
      <c r="AK161" s="495"/>
      <c r="AL161" s="495" t="s">
        <v>489</v>
      </c>
      <c r="AM161" s="495" t="s">
        <v>489</v>
      </c>
      <c r="AN161" s="495" t="s">
        <v>489</v>
      </c>
      <c r="AO161" s="495"/>
      <c r="AP161" s="495"/>
      <c r="AQ161" s="495"/>
      <c r="AR161" s="495" t="s">
        <v>489</v>
      </c>
      <c r="AS161" s="495" t="s">
        <v>489</v>
      </c>
      <c r="AT161" s="495" t="s">
        <v>489</v>
      </c>
    </row>
  </sheetData>
  <hyperlinks>
    <hyperlink ref="B161" r:id="rId1" xr:uid="{44037A2C-3E04-4D9A-9893-0F3AA35F6BC1}"/>
    <hyperlink ref="C161" r:id="rId2" xr:uid="{F20952C1-CE1C-43C0-B2DC-EF1269BCE42B}"/>
    <hyperlink ref="D161" r:id="rId3" xr:uid="{2810D939-06DC-4E71-AE8A-8D477D19AD67}"/>
    <hyperlink ref="H161" r:id="rId4" xr:uid="{D0D2F3D8-E642-4E6D-8748-0D24FF052794}"/>
    <hyperlink ref="I161" r:id="rId5" xr:uid="{B29EB3D7-7221-47D3-9F25-DA5BB5319D61}"/>
    <hyperlink ref="J161" r:id="rId6" xr:uid="{AA775250-7FBD-4996-B651-3C819013BF5B}"/>
    <hyperlink ref="N161" r:id="rId7" xr:uid="{6E719D76-395F-4FC7-98CD-DF49A46B7A70}"/>
    <hyperlink ref="P161" r:id="rId8" xr:uid="{0729632F-0F99-48E1-973A-7D11227651BB}"/>
    <hyperlink ref="T161" r:id="rId9" xr:uid="{04C7B7A1-45D0-439D-B9C9-07A4DD73E54C}"/>
    <hyperlink ref="U161" r:id="rId10" xr:uid="{CBEEC3F5-E00B-4C57-8CEA-423020E62A51}"/>
    <hyperlink ref="V161" r:id="rId11" xr:uid="{C79C50B0-1538-4E10-AECF-B98DBF09C591}"/>
    <hyperlink ref="Z161" r:id="rId12" xr:uid="{FD5907BB-C120-4E6F-BDB1-BE37345B884A}"/>
    <hyperlink ref="AA161" r:id="rId13" xr:uid="{97605B78-2D9A-4F25-B1B8-3FAF2FB0065C}"/>
    <hyperlink ref="AB161" r:id="rId14" xr:uid="{4A8A1A9A-4A51-424B-8A11-278A39155216}"/>
    <hyperlink ref="AF161" r:id="rId15" xr:uid="{CC8AB49F-96E6-4481-AF77-3F80A614B30C}"/>
    <hyperlink ref="AG161" r:id="rId16" xr:uid="{342F432C-CCEE-4AF6-B793-EC8524DB886F}"/>
    <hyperlink ref="AN161" r:id="rId17" xr:uid="{225B8A92-ECF1-4EE5-A7FA-CBAE8552BCD4}"/>
    <hyperlink ref="AR161" r:id="rId18" xr:uid="{7B39B6E0-FABB-4AAF-B1F6-624940B19F49}"/>
    <hyperlink ref="AS161" r:id="rId19" xr:uid="{64CB7894-EEFE-4978-98B6-83AED90A0644}"/>
    <hyperlink ref="AT161" r:id="rId20" xr:uid="{2BC31DAB-1C49-405D-B1DD-7C915D3EA73B}"/>
    <hyperlink ref="AM161" r:id="rId21" xr:uid="{295F59D2-8A8F-476E-A08D-F887C7E7178A}"/>
    <hyperlink ref="AL161" r:id="rId22" xr:uid="{FED3EF42-38F5-4069-8710-FDBD2895E3C5}"/>
    <hyperlink ref="AH161" r:id="rId23" xr:uid="{C51623B9-B5C0-4782-9A72-D9AD451D92FF}"/>
    <hyperlink ref="O161" r:id="rId24" xr:uid="{9EBE1E02-F11C-4336-83FD-E7AA26844738}"/>
  </hyperlinks>
  <pageMargins left="0.75" right="0.75" top="1" bottom="1" header="0.5" footer="0.5"/>
  <legacyDrawing r:id="rId2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58fdd7fd-7210-441b-9c22-7be44b8bb90e" origin="userSelected"/>
</file>

<file path=customXml/itemProps1.xml><?xml version="1.0" encoding="utf-8"?>
<ds:datastoreItem xmlns:ds="http://schemas.openxmlformats.org/officeDocument/2006/customXml" ds:itemID="{B7BAA639-79DC-4C38-A885-B669AF4014E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MW UPLOAD</vt:lpstr>
      <vt:lpstr>Capitalization</vt:lpstr>
      <vt:lpstr>Relative to Street</vt:lpstr>
      <vt:lpstr>Business Build-up</vt:lpstr>
      <vt:lpstr>Model</vt:lpstr>
      <vt:lpstr>Annual</vt:lpstr>
      <vt:lpstr>WACC</vt:lpstr>
      <vt:lpstr>RV Backups&gt;&gt;</vt:lpstr>
      <vt:lpstr>Check with Street</vt:lpstr>
      <vt:lpstr>Operating Leverage</vt:lpstr>
      <vt:lpstr>CFS Raw Data</vt:lpstr>
      <vt:lpstr>'Relative to Street'!Print_Area</vt:lpstr>
      <vt:lpstr>WACC!Print_Area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asadz</dc:creator>
  <cp:lastModifiedBy>ben.katar@gmail.com</cp:lastModifiedBy>
  <dcterms:created xsi:type="dcterms:W3CDTF">2020-07-28T22:20:41Z</dcterms:created>
  <dcterms:modified xsi:type="dcterms:W3CDTF">2025-01-03T05:55:17Z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docIndexRef">
    <vt:lpwstr>e0f075da-88ac-4e66-8d50-cb502c04b87b</vt:lpwstr>
  </property>
  <property fmtid="{D5CDD505-2E9C-101B-9397-08002B2CF9AE}" pid="6" name="bjDocumentSecurityLabel">
    <vt:lpwstr>No Marking</vt:lpwstr>
  </property>
  <property fmtid="{D5CDD505-2E9C-101B-9397-08002B2CF9AE}" pid="7" name="bjSaver">
    <vt:lpwstr>IVLHsEd46XejggVExHXLVsxI0Dod9jfI</vt:lpwstr>
  </property>
  <property fmtid="{D5CDD505-2E9C-101B-9397-08002B2CF9AE}" pid="8" name="bjClsUserRVM">
    <vt:lpwstr>[]</vt:lpwstr>
  </property>
</Properties>
</file>