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stein\OneDrive\Documenten\GitHub\FD-SVV\"/>
    </mc:Choice>
  </mc:AlternateContent>
  <xr:revisionPtr revIDLastSave="210" documentId="11_AEBC38A82301594CF7714661F787B44D67DFA48D" xr6:coauthVersionLast="41" xr6:coauthVersionMax="41" xr10:uidLastSave="{43EFCBE5-C2F0-4514-9B82-4B100CE57A59}"/>
  <bookViews>
    <workbookView xWindow="732" yWindow="732" windowWidth="17280" windowHeight="8964" activeTab="1" xr2:uid="{00000000-000D-0000-FFFF-FFFF00000000}"/>
  </bookViews>
  <sheets>
    <sheet name="Sheet1" sheetId="2" r:id="rId1"/>
    <sheet name="Sheet3" sheetId="3" r:id="rId2"/>
  </sheets>
  <calcPr calcId="19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0" i="3" l="1"/>
  <c r="I110" i="3"/>
  <c r="I108" i="3"/>
  <c r="H142" i="3"/>
  <c r="H136" i="3"/>
  <c r="F123" i="3"/>
  <c r="I123" i="3"/>
  <c r="I122" i="3"/>
  <c r="I121" i="3"/>
  <c r="I120" i="3"/>
  <c r="I119" i="3"/>
  <c r="F96" i="3"/>
  <c r="H96" i="3"/>
  <c r="B114" i="3"/>
  <c r="D116" i="3"/>
  <c r="F111" i="3"/>
  <c r="F109" i="3"/>
  <c r="F112" i="3"/>
  <c r="I112" i="3"/>
  <c r="I111" i="3"/>
  <c r="I109" i="3"/>
  <c r="H95" i="3"/>
  <c r="H94" i="3"/>
  <c r="H92" i="3"/>
  <c r="B144" i="3"/>
  <c r="B101" i="3"/>
  <c r="B100" i="3"/>
  <c r="B99" i="3"/>
  <c r="M84" i="3"/>
  <c r="B92" i="3"/>
  <c r="H93" i="3"/>
  <c r="B102" i="3"/>
  <c r="D102" i="3"/>
  <c r="F95" i="3"/>
  <c r="F93" i="3"/>
  <c r="F110" i="3"/>
  <c r="F108" i="3"/>
  <c r="F94" i="3"/>
  <c r="F92" i="3"/>
  <c r="E142" i="3"/>
  <c r="E136" i="3"/>
  <c r="F122" i="3"/>
  <c r="F121" i="3"/>
  <c r="F120" i="3"/>
  <c r="F119" i="3"/>
  <c r="B139" i="3"/>
  <c r="B142" i="3"/>
  <c r="B143" i="3"/>
  <c r="B136" i="3"/>
  <c r="B132" i="3"/>
  <c r="E134" i="3"/>
  <c r="E132" i="3"/>
  <c r="B119" i="3"/>
  <c r="B120" i="3"/>
  <c r="B125" i="3"/>
  <c r="B127" i="3"/>
  <c r="B126" i="3"/>
  <c r="D129" i="3"/>
  <c r="B129" i="3"/>
  <c r="B116" i="3"/>
  <c r="B113" i="3"/>
  <c r="B112" i="3"/>
  <c r="B105" i="3"/>
  <c r="B97" i="3"/>
  <c r="N84" i="3"/>
  <c r="N85" i="3"/>
  <c r="N86" i="3"/>
  <c r="N87" i="3"/>
  <c r="N88" i="3"/>
  <c r="N83" i="3"/>
  <c r="M85" i="3"/>
  <c r="M86" i="3"/>
  <c r="M87" i="3"/>
  <c r="M88" i="3"/>
  <c r="M83" i="3"/>
  <c r="F83" i="3"/>
  <c r="E84" i="3"/>
  <c r="E85" i="3"/>
  <c r="E86" i="3"/>
  <c r="E87" i="3"/>
  <c r="E88" i="3"/>
  <c r="E83" i="3"/>
</calcChain>
</file>

<file path=xl/sharedStrings.xml><?xml version="1.0" encoding="utf-8"?>
<sst xmlns="http://schemas.openxmlformats.org/spreadsheetml/2006/main" count="402" uniqueCount="153">
  <si>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</si>
  <si>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</si>
  <si>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</si>
  <si>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</si>
  <si>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</si>
  <si>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</si>
  <si>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</si>
  <si>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</si>
  <si>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</si>
  <si>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</si>
  <si>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</si>
  <si>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</si>
  <si>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</si>
  <si>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</si>
  <si>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</si>
  <si>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</si>
  <si>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</si>
  <si>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</si>
  <si>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</si>
  <si>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</si>
  <si>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</si>
  <si>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</si>
  <si>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</si>
  <si>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</si>
  <si>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</si>
  <si>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</si>
  <si>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</si>
  <si>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</si>
  <si>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</si>
  <si>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</si>
  <si>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</si>
  <si>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</si>
  <si>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</si>
  <si>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</si>
  <si>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</si>
  <si>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</si>
  <si>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</si>
  <si>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</si>
  <si>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</si>
  <si>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</si>
  <si>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</si>
  <si>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</si>
  <si>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</si>
  <si>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</si>
  <si>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</si>
  <si>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</si>
  <si>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</si>
  <si>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</si>
  <si>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</si>
  <si>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</si>
  <si>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</si>
  <si>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</si>
  <si>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</si>
  <si>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</si>
  <si>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</si>
  <si>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</si>
  <si>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</si>
  <si>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</si>
  <si>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</si>
  <si>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</si>
  <si>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Mitchel</t>
  </si>
  <si>
    <t>3R</t>
  </si>
  <si>
    <t>Cockpit</t>
  </si>
  <si>
    <t>eenenvijftig03</t>
  </si>
  <si>
    <t>tweeenvijftif03</t>
  </si>
  <si>
    <t>zevenenveertig40</t>
  </si>
  <si>
    <t>zesenveertig50</t>
  </si>
  <si>
    <t>Daan</t>
  </si>
  <si>
    <t>Erik</t>
  </si>
  <si>
    <t>Stein</t>
  </si>
  <si>
    <t>Tommy</t>
  </si>
  <si>
    <t>Nick</t>
  </si>
  <si>
    <t>vierenvijftig40</t>
  </si>
  <si>
    <t>vijfenveertig47</t>
  </si>
  <si>
    <t>time elapsed</t>
  </si>
  <si>
    <t>[kg]</t>
  </si>
  <si>
    <t>mass flow</t>
  </si>
  <si>
    <t>[lbs/sec]</t>
  </si>
  <si>
    <t>momentary mass computed</t>
  </si>
  <si>
    <t>momentary mass found</t>
  </si>
  <si>
    <t>density</t>
  </si>
  <si>
    <t>[kg/m^3]</t>
  </si>
  <si>
    <t>S</t>
  </si>
  <si>
    <t>[m^2]</t>
  </si>
  <si>
    <t>c</t>
  </si>
  <si>
    <t>[m]</t>
  </si>
  <si>
    <t>b</t>
  </si>
  <si>
    <t>mu_c</t>
  </si>
  <si>
    <t>[-]</t>
  </si>
  <si>
    <t>mu_b</t>
  </si>
  <si>
    <t>SPIRAL</t>
  </si>
  <si>
    <t xml:space="preserve">mu_c </t>
  </si>
  <si>
    <t>k_y^2</t>
  </si>
  <si>
    <t>C_z_alpha</t>
  </si>
  <si>
    <t>C_m_alphadot</t>
  </si>
  <si>
    <t>C_m_q</t>
  </si>
  <si>
    <t>C_m_alpha</t>
  </si>
  <si>
    <t>A_short</t>
  </si>
  <si>
    <t>B_short</t>
  </si>
  <si>
    <t>C_short</t>
  </si>
  <si>
    <t>eigenvalue_short</t>
  </si>
  <si>
    <t>plus/min j</t>
  </si>
  <si>
    <t>SHORT PERIOD</t>
  </si>
  <si>
    <t>PHUGOID</t>
  </si>
  <si>
    <t>Theta0</t>
  </si>
  <si>
    <t>C_x_u</t>
  </si>
  <si>
    <t>V_t_0</t>
  </si>
  <si>
    <t>C_m_u</t>
  </si>
  <si>
    <t>C_x_alpha</t>
  </si>
  <si>
    <t>C_z_u</t>
  </si>
  <si>
    <t>C_z_0</t>
  </si>
  <si>
    <t>A_phu</t>
  </si>
  <si>
    <t>B_phu</t>
  </si>
  <si>
    <t>C_phu</t>
  </si>
  <si>
    <t>eigenvalue_phu</t>
  </si>
  <si>
    <t>DUTCH ROLL</t>
  </si>
  <si>
    <t>K_z^2</t>
  </si>
  <si>
    <t>C_n_r</t>
  </si>
  <si>
    <t>C_y_beta</t>
  </si>
  <si>
    <t>C_n_beta</t>
  </si>
  <si>
    <t>A_dr</t>
  </si>
  <si>
    <t>B_dr</t>
  </si>
  <si>
    <t>C_dr</t>
  </si>
  <si>
    <t>eigenvalue_dr</t>
  </si>
  <si>
    <t>C_L</t>
  </si>
  <si>
    <t xml:space="preserve">w </t>
  </si>
  <si>
    <t>C_l_beta</t>
  </si>
  <si>
    <t>v_t_0</t>
  </si>
  <si>
    <t>C_l_r</t>
  </si>
  <si>
    <t>rho</t>
  </si>
  <si>
    <t>C_l_p</t>
  </si>
  <si>
    <t>c_n_p</t>
  </si>
  <si>
    <t>eigenvalue_spiral</t>
  </si>
  <si>
    <t>APERIODIC ROLL</t>
  </si>
  <si>
    <t>K_x^2</t>
  </si>
  <si>
    <t>eigenvalue_aper_roll</t>
  </si>
  <si>
    <t>Period P</t>
  </si>
  <si>
    <t>V</t>
  </si>
  <si>
    <t>[m/s]</t>
  </si>
  <si>
    <t>damping ratio</t>
  </si>
  <si>
    <t>half time</t>
  </si>
  <si>
    <t>omega0</t>
  </si>
  <si>
    <t>omega_n</t>
  </si>
  <si>
    <t>Period</t>
  </si>
  <si>
    <t>damp ratio</t>
  </si>
  <si>
    <t>period</t>
  </si>
  <si>
    <t xml:space="preserve">half time </t>
  </si>
  <si>
    <t>omega 0</t>
  </si>
  <si>
    <t>NOTE THIS IS UNSTABLE SO IT IS TIME TO DOUBLE AMPLITUDE</t>
  </si>
  <si>
    <t xml:space="preserve"> </t>
  </si>
  <si>
    <t xml:space="preserve"> j</t>
  </si>
  <si>
    <t>analytical</t>
  </si>
  <si>
    <t>numerical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</si>
</sst>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.00000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46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0" fontId="0" fillId="2" borderId="0" xfId="0" applyFill="1"/>
    <xf numFmtId="0" fontId="2" fillId="0" borderId="0" xfId="0" applyFont="1"/>
    <xf numFmtId="0" fontId="3" fillId="0" borderId="0" xfId="0" applyFont="1"/>
    <xf numFmtId="165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01785" y="987780"/>
          <a:ext cx="1830315" cy="33324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1435" y="987780"/>
          <a:ext cx="2373240" cy="33324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view="pageBreakPreview" topLeftCell="A64" zoomScaleNormal="100" zoomScaleSheetLayoutView="100" workbookViewId="0">
      <selection activeCell="M84" sqref="A1:M84"/>
    </sheetView>
  </sheetViews>
  <sheetFormatPr defaultRowHeight="14.4" x14ac:dyDescent="0.3"/>
  <cols>
    <col min="2" max="2" width="13.44140625" bestFit="1" customWidth="1"/>
    <col min="3" max="3" width="7.88671875" bestFit="1" customWidth="1"/>
    <col min="4" max="4" width="8.33203125" bestFit="1" customWidth="1"/>
  </cols>
  <sheetData>
    <row r="1" spans="1:8" x14ac:dyDescent="0.3">
      <c r="A1" s="1" t="s">
        <v>0</v>
      </c>
    </row>
    <row r="3" spans="1:8" x14ac:dyDescent="0.3">
      <c r="A3" t="s">
        <v>1</v>
      </c>
      <c r="D3" s="7">
        <v>43529</v>
      </c>
      <c r="F3" t="s">
        <v>2</v>
      </c>
      <c r="H3" s="2"/>
    </row>
    <row r="4" spans="1:8" x14ac:dyDescent="0.3">
      <c r="A4" t="s">
        <v>3</v>
      </c>
      <c r="D4" s="2">
        <v>4</v>
      </c>
      <c r="F4" t="s">
        <v>4</v>
      </c>
      <c r="H4" s="2"/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8</v>
      </c>
      <c r="D8" s="2"/>
      <c r="H8" s="2">
        <v>89</v>
      </c>
    </row>
    <row r="9" spans="1:8" x14ac:dyDescent="0.3">
      <c r="A9" t="s">
        <v>9</v>
      </c>
      <c r="D9" s="2"/>
      <c r="H9" s="2">
        <v>92</v>
      </c>
    </row>
    <row r="10" spans="1:8" x14ac:dyDescent="0.3">
      <c r="A10" t="s">
        <v>10</v>
      </c>
      <c r="D10" s="2"/>
      <c r="H10" s="2">
        <v>156</v>
      </c>
    </row>
    <row r="11" spans="1:8" x14ac:dyDescent="0.3">
      <c r="A11" t="s">
        <v>11</v>
      </c>
      <c r="D11" s="2" t="s">
        <v>67</v>
      </c>
      <c r="H11" s="2">
        <v>85</v>
      </c>
    </row>
    <row r="12" spans="1:8" x14ac:dyDescent="0.3">
      <c r="A12" t="s">
        <v>12</v>
      </c>
      <c r="D12" s="2" t="s">
        <v>68</v>
      </c>
      <c r="H12" s="2">
        <v>87</v>
      </c>
    </row>
    <row r="13" spans="1:8" x14ac:dyDescent="0.3">
      <c r="A13" t="s">
        <v>13</v>
      </c>
      <c r="D13" s="2" t="s">
        <v>69</v>
      </c>
      <c r="H13" s="2">
        <v>90</v>
      </c>
    </row>
    <row r="14" spans="1:8" x14ac:dyDescent="0.3">
      <c r="A14" t="s">
        <v>14</v>
      </c>
      <c r="D14" s="2" t="s">
        <v>70</v>
      </c>
      <c r="H14" s="2">
        <v>74</v>
      </c>
    </row>
    <row r="15" spans="1:8" x14ac:dyDescent="0.3">
      <c r="A15" t="s">
        <v>15</v>
      </c>
      <c r="D15" s="2" t="s">
        <v>71</v>
      </c>
      <c r="H15" s="2">
        <v>89</v>
      </c>
    </row>
    <row r="16" spans="1:8" x14ac:dyDescent="0.3">
      <c r="A16" t="s">
        <v>16</v>
      </c>
      <c r="D16" s="2" t="s">
        <v>60</v>
      </c>
      <c r="H16" s="2">
        <v>94.5</v>
      </c>
    </row>
    <row r="18" spans="1:10" x14ac:dyDescent="0.3">
      <c r="A18" t="s">
        <v>17</v>
      </c>
      <c r="D18" s="2">
        <v>2750</v>
      </c>
    </row>
    <row r="21" spans="1:10" x14ac:dyDescent="0.3">
      <c r="A21" s="1" t="s">
        <v>18</v>
      </c>
    </row>
    <row r="23" spans="1:10" x14ac:dyDescent="0.3">
      <c r="A23" t="s">
        <v>19</v>
      </c>
      <c r="E23" t="s">
        <v>20</v>
      </c>
    </row>
    <row r="25" spans="1:10" x14ac:dyDescent="0.3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3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3">
      <c r="A28">
        <v>1</v>
      </c>
      <c r="B28" s="4">
        <v>0.77777777777777779</v>
      </c>
      <c r="C28" s="2">
        <v>1120</v>
      </c>
      <c r="D28" s="2">
        <v>8000</v>
      </c>
      <c r="E28" s="2">
        <v>250</v>
      </c>
      <c r="F28" s="2">
        <v>1.4</v>
      </c>
      <c r="G28" s="2">
        <v>732</v>
      </c>
      <c r="H28" s="2">
        <v>777</v>
      </c>
      <c r="I28" s="2">
        <v>405</v>
      </c>
      <c r="J28" s="2">
        <v>2</v>
      </c>
    </row>
    <row r="29" spans="1:10" x14ac:dyDescent="0.3">
      <c r="A29">
        <v>2</v>
      </c>
      <c r="B29" s="4">
        <v>0.84305555555555556</v>
      </c>
      <c r="C29" s="2">
        <v>1214</v>
      </c>
      <c r="D29" s="2">
        <v>8000</v>
      </c>
      <c r="E29" s="2">
        <v>219</v>
      </c>
      <c r="F29" s="2">
        <v>2.1</v>
      </c>
      <c r="G29" s="2">
        <v>605</v>
      </c>
      <c r="H29" s="2">
        <v>650</v>
      </c>
      <c r="I29" s="2">
        <v>440</v>
      </c>
      <c r="J29" s="2">
        <v>-0.5</v>
      </c>
    </row>
    <row r="30" spans="1:10" x14ac:dyDescent="0.3">
      <c r="A30">
        <v>3</v>
      </c>
      <c r="B30" s="4">
        <v>0.91041666666666676</v>
      </c>
      <c r="C30" s="2">
        <v>1311</v>
      </c>
      <c r="D30" s="2">
        <v>8000</v>
      </c>
      <c r="E30" s="2">
        <v>190</v>
      </c>
      <c r="F30" s="2">
        <v>3.3</v>
      </c>
      <c r="G30" s="2">
        <v>506</v>
      </c>
      <c r="H30" s="2">
        <v>546</v>
      </c>
      <c r="I30" s="2">
        <v>469</v>
      </c>
      <c r="J30" s="2">
        <v>-2.8</v>
      </c>
    </row>
    <row r="31" spans="1:10" x14ac:dyDescent="0.3">
      <c r="A31">
        <v>4</v>
      </c>
      <c r="B31" s="6">
        <v>1.0194444444444444</v>
      </c>
      <c r="C31" s="2">
        <v>1468</v>
      </c>
      <c r="D31" s="2">
        <v>8000</v>
      </c>
      <c r="E31" s="2">
        <v>160</v>
      </c>
      <c r="F31" s="2">
        <v>5.2</v>
      </c>
      <c r="G31" s="2">
        <v>421</v>
      </c>
      <c r="H31" s="2">
        <v>473</v>
      </c>
      <c r="I31" s="2">
        <v>500</v>
      </c>
      <c r="J31" s="2">
        <v>-4.2</v>
      </c>
    </row>
    <row r="32" spans="1:10" x14ac:dyDescent="0.3">
      <c r="A32">
        <v>5</v>
      </c>
      <c r="B32" s="6">
        <v>1.1104166666666666</v>
      </c>
      <c r="C32" s="2">
        <v>1599</v>
      </c>
      <c r="D32" s="2">
        <v>8010</v>
      </c>
      <c r="E32" s="2">
        <v>132</v>
      </c>
      <c r="F32" s="2">
        <v>7.7</v>
      </c>
      <c r="G32" s="2">
        <v>410</v>
      </c>
      <c r="H32" s="2">
        <v>444</v>
      </c>
      <c r="I32" s="2">
        <v>530</v>
      </c>
      <c r="J32" s="2">
        <v>-5.5</v>
      </c>
    </row>
    <row r="33" spans="1:10" x14ac:dyDescent="0.3">
      <c r="A33">
        <v>6</v>
      </c>
      <c r="B33" s="6">
        <v>1.2013888888888888</v>
      </c>
      <c r="C33" s="2">
        <v>1730</v>
      </c>
      <c r="D33" s="2">
        <v>8000</v>
      </c>
      <c r="E33" s="2">
        <v>114</v>
      </c>
      <c r="F33" s="2">
        <v>11.1</v>
      </c>
      <c r="G33" s="2">
        <v>397</v>
      </c>
      <c r="H33" s="2">
        <v>430</v>
      </c>
      <c r="I33" s="2">
        <v>555</v>
      </c>
      <c r="J33" s="2">
        <v>-6</v>
      </c>
    </row>
    <row r="34" spans="1:10" x14ac:dyDescent="0.3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C35" t="s">
        <v>39</v>
      </c>
    </row>
    <row r="37" spans="1:10" x14ac:dyDescent="0.3">
      <c r="A37" s="1" t="s">
        <v>40</v>
      </c>
    </row>
    <row r="39" spans="1:10" x14ac:dyDescent="0.3">
      <c r="A39" t="s">
        <v>41</v>
      </c>
      <c r="E39" s="2"/>
    </row>
    <row r="41" spans="1:10" x14ac:dyDescent="0.3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3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3">
      <c r="A44">
        <v>1</v>
      </c>
      <c r="B44" s="5"/>
      <c r="C44" s="2"/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5"/>
      <c r="C45" s="2"/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5"/>
      <c r="C46" s="2"/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5"/>
      <c r="C47" s="2"/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5"/>
      <c r="C48" s="2"/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5"/>
      <c r="C49" s="2"/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5"/>
      <c r="C50" s="2"/>
      <c r="D50" s="2"/>
      <c r="E50" s="2"/>
      <c r="F50" s="2"/>
      <c r="G50" s="2"/>
      <c r="H50" s="2"/>
      <c r="I50" s="2"/>
      <c r="J50" s="2"/>
    </row>
    <row r="51" spans="1:13" x14ac:dyDescent="0.3">
      <c r="C51" t="s">
        <v>39</v>
      </c>
    </row>
    <row r="52" spans="1:13" x14ac:dyDescent="0.3">
      <c r="A52" s="1" t="s">
        <v>43</v>
      </c>
    </row>
    <row r="54" spans="1:13" x14ac:dyDescent="0.3">
      <c r="A54" t="s">
        <v>19</v>
      </c>
      <c r="E54" t="s">
        <v>20</v>
      </c>
    </row>
    <row r="56" spans="1:13" x14ac:dyDescent="0.3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3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3">
      <c r="A59">
        <v>1</v>
      </c>
      <c r="B59" s="5">
        <v>33.159999999999997</v>
      </c>
      <c r="C59" s="2">
        <v>1996</v>
      </c>
      <c r="D59" s="2">
        <v>7970</v>
      </c>
      <c r="E59" s="2">
        <v>161</v>
      </c>
      <c r="F59" s="2">
        <v>5</v>
      </c>
      <c r="G59" s="2">
        <v>-0.4</v>
      </c>
      <c r="H59" s="2">
        <v>2</v>
      </c>
      <c r="I59" s="2">
        <v>0</v>
      </c>
      <c r="J59" s="2">
        <v>412</v>
      </c>
      <c r="K59" s="2">
        <v>446</v>
      </c>
      <c r="L59" s="2">
        <v>620</v>
      </c>
      <c r="M59" s="2">
        <v>-4.5</v>
      </c>
    </row>
    <row r="60" spans="1:13" x14ac:dyDescent="0.3">
      <c r="A60">
        <v>2</v>
      </c>
      <c r="B60" s="5"/>
      <c r="C60" s="2">
        <v>2072</v>
      </c>
      <c r="D60" s="2">
        <v>8120</v>
      </c>
      <c r="E60" s="2">
        <v>150</v>
      </c>
      <c r="F60" s="2">
        <v>5.9</v>
      </c>
      <c r="G60" s="2">
        <v>-0.9</v>
      </c>
      <c r="H60" s="2">
        <v>2</v>
      </c>
      <c r="I60" s="2">
        <v>-16</v>
      </c>
      <c r="J60" s="2">
        <v>409</v>
      </c>
      <c r="K60" s="2">
        <v>443</v>
      </c>
      <c r="L60" s="2">
        <v>642</v>
      </c>
      <c r="M60" s="2">
        <v>-4.9000000000000004</v>
      </c>
    </row>
    <row r="61" spans="1:13" x14ac:dyDescent="0.3">
      <c r="A61">
        <v>3</v>
      </c>
      <c r="B61" s="5"/>
      <c r="C61" s="2">
        <v>2150</v>
      </c>
      <c r="D61" s="2">
        <v>8350</v>
      </c>
      <c r="E61" s="2">
        <v>140</v>
      </c>
      <c r="F61" s="2">
        <v>6.8</v>
      </c>
      <c r="G61" s="2">
        <v>-1.4</v>
      </c>
      <c r="H61" s="2">
        <v>2</v>
      </c>
      <c r="I61" s="2">
        <v>-29</v>
      </c>
      <c r="J61" s="2">
        <v>406</v>
      </c>
      <c r="K61" s="2">
        <v>440</v>
      </c>
      <c r="L61" s="2">
        <v>658</v>
      </c>
      <c r="M61" s="2">
        <v>-5.9</v>
      </c>
    </row>
    <row r="62" spans="1:13" x14ac:dyDescent="0.3">
      <c r="A62">
        <v>4</v>
      </c>
      <c r="B62" s="5"/>
      <c r="C62" s="2">
        <v>2222</v>
      </c>
      <c r="D62" s="2">
        <v>8550</v>
      </c>
      <c r="E62" s="2">
        <v>131</v>
      </c>
      <c r="F62" s="2">
        <v>7.9</v>
      </c>
      <c r="G62" s="2">
        <v>-2</v>
      </c>
      <c r="H62" s="2">
        <v>2</v>
      </c>
      <c r="I62" s="2">
        <v>-41</v>
      </c>
      <c r="J62" s="2">
        <v>402</v>
      </c>
      <c r="K62" s="2">
        <v>433</v>
      </c>
      <c r="L62" s="2">
        <v>675</v>
      </c>
      <c r="M62" s="2">
        <v>-6.5</v>
      </c>
    </row>
    <row r="63" spans="1:13" x14ac:dyDescent="0.3">
      <c r="A63">
        <v>5</v>
      </c>
      <c r="B63" s="5"/>
      <c r="C63" s="2">
        <v>2358</v>
      </c>
      <c r="D63" s="2">
        <v>7800</v>
      </c>
      <c r="E63" s="2">
        <v>170</v>
      </c>
      <c r="F63" s="2">
        <v>4.2</v>
      </c>
      <c r="G63" s="2">
        <v>-0.1</v>
      </c>
      <c r="H63" s="2">
        <v>2</v>
      </c>
      <c r="I63" s="2">
        <v>-19</v>
      </c>
      <c r="J63" s="2">
        <v>416</v>
      </c>
      <c r="K63" s="2">
        <v>452</v>
      </c>
      <c r="L63" s="2">
        <v>708</v>
      </c>
      <c r="M63" s="2">
        <v>-3.5</v>
      </c>
    </row>
    <row r="64" spans="1:13" x14ac:dyDescent="0.3">
      <c r="A64">
        <v>6</v>
      </c>
      <c r="B64" s="5"/>
      <c r="C64" s="2">
        <v>2430</v>
      </c>
      <c r="D64" s="2">
        <v>7320</v>
      </c>
      <c r="E64" s="2">
        <v>181</v>
      </c>
      <c r="F64" s="2">
        <v>3.6</v>
      </c>
      <c r="G64" s="2">
        <v>0.2</v>
      </c>
      <c r="H64" s="2">
        <v>2</v>
      </c>
      <c r="I64" s="2">
        <v>40</v>
      </c>
      <c r="J64" s="2">
        <v>424</v>
      </c>
      <c r="K64" s="2">
        <v>460</v>
      </c>
      <c r="L64" s="2">
        <v>726</v>
      </c>
      <c r="M64" s="2">
        <v>-2</v>
      </c>
    </row>
    <row r="65" spans="1:13" x14ac:dyDescent="0.3">
      <c r="A65">
        <v>7</v>
      </c>
      <c r="B65" s="5"/>
      <c r="C65" s="2">
        <v>2516</v>
      </c>
      <c r="D65" s="2">
        <v>6850</v>
      </c>
      <c r="E65" s="2">
        <v>188</v>
      </c>
      <c r="F65" s="2">
        <v>3.3</v>
      </c>
      <c r="G65" s="2">
        <v>0.5</v>
      </c>
      <c r="H65" s="2">
        <v>2</v>
      </c>
      <c r="I65" s="2">
        <v>51</v>
      </c>
      <c r="J65" s="2">
        <v>433</v>
      </c>
      <c r="K65" s="2">
        <v>468</v>
      </c>
      <c r="L65" s="2">
        <v>740</v>
      </c>
      <c r="M65" s="2">
        <v>-0.2</v>
      </c>
    </row>
    <row r="66" spans="1:13" x14ac:dyDescent="0.3">
      <c r="C66" t="s">
        <v>39</v>
      </c>
    </row>
    <row r="68" spans="1:13" x14ac:dyDescent="0.3">
      <c r="A68" s="1" t="s">
        <v>48</v>
      </c>
    </row>
    <row r="70" spans="1:13" x14ac:dyDescent="0.3">
      <c r="A70" t="s">
        <v>49</v>
      </c>
      <c r="C70" s="2" t="s">
        <v>60</v>
      </c>
    </row>
    <row r="71" spans="1:13" x14ac:dyDescent="0.3">
      <c r="A71" t="s">
        <v>50</v>
      </c>
      <c r="C71" s="2" t="s">
        <v>61</v>
      </c>
      <c r="E71" t="s">
        <v>51</v>
      </c>
      <c r="H71" s="2" t="s">
        <v>62</v>
      </c>
    </row>
    <row r="73" spans="1:13" x14ac:dyDescent="0.3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3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3">
      <c r="A75">
        <v>1</v>
      </c>
      <c r="B75" s="5"/>
      <c r="C75" s="2">
        <v>2595</v>
      </c>
      <c r="D75" s="2">
        <v>7100</v>
      </c>
      <c r="E75" s="2">
        <v>158</v>
      </c>
      <c r="F75" s="2">
        <v>5.0999999999999996</v>
      </c>
      <c r="G75" s="2">
        <v>-0.5</v>
      </c>
      <c r="H75" s="2">
        <v>1.8</v>
      </c>
      <c r="I75" s="2">
        <v>0</v>
      </c>
      <c r="J75" s="2">
        <v>422</v>
      </c>
      <c r="K75" s="2">
        <v>458</v>
      </c>
      <c r="L75" s="2">
        <v>767</v>
      </c>
      <c r="M75" s="2">
        <v>-2.8</v>
      </c>
    </row>
    <row r="76" spans="1:13" x14ac:dyDescent="0.3">
      <c r="A76">
        <v>2</v>
      </c>
      <c r="B76" s="5"/>
      <c r="C76" s="2">
        <v>2680</v>
      </c>
      <c r="D76" s="2">
        <v>7090</v>
      </c>
      <c r="E76" s="2">
        <v>159</v>
      </c>
      <c r="F76" s="2">
        <v>5.0999999999999996</v>
      </c>
      <c r="G76" s="2">
        <v>-1.1000000000000001</v>
      </c>
      <c r="H76" s="2">
        <v>1.8</v>
      </c>
      <c r="I76" s="2">
        <v>-25</v>
      </c>
      <c r="J76" s="2">
        <v>422</v>
      </c>
      <c r="K76" s="2">
        <v>458</v>
      </c>
      <c r="L76" s="2">
        <v>788</v>
      </c>
      <c r="M76" s="2">
        <v>-2.8</v>
      </c>
    </row>
    <row r="77" spans="1:13" x14ac:dyDescent="0.3">
      <c r="C77" t="s">
        <v>39</v>
      </c>
    </row>
    <row r="79" spans="1:13" x14ac:dyDescent="0.3">
      <c r="A79" s="1" t="s">
        <v>52</v>
      </c>
    </row>
    <row r="81" spans="1:10" x14ac:dyDescent="0.3">
      <c r="D81" t="s">
        <v>53</v>
      </c>
      <c r="G81" t="s">
        <v>53</v>
      </c>
      <c r="J81" t="s">
        <v>53</v>
      </c>
    </row>
    <row r="82" spans="1:10" x14ac:dyDescent="0.3">
      <c r="D82" t="s">
        <v>42</v>
      </c>
      <c r="G82" t="s">
        <v>42</v>
      </c>
      <c r="J82" t="s">
        <v>42</v>
      </c>
    </row>
    <row r="83" spans="1:10" x14ac:dyDescent="0.3">
      <c r="A83" t="s">
        <v>54</v>
      </c>
      <c r="D83" s="5" t="s">
        <v>65</v>
      </c>
      <c r="E83" t="s">
        <v>55</v>
      </c>
      <c r="G83" s="5" t="s">
        <v>63</v>
      </c>
      <c r="H83" t="s">
        <v>56</v>
      </c>
      <c r="J83" s="5" t="s">
        <v>73</v>
      </c>
    </row>
    <row r="84" spans="1:10" x14ac:dyDescent="0.3">
      <c r="A84" t="s">
        <v>57</v>
      </c>
      <c r="D84" s="5" t="s">
        <v>66</v>
      </c>
      <c r="E84" t="s">
        <v>58</v>
      </c>
      <c r="G84" s="5" t="s">
        <v>64</v>
      </c>
      <c r="H84" t="s">
        <v>59</v>
      </c>
      <c r="J84" s="5" t="s">
        <v>72</v>
      </c>
    </row>
  </sheetData>
  <sheetProtection selectLockedCells="1"/>
  <conditionalFormatting sqref="B34:J34 D28:J31 B28:B31">
    <cfRule type="expression" priority="1">
      <formula>LEN(TRIM(B28))=0</formula>
    </cfRule>
  </conditionalFormatting>
  <conditionalFormatting sqref="D18">
    <cfRule type="expression" priority="2">
      <formula>LEN(TRIM(D18))=0</formula>
    </cfRule>
  </conditionalFormatting>
  <conditionalFormatting sqref="B32:J33">
    <cfRule type="expression" priority="3">
      <formula>LEN(TRIM(B32))=0</formula>
    </cfRule>
  </conditionalFormatting>
  <conditionalFormatting sqref="C59:M65">
    <cfRule type="expression" priority="4">
      <formula>LEN(TRIM(C59))=0</formula>
    </cfRule>
  </conditionalFormatting>
  <conditionalFormatting sqref="C44:J50">
    <cfRule type="expression" priority="5">
      <formula>LEN(TRIM(C44))=0</formula>
    </cfRule>
  </conditionalFormatting>
  <conditionalFormatting sqref="C70">
    <cfRule type="expression" priority="6">
      <formula>LEN(TRIM(C70))=0</formula>
    </cfRule>
  </conditionalFormatting>
  <conditionalFormatting sqref="C71">
    <cfRule type="expression" priority="7">
      <formula>LEN(TRIM(C71))=0</formula>
    </cfRule>
  </conditionalFormatting>
  <conditionalFormatting sqref="H71">
    <cfRule type="expression" priority="8">
      <formula>LEN(TRIM(H71))=0</formula>
    </cfRule>
  </conditionalFormatting>
  <conditionalFormatting sqref="B75:M76">
    <cfRule type="expression" priority="9">
      <formula>LEN(TRIM(B75))=0</formula>
    </cfRule>
  </conditionalFormatting>
  <conditionalFormatting sqref="D3:D4">
    <cfRule type="expression" priority="10">
      <formula>LEN(TRIM(D3))=0</formula>
    </cfRule>
  </conditionalFormatting>
  <conditionalFormatting sqref="E39">
    <cfRule type="expression" priority="11">
      <formula>LEN(TRIM(E39))=0</formula>
    </cfRule>
  </conditionalFormatting>
  <conditionalFormatting sqref="D83:D84">
    <cfRule type="expression" priority="12">
      <formula>LEN(TRIM(D83))=0</formula>
    </cfRule>
  </conditionalFormatting>
  <conditionalFormatting sqref="G83:G84">
    <cfRule type="expression" priority="13">
      <formula>LEN(TRIM(G83))=0</formula>
    </cfRule>
  </conditionalFormatting>
  <conditionalFormatting sqref="J83:J84">
    <cfRule type="expression" priority="14">
      <formula>LEN(TRIM(J83))=0</formula>
    </cfRule>
  </conditionalFormatting>
  <conditionalFormatting sqref="B59:B65">
    <cfRule type="expression" priority="15">
      <formula>LEN(TRIM(B59))=0</formula>
    </cfRule>
  </conditionalFormatting>
  <conditionalFormatting sqref="B44:B50">
    <cfRule type="expression" priority="16">
      <formula>LEN(TRIM(B44))=0</formula>
    </cfRule>
  </conditionalFormatting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4"/>
  <sheetViews>
    <sheetView tabSelected="1" topLeftCell="A89" workbookViewId="0">
      <selection activeCell="B110" sqref="B110"/>
    </sheetView>
  </sheetViews>
  <sheetFormatPr defaultRowHeight="14.4" x14ac:dyDescent="0.3"/>
  <cols>
    <col min="1" max="1" width="18.77734375" customWidth="1"/>
    <col min="5" max="5" width="23.21875" customWidth="1"/>
    <col min="6" max="6" width="20.44140625" bestFit="1" customWidth="1"/>
    <col min="8" max="8" width="22.109375" customWidth="1"/>
  </cols>
  <sheetData>
    <row r="1" spans="1:8" x14ac:dyDescent="0.3">
      <c r="A1" s="1" t="s">
        <v>0</v>
      </c>
    </row>
    <row r="3" spans="1:8" x14ac:dyDescent="0.3">
      <c r="A3" t="s">
        <v>1</v>
      </c>
      <c r="D3" s="7">
        <v>43529</v>
      </c>
      <c r="F3" t="s">
        <v>2</v>
      </c>
      <c r="H3" s="2"/>
    </row>
    <row r="4" spans="1:8" x14ac:dyDescent="0.3">
      <c r="A4" t="s">
        <v>3</v>
      </c>
      <c r="D4" s="2">
        <v>4</v>
      </c>
      <c r="F4" t="s">
        <v>4</v>
      </c>
      <c r="H4" s="2"/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8</v>
      </c>
      <c r="D8" s="2"/>
      <c r="H8" s="2">
        <v>89</v>
      </c>
    </row>
    <row r="9" spans="1:8" x14ac:dyDescent="0.3">
      <c r="A9" t="s">
        <v>9</v>
      </c>
      <c r="D9" s="2"/>
      <c r="H9" s="2">
        <v>92</v>
      </c>
    </row>
    <row r="10" spans="1:8" x14ac:dyDescent="0.3">
      <c r="A10" t="s">
        <v>10</v>
      </c>
      <c r="D10" s="2"/>
      <c r="H10" s="2">
        <v>156</v>
      </c>
    </row>
    <row r="11" spans="1:8" x14ac:dyDescent="0.3">
      <c r="A11" t="s">
        <v>11</v>
      </c>
      <c r="D11" s="2" t="s">
        <v>67</v>
      </c>
      <c r="H11" s="2">
        <v>85</v>
      </c>
    </row>
    <row r="12" spans="1:8" x14ac:dyDescent="0.3">
      <c r="A12" t="s">
        <v>12</v>
      </c>
      <c r="D12" s="2" t="s">
        <v>68</v>
      </c>
      <c r="H12" s="2">
        <v>87</v>
      </c>
    </row>
    <row r="13" spans="1:8" x14ac:dyDescent="0.3">
      <c r="A13" t="s">
        <v>13</v>
      </c>
      <c r="D13" s="2" t="s">
        <v>69</v>
      </c>
      <c r="H13" s="2">
        <v>90</v>
      </c>
    </row>
    <row r="14" spans="1:8" x14ac:dyDescent="0.3">
      <c r="A14" t="s">
        <v>14</v>
      </c>
      <c r="D14" s="2" t="s">
        <v>70</v>
      </c>
      <c r="H14" s="2">
        <v>74</v>
      </c>
    </row>
    <row r="15" spans="1:8" x14ac:dyDescent="0.3">
      <c r="A15" t="s">
        <v>15</v>
      </c>
      <c r="D15" s="2" t="s">
        <v>71</v>
      </c>
      <c r="H15" s="2">
        <v>89</v>
      </c>
    </row>
    <row r="16" spans="1:8" x14ac:dyDescent="0.3">
      <c r="A16" t="s">
        <v>16</v>
      </c>
      <c r="D16" s="2" t="s">
        <v>60</v>
      </c>
      <c r="H16" s="2">
        <v>94.5</v>
      </c>
    </row>
    <row r="18" spans="1:10" x14ac:dyDescent="0.3">
      <c r="A18" t="s">
        <v>17</v>
      </c>
      <c r="D18" s="2">
        <v>2750</v>
      </c>
    </row>
    <row r="21" spans="1:10" x14ac:dyDescent="0.3">
      <c r="A21" s="1" t="s">
        <v>18</v>
      </c>
    </row>
    <row r="23" spans="1:10" x14ac:dyDescent="0.3">
      <c r="A23" t="s">
        <v>19</v>
      </c>
      <c r="E23" t="s">
        <v>20</v>
      </c>
    </row>
    <row r="25" spans="1:10" x14ac:dyDescent="0.3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3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3">
      <c r="A28">
        <v>1</v>
      </c>
      <c r="B28" s="4">
        <v>0.77777777777777779</v>
      </c>
      <c r="C28" s="2">
        <v>1120</v>
      </c>
      <c r="D28" s="2">
        <v>8000</v>
      </c>
      <c r="E28" s="2">
        <v>250</v>
      </c>
      <c r="F28" s="2">
        <v>1.4</v>
      </c>
      <c r="G28" s="2">
        <v>732</v>
      </c>
      <c r="H28" s="2">
        <v>777</v>
      </c>
      <c r="I28" s="2">
        <v>405</v>
      </c>
      <c r="J28" s="2">
        <v>2</v>
      </c>
    </row>
    <row r="29" spans="1:10" x14ac:dyDescent="0.3">
      <c r="A29">
        <v>2</v>
      </c>
      <c r="B29" s="4">
        <v>0.84305555555555556</v>
      </c>
      <c r="C29" s="2">
        <v>1214</v>
      </c>
      <c r="D29" s="2">
        <v>8000</v>
      </c>
      <c r="E29" s="2">
        <v>219</v>
      </c>
      <c r="F29" s="2">
        <v>2.1</v>
      </c>
      <c r="G29" s="2">
        <v>605</v>
      </c>
      <c r="H29" s="2">
        <v>650</v>
      </c>
      <c r="I29" s="2">
        <v>440</v>
      </c>
      <c r="J29" s="2">
        <v>-0.5</v>
      </c>
    </row>
    <row r="30" spans="1:10" x14ac:dyDescent="0.3">
      <c r="A30">
        <v>3</v>
      </c>
      <c r="B30" s="4">
        <v>0.91041666666666676</v>
      </c>
      <c r="C30" s="2">
        <v>1311</v>
      </c>
      <c r="D30" s="2">
        <v>8000</v>
      </c>
      <c r="E30" s="2">
        <v>190</v>
      </c>
      <c r="F30" s="2">
        <v>3.3</v>
      </c>
      <c r="G30" s="2">
        <v>506</v>
      </c>
      <c r="H30" s="2">
        <v>546</v>
      </c>
      <c r="I30" s="2">
        <v>469</v>
      </c>
      <c r="J30" s="2">
        <v>-2.8</v>
      </c>
    </row>
    <row r="31" spans="1:10" x14ac:dyDescent="0.3">
      <c r="A31">
        <v>4</v>
      </c>
      <c r="B31" s="6">
        <v>1.0194444444444444</v>
      </c>
      <c r="C31" s="2">
        <v>1468</v>
      </c>
      <c r="D31" s="2">
        <v>8000</v>
      </c>
      <c r="E31" s="2">
        <v>160</v>
      </c>
      <c r="F31" s="2">
        <v>5.2</v>
      </c>
      <c r="G31" s="2">
        <v>421</v>
      </c>
      <c r="H31" s="2">
        <v>473</v>
      </c>
      <c r="I31" s="2">
        <v>500</v>
      </c>
      <c r="J31" s="2">
        <v>-4.2</v>
      </c>
    </row>
    <row r="32" spans="1:10" x14ac:dyDescent="0.3">
      <c r="A32">
        <v>5</v>
      </c>
      <c r="B32" s="6">
        <v>1.1104166666666666</v>
      </c>
      <c r="C32" s="2">
        <v>1599</v>
      </c>
      <c r="D32" s="2">
        <v>8010</v>
      </c>
      <c r="E32" s="2">
        <v>132</v>
      </c>
      <c r="F32" s="2">
        <v>7.7</v>
      </c>
      <c r="G32" s="2">
        <v>410</v>
      </c>
      <c r="H32" s="2">
        <v>444</v>
      </c>
      <c r="I32" s="2">
        <v>530</v>
      </c>
      <c r="J32" s="2">
        <v>-5.5</v>
      </c>
    </row>
    <row r="33" spans="1:10" x14ac:dyDescent="0.3">
      <c r="A33">
        <v>6</v>
      </c>
      <c r="B33" s="6">
        <v>1.2013888888888888</v>
      </c>
      <c r="C33" s="2">
        <v>1730</v>
      </c>
      <c r="D33" s="2">
        <v>8000</v>
      </c>
      <c r="E33" s="2">
        <v>114</v>
      </c>
      <c r="F33" s="2">
        <v>11.1</v>
      </c>
      <c r="G33" s="2">
        <v>397</v>
      </c>
      <c r="H33" s="2">
        <v>430</v>
      </c>
      <c r="I33" s="2">
        <v>555</v>
      </c>
      <c r="J33" s="2">
        <v>-6</v>
      </c>
    </row>
    <row r="34" spans="1:10" x14ac:dyDescent="0.3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C35" t="s">
        <v>39</v>
      </c>
    </row>
    <row r="37" spans="1:10" x14ac:dyDescent="0.3">
      <c r="A37" s="1" t="s">
        <v>40</v>
      </c>
    </row>
    <row r="39" spans="1:10" x14ac:dyDescent="0.3">
      <c r="A39" t="s">
        <v>41</v>
      </c>
      <c r="E39" s="2"/>
    </row>
    <row r="41" spans="1:10" x14ac:dyDescent="0.3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3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3">
      <c r="A44">
        <v>1</v>
      </c>
      <c r="B44" s="5"/>
      <c r="C44" s="2"/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5"/>
      <c r="C45" s="2"/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5"/>
      <c r="C46" s="2"/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5"/>
      <c r="C47" s="2"/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5"/>
      <c r="C48" s="2"/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5"/>
      <c r="C49" s="2"/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5"/>
      <c r="C50" s="2"/>
      <c r="D50" s="2"/>
      <c r="E50" s="2"/>
      <c r="F50" s="2"/>
      <c r="G50" s="2"/>
      <c r="H50" s="2"/>
      <c r="I50" s="2"/>
      <c r="J50" s="2"/>
    </row>
    <row r="51" spans="1:13" x14ac:dyDescent="0.3">
      <c r="C51" t="s">
        <v>39</v>
      </c>
    </row>
    <row r="52" spans="1:13" x14ac:dyDescent="0.3">
      <c r="A52" s="1" t="s">
        <v>43</v>
      </c>
    </row>
    <row r="54" spans="1:13" x14ac:dyDescent="0.3">
      <c r="A54" t="s">
        <v>19</v>
      </c>
      <c r="E54" t="s">
        <v>20</v>
      </c>
    </row>
    <row r="56" spans="1:13" x14ac:dyDescent="0.3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3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3">
      <c r="A59">
        <v>1</v>
      </c>
      <c r="B59" s="5">
        <v>33.159999999999997</v>
      </c>
      <c r="C59" s="2">
        <v>1996</v>
      </c>
      <c r="D59" s="2">
        <v>7970</v>
      </c>
      <c r="E59" s="2">
        <v>161</v>
      </c>
      <c r="F59" s="2">
        <v>5</v>
      </c>
      <c r="G59" s="2">
        <v>-0.4</v>
      </c>
      <c r="H59" s="2">
        <v>2</v>
      </c>
      <c r="I59" s="2">
        <v>0</v>
      </c>
      <c r="J59" s="2">
        <v>412</v>
      </c>
      <c r="K59" s="2">
        <v>446</v>
      </c>
      <c r="L59" s="2">
        <v>620</v>
      </c>
      <c r="M59" s="2">
        <v>-4.5</v>
      </c>
    </row>
    <row r="60" spans="1:13" x14ac:dyDescent="0.3">
      <c r="A60">
        <v>2</v>
      </c>
      <c r="B60" s="5"/>
      <c r="C60" s="2">
        <v>2072</v>
      </c>
      <c r="D60" s="2">
        <v>8120</v>
      </c>
      <c r="E60" s="2">
        <v>150</v>
      </c>
      <c r="F60" s="2">
        <v>5.9</v>
      </c>
      <c r="G60" s="2">
        <v>-0.9</v>
      </c>
      <c r="H60" s="2">
        <v>2</v>
      </c>
      <c r="I60" s="2">
        <v>-16</v>
      </c>
      <c r="J60" s="2">
        <v>409</v>
      </c>
      <c r="K60" s="2">
        <v>443</v>
      </c>
      <c r="L60" s="2">
        <v>642</v>
      </c>
      <c r="M60" s="2">
        <v>-4.9000000000000004</v>
      </c>
    </row>
    <row r="61" spans="1:13" x14ac:dyDescent="0.3">
      <c r="A61">
        <v>3</v>
      </c>
      <c r="B61" s="5"/>
      <c r="C61" s="2">
        <v>2150</v>
      </c>
      <c r="D61" s="2">
        <v>8350</v>
      </c>
      <c r="E61" s="2">
        <v>140</v>
      </c>
      <c r="F61" s="2">
        <v>6.8</v>
      </c>
      <c r="G61" s="2">
        <v>-1.4</v>
      </c>
      <c r="H61" s="2">
        <v>2</v>
      </c>
      <c r="I61" s="2">
        <v>-29</v>
      </c>
      <c r="J61" s="2">
        <v>406</v>
      </c>
      <c r="K61" s="2">
        <v>440</v>
      </c>
      <c r="L61" s="2">
        <v>658</v>
      </c>
      <c r="M61" s="2">
        <v>-5.9</v>
      </c>
    </row>
    <row r="62" spans="1:13" x14ac:dyDescent="0.3">
      <c r="A62">
        <v>4</v>
      </c>
      <c r="B62" s="5"/>
      <c r="C62" s="2">
        <v>2222</v>
      </c>
      <c r="D62" s="2">
        <v>8550</v>
      </c>
      <c r="E62" s="2">
        <v>131</v>
      </c>
      <c r="F62" s="2">
        <v>7.9</v>
      </c>
      <c r="G62" s="2">
        <v>-2</v>
      </c>
      <c r="H62" s="2">
        <v>2</v>
      </c>
      <c r="I62" s="2">
        <v>-41</v>
      </c>
      <c r="J62" s="2">
        <v>402</v>
      </c>
      <c r="K62" s="2">
        <v>433</v>
      </c>
      <c r="L62" s="2">
        <v>675</v>
      </c>
      <c r="M62" s="2">
        <v>-6.5</v>
      </c>
    </row>
    <row r="63" spans="1:13" x14ac:dyDescent="0.3">
      <c r="A63">
        <v>5</v>
      </c>
      <c r="B63" s="5"/>
      <c r="C63" s="2">
        <v>2358</v>
      </c>
      <c r="D63" s="2">
        <v>7800</v>
      </c>
      <c r="E63" s="2">
        <v>170</v>
      </c>
      <c r="F63" s="2">
        <v>4.2</v>
      </c>
      <c r="G63" s="2">
        <v>-0.1</v>
      </c>
      <c r="H63" s="2">
        <v>2</v>
      </c>
      <c r="I63" s="2">
        <v>-19</v>
      </c>
      <c r="J63" s="2">
        <v>416</v>
      </c>
      <c r="K63" s="2">
        <v>452</v>
      </c>
      <c r="L63" s="2">
        <v>708</v>
      </c>
      <c r="M63" s="2">
        <v>-3.5</v>
      </c>
    </row>
    <row r="64" spans="1:13" x14ac:dyDescent="0.3">
      <c r="A64">
        <v>6</v>
      </c>
      <c r="B64" s="5"/>
      <c r="C64" s="2">
        <v>2430</v>
      </c>
      <c r="D64" s="2">
        <v>7320</v>
      </c>
      <c r="E64" s="2">
        <v>181</v>
      </c>
      <c r="F64" s="2">
        <v>3.6</v>
      </c>
      <c r="G64" s="2">
        <v>0.2</v>
      </c>
      <c r="H64" s="2">
        <v>2</v>
      </c>
      <c r="I64" s="2">
        <v>40</v>
      </c>
      <c r="J64" s="2">
        <v>424</v>
      </c>
      <c r="K64" s="2">
        <v>460</v>
      </c>
      <c r="L64" s="2">
        <v>726</v>
      </c>
      <c r="M64" s="2">
        <v>-2</v>
      </c>
    </row>
    <row r="65" spans="1:13" x14ac:dyDescent="0.3">
      <c r="A65">
        <v>7</v>
      </c>
      <c r="B65" s="5"/>
      <c r="C65" s="2">
        <v>2516</v>
      </c>
      <c r="D65" s="2">
        <v>6850</v>
      </c>
      <c r="E65" s="2">
        <v>188</v>
      </c>
      <c r="F65" s="2">
        <v>3.3</v>
      </c>
      <c r="G65" s="2">
        <v>0.5</v>
      </c>
      <c r="H65" s="2">
        <v>2</v>
      </c>
      <c r="I65" s="2">
        <v>51</v>
      </c>
      <c r="J65" s="2">
        <v>433</v>
      </c>
      <c r="K65" s="2">
        <v>468</v>
      </c>
      <c r="L65" s="2">
        <v>740</v>
      </c>
      <c r="M65" s="2">
        <v>-0.2</v>
      </c>
    </row>
    <row r="66" spans="1:13" x14ac:dyDescent="0.3">
      <c r="C66" t="s">
        <v>39</v>
      </c>
    </row>
    <row r="68" spans="1:13" x14ac:dyDescent="0.3">
      <c r="A68" s="1" t="s">
        <v>48</v>
      </c>
    </row>
    <row r="70" spans="1:13" x14ac:dyDescent="0.3">
      <c r="A70" t="s">
        <v>49</v>
      </c>
      <c r="C70" s="2" t="s">
        <v>60</v>
      </c>
    </row>
    <row r="71" spans="1:13" x14ac:dyDescent="0.3">
      <c r="A71" t="s">
        <v>50</v>
      </c>
      <c r="C71" s="2" t="s">
        <v>61</v>
      </c>
      <c r="E71" t="s">
        <v>51</v>
      </c>
      <c r="H71" s="2" t="s">
        <v>62</v>
      </c>
    </row>
    <row r="73" spans="1:13" x14ac:dyDescent="0.3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3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3">
      <c r="A75">
        <v>1</v>
      </c>
      <c r="B75" s="5"/>
      <c r="C75" s="2">
        <v>2595</v>
      </c>
      <c r="D75" s="2">
        <v>7100</v>
      </c>
      <c r="E75" s="2">
        <v>158</v>
      </c>
      <c r="F75" s="2">
        <v>5.0999999999999996</v>
      </c>
      <c r="G75" s="2">
        <v>-0.5</v>
      </c>
      <c r="H75" s="2">
        <v>1.8</v>
      </c>
      <c r="I75" s="2">
        <v>0</v>
      </c>
      <c r="J75" s="2">
        <v>422</v>
      </c>
      <c r="K75" s="2">
        <v>458</v>
      </c>
      <c r="L75" s="2">
        <v>767</v>
      </c>
      <c r="M75" s="2">
        <v>-2.8</v>
      </c>
    </row>
    <row r="76" spans="1:13" x14ac:dyDescent="0.3">
      <c r="A76">
        <v>2</v>
      </c>
      <c r="B76" s="5"/>
      <c r="C76" s="2">
        <v>2680</v>
      </c>
      <c r="D76" s="2">
        <v>7090</v>
      </c>
      <c r="E76" s="2">
        <v>159</v>
      </c>
      <c r="F76" s="2">
        <v>5.0999999999999996</v>
      </c>
      <c r="G76" s="2">
        <v>-1.1000000000000001</v>
      </c>
      <c r="H76" s="2">
        <v>1.8</v>
      </c>
      <c r="I76" s="2">
        <v>-25</v>
      </c>
      <c r="J76" s="2">
        <v>422</v>
      </c>
      <c r="K76" s="2">
        <v>458</v>
      </c>
      <c r="L76" s="2">
        <v>788</v>
      </c>
      <c r="M76" s="2">
        <v>-2.8</v>
      </c>
    </row>
    <row r="77" spans="1:13" x14ac:dyDescent="0.3">
      <c r="C77" t="s">
        <v>39</v>
      </c>
    </row>
    <row r="79" spans="1:13" x14ac:dyDescent="0.3">
      <c r="A79" s="1" t="s">
        <v>52</v>
      </c>
    </row>
    <row r="81" spans="1:15" x14ac:dyDescent="0.3">
      <c r="C81" t="s">
        <v>74</v>
      </c>
      <c r="D81" t="s">
        <v>53</v>
      </c>
      <c r="E81" s="8" t="s">
        <v>78</v>
      </c>
      <c r="F81" t="s">
        <v>76</v>
      </c>
      <c r="H81" t="s">
        <v>79</v>
      </c>
      <c r="I81" t="s">
        <v>80</v>
      </c>
      <c r="J81" t="s">
        <v>82</v>
      </c>
      <c r="K81" t="s">
        <v>84</v>
      </c>
      <c r="L81" t="s">
        <v>86</v>
      </c>
      <c r="M81" t="s">
        <v>87</v>
      </c>
      <c r="N81" t="s">
        <v>89</v>
      </c>
      <c r="O81" t="s">
        <v>137</v>
      </c>
    </row>
    <row r="82" spans="1:15" x14ac:dyDescent="0.3">
      <c r="C82" t="s">
        <v>32</v>
      </c>
      <c r="D82" t="s">
        <v>42</v>
      </c>
      <c r="E82" s="8" t="s">
        <v>75</v>
      </c>
      <c r="F82" t="s">
        <v>77</v>
      </c>
      <c r="H82" t="s">
        <v>75</v>
      </c>
      <c r="I82" t="s">
        <v>81</v>
      </c>
      <c r="J82" t="s">
        <v>83</v>
      </c>
      <c r="K82" t="s">
        <v>85</v>
      </c>
      <c r="L82" t="s">
        <v>85</v>
      </c>
      <c r="M82" t="s">
        <v>88</v>
      </c>
      <c r="N82" t="s">
        <v>88</v>
      </c>
      <c r="O82" t="s">
        <v>138</v>
      </c>
    </row>
    <row r="83" spans="1:15" x14ac:dyDescent="0.3">
      <c r="A83" t="s">
        <v>56</v>
      </c>
      <c r="C83">
        <v>2738</v>
      </c>
      <c r="D83" s="5" t="s">
        <v>73</v>
      </c>
      <c r="E83" s="8">
        <f t="shared" ref="E83:E88" si="0">($D$18-$L$76-$F$83*(C83-$C$76)+11053.1)*0.453592</f>
        <v>5897.0862054256413</v>
      </c>
      <c r="F83">
        <f>(L76-I28)/(C76-C28)</f>
        <v>0.2455128205128205</v>
      </c>
      <c r="H83">
        <v>5894.16</v>
      </c>
      <c r="I83">
        <v>0.99399999999999999</v>
      </c>
      <c r="J83">
        <v>30</v>
      </c>
      <c r="K83">
        <v>2.0569000000000002</v>
      </c>
      <c r="L83">
        <v>15.911</v>
      </c>
      <c r="M83">
        <f>H83/(I83*J83*K83)</f>
        <v>96.095069126411929</v>
      </c>
      <c r="N83">
        <f>H83/(I83*J83*L83)</f>
        <v>12.422723127780573</v>
      </c>
      <c r="O83">
        <v>90.971999999999994</v>
      </c>
    </row>
    <row r="84" spans="1:15" x14ac:dyDescent="0.3">
      <c r="A84" t="s">
        <v>57</v>
      </c>
      <c r="C84">
        <v>2801</v>
      </c>
      <c r="D84" s="5" t="s">
        <v>66</v>
      </c>
      <c r="E84" s="8">
        <f t="shared" si="0"/>
        <v>5890.0703583948716</v>
      </c>
      <c r="H84">
        <v>5887.16</v>
      </c>
      <c r="I84">
        <v>0.99299999999999999</v>
      </c>
      <c r="J84">
        <v>30</v>
      </c>
      <c r="K84">
        <v>2.0569000000000002</v>
      </c>
      <c r="L84">
        <v>15.911</v>
      </c>
      <c r="M84">
        <f>H84/(I84*J84*K84)</f>
        <v>96.077602611868883</v>
      </c>
      <c r="N84">
        <f t="shared" ref="N84:N88" si="1">H84/(I84*J84*L84)</f>
        <v>12.420465138102768</v>
      </c>
      <c r="O84">
        <v>88.34</v>
      </c>
    </row>
    <row r="85" spans="1:15" x14ac:dyDescent="0.3">
      <c r="A85" t="s">
        <v>54</v>
      </c>
      <c r="C85">
        <v>2851</v>
      </c>
      <c r="D85" s="5" t="s">
        <v>65</v>
      </c>
      <c r="E85" s="8">
        <f t="shared" si="0"/>
        <v>5884.502225830769</v>
      </c>
      <c r="H85">
        <v>5881.65</v>
      </c>
      <c r="I85">
        <v>0.996</v>
      </c>
      <c r="J85">
        <v>30</v>
      </c>
      <c r="K85">
        <v>2.0569000000000002</v>
      </c>
      <c r="L85">
        <v>15.911</v>
      </c>
      <c r="M85">
        <f t="shared" ref="M85:M88" si="2">H85/(I85*J85*K85)</f>
        <v>95.698560687399308</v>
      </c>
      <c r="N85">
        <f t="shared" si="1"/>
        <v>12.371464362888043</v>
      </c>
      <c r="O85">
        <v>93.72</v>
      </c>
    </row>
    <row r="86" spans="1:15" x14ac:dyDescent="0.3">
      <c r="A86" t="s">
        <v>55</v>
      </c>
      <c r="C86">
        <v>3054</v>
      </c>
      <c r="D86" s="5" t="s">
        <v>63</v>
      </c>
      <c r="E86" s="8">
        <f t="shared" si="0"/>
        <v>5861.8956076205122</v>
      </c>
      <c r="H86">
        <v>5858.89</v>
      </c>
      <c r="I86">
        <v>1.0009999999999999</v>
      </c>
      <c r="J86">
        <v>30</v>
      </c>
      <c r="K86">
        <v>2.0569000000000002</v>
      </c>
      <c r="L86">
        <v>15.911</v>
      </c>
      <c r="M86">
        <f t="shared" si="2"/>
        <v>94.852074530230979</v>
      </c>
      <c r="N86">
        <f t="shared" si="1"/>
        <v>12.262034573642898</v>
      </c>
      <c r="O86">
        <v>96.67</v>
      </c>
    </row>
    <row r="87" spans="1:15" x14ac:dyDescent="0.3">
      <c r="A87" t="s">
        <v>58</v>
      </c>
      <c r="C87">
        <v>3114</v>
      </c>
      <c r="D87" s="5" t="s">
        <v>64</v>
      </c>
      <c r="E87" s="8">
        <f t="shared" si="0"/>
        <v>5855.2138485435898</v>
      </c>
      <c r="H87">
        <v>5852.13</v>
      </c>
      <c r="I87">
        <v>1.0009999999999999</v>
      </c>
      <c r="J87">
        <v>30</v>
      </c>
      <c r="K87">
        <v>2.0569000000000002</v>
      </c>
      <c r="L87">
        <v>15.911</v>
      </c>
      <c r="M87">
        <f t="shared" si="2"/>
        <v>94.742634000740864</v>
      </c>
      <c r="N87">
        <f t="shared" si="1"/>
        <v>12.247886611534405</v>
      </c>
      <c r="O87">
        <v>90.11</v>
      </c>
    </row>
    <row r="88" spans="1:15" x14ac:dyDescent="0.3">
      <c r="A88" t="s">
        <v>59</v>
      </c>
      <c r="C88">
        <v>3271</v>
      </c>
      <c r="D88" s="5" t="s">
        <v>72</v>
      </c>
      <c r="E88" s="8">
        <f t="shared" si="0"/>
        <v>5837.7299122923077</v>
      </c>
      <c r="H88">
        <v>5823.93</v>
      </c>
      <c r="I88">
        <v>0.90700000000000003</v>
      </c>
      <c r="J88">
        <v>30</v>
      </c>
      <c r="K88">
        <v>2.0569000000000002</v>
      </c>
      <c r="L88">
        <v>15.911</v>
      </c>
      <c r="M88">
        <f t="shared" si="2"/>
        <v>104.05774888544396</v>
      </c>
      <c r="N88">
        <f t="shared" si="1"/>
        <v>13.452101293600006</v>
      </c>
      <c r="O88">
        <v>90.82</v>
      </c>
    </row>
    <row r="91" spans="1:15" x14ac:dyDescent="0.3">
      <c r="A91" s="9" t="s">
        <v>102</v>
      </c>
    </row>
    <row r="92" spans="1:15" x14ac:dyDescent="0.3">
      <c r="A92" t="s">
        <v>91</v>
      </c>
      <c r="B92">
        <f>M84</f>
        <v>96.077602611868883</v>
      </c>
      <c r="E92" t="s">
        <v>136</v>
      </c>
      <c r="F92">
        <f>(2*PI()*K83)/(D102*O84)</f>
        <v>2.6739489084131689</v>
      </c>
      <c r="H92">
        <f>(2*PI())/(J102)</f>
        <v>2.7199936394716824</v>
      </c>
    </row>
    <row r="93" spans="1:15" x14ac:dyDescent="0.3">
      <c r="A93" t="s">
        <v>92</v>
      </c>
      <c r="B93">
        <v>1.3925000000000001</v>
      </c>
      <c r="E93" t="s">
        <v>139</v>
      </c>
      <c r="F93">
        <f>-B102/SQRT(B102^2+D102^2)</f>
        <v>0.49351190914737447</v>
      </c>
      <c r="H93">
        <f>-H102/SQRT(H102^2+J102^2)</f>
        <v>0.49980901004322331</v>
      </c>
    </row>
    <row r="94" spans="1:15" x14ac:dyDescent="0.3">
      <c r="A94" t="s">
        <v>93</v>
      </c>
      <c r="B94">
        <v>-5.7434000000000003</v>
      </c>
      <c r="E94" t="s">
        <v>140</v>
      </c>
      <c r="F94">
        <f>-(0.693*K88)/(B102*O84)</f>
        <v>0.51975394925266771</v>
      </c>
      <c r="H94">
        <f>-(0.693)/(H102)</f>
        <v>0.51987996999249808</v>
      </c>
    </row>
    <row r="95" spans="1:15" x14ac:dyDescent="0.3">
      <c r="A95" t="s">
        <v>94</v>
      </c>
      <c r="B95">
        <v>0.17799999999999999</v>
      </c>
      <c r="E95" t="s">
        <v>141</v>
      </c>
      <c r="F95">
        <f>SQRT(B102^2+D102^2)*O84/K83</f>
        <v>2.7017042092342085</v>
      </c>
      <c r="H95">
        <f>SQRT(H102^2+J102^2)</f>
        <v>2.6670187475906499</v>
      </c>
    </row>
    <row r="96" spans="1:15" x14ac:dyDescent="0.3">
      <c r="A96" t="s">
        <v>95</v>
      </c>
      <c r="B96">
        <v>-8.7941000000000003</v>
      </c>
      <c r="E96" t="s">
        <v>142</v>
      </c>
      <c r="F96">
        <f>F95*SQRT(1-F93^2)</f>
        <v>2.3497776219323083</v>
      </c>
      <c r="H96">
        <f>H95*SQRT(1-H93^2)</f>
        <v>2.3099999999999996</v>
      </c>
    </row>
    <row r="97" spans="1:11" x14ac:dyDescent="0.3">
      <c r="A97" t="s">
        <v>96</v>
      </c>
      <c r="B97">
        <f>-0.796</f>
        <v>-0.79600000000000004</v>
      </c>
      <c r="F97" t="s">
        <v>151</v>
      </c>
      <c r="H97" t="s">
        <v>152</v>
      </c>
    </row>
    <row r="99" spans="1:11" x14ac:dyDescent="0.3">
      <c r="A99" t="s">
        <v>97</v>
      </c>
      <c r="B99">
        <f>4*(B92^2)*(B93)</f>
        <v>51416.144880698172</v>
      </c>
    </row>
    <row r="100" spans="1:11" x14ac:dyDescent="0.3">
      <c r="A100" t="s">
        <v>98</v>
      </c>
      <c r="B100">
        <f>-2*B92*((B93*B94)+B95+B96)</f>
        <v>3192.4251701404537</v>
      </c>
    </row>
    <row r="101" spans="1:11" x14ac:dyDescent="0.3">
      <c r="A101" t="s">
        <v>99</v>
      </c>
      <c r="B101">
        <f>(B94*B96)-(2*B92*B97)</f>
        <v>203.46357729809529</v>
      </c>
    </row>
    <row r="102" spans="1:11" x14ac:dyDescent="0.3">
      <c r="A102" t="s">
        <v>100</v>
      </c>
      <c r="B102">
        <f>(-B100/(2*B99))</f>
        <v>-3.1044968244389935E-2</v>
      </c>
      <c r="C102" t="s">
        <v>101</v>
      </c>
      <c r="D102">
        <f>(SQRT(4*B99*B101-B100^2)/(2*B99))</f>
        <v>5.4711994459503789E-2</v>
      </c>
      <c r="H102">
        <v>-1.333</v>
      </c>
      <c r="J102">
        <v>2.31</v>
      </c>
      <c r="K102" t="s">
        <v>150</v>
      </c>
    </row>
    <row r="104" spans="1:11" x14ac:dyDescent="0.3">
      <c r="A104" s="9" t="s">
        <v>103</v>
      </c>
    </row>
    <row r="105" spans="1:11" x14ac:dyDescent="0.3">
      <c r="A105" t="s">
        <v>87</v>
      </c>
      <c r="B105">
        <f>M85</f>
        <v>95.698560687399308</v>
      </c>
      <c r="D105" t="s">
        <v>104</v>
      </c>
      <c r="E105">
        <v>7.0040000000000005E-2</v>
      </c>
    </row>
    <row r="106" spans="1:11" x14ac:dyDescent="0.3">
      <c r="A106" t="s">
        <v>105</v>
      </c>
      <c r="B106">
        <v>-2.7900000000000001E-2</v>
      </c>
      <c r="D106" t="s">
        <v>106</v>
      </c>
      <c r="E106">
        <v>93.72</v>
      </c>
    </row>
    <row r="107" spans="1:11" x14ac:dyDescent="0.3">
      <c r="A107" t="s">
        <v>107</v>
      </c>
      <c r="B107">
        <v>6.9900000000000004E-2</v>
      </c>
    </row>
    <row r="108" spans="1:11" x14ac:dyDescent="0.3">
      <c r="A108" t="s">
        <v>108</v>
      </c>
      <c r="B108">
        <v>-0.47970000000000002</v>
      </c>
      <c r="E108" t="s">
        <v>143</v>
      </c>
      <c r="F108">
        <f>(2*PI()*K84)/(D116*O85)</f>
        <v>49.062601734801738</v>
      </c>
      <c r="H108" t="s">
        <v>143</v>
      </c>
      <c r="I108">
        <f>(2*PI())/(J114)</f>
        <v>48.535449934449225</v>
      </c>
    </row>
    <row r="109" spans="1:11" x14ac:dyDescent="0.3">
      <c r="A109" t="s">
        <v>109</v>
      </c>
      <c r="B109">
        <v>-0.37619999999999998</v>
      </c>
      <c r="E109" t="s">
        <v>144</v>
      </c>
      <c r="F109">
        <f>-B116/(SQRT(B116^2+D116^2))</f>
        <v>4.8009151024935123E-2</v>
      </c>
      <c r="H109" t="s">
        <v>144</v>
      </c>
      <c r="I109">
        <f>-H114/(SQRT(H114^2+J114^2))</f>
        <v>3.0726606190344005E-2</v>
      </c>
    </row>
    <row r="110" spans="1:11" x14ac:dyDescent="0.3">
      <c r="A110" t="s">
        <v>110</v>
      </c>
      <c r="B110">
        <f>-(H85*9.81*COS(E105))/(0.5*I85*E106^2*J85)</f>
        <v>-0.43861847182058372</v>
      </c>
      <c r="E110" t="s">
        <v>140</v>
      </c>
      <c r="F110">
        <f>-(0.693*K83)/(B116*O85)</f>
        <v>112.58456108184986</v>
      </c>
      <c r="H110" t="s">
        <v>140</v>
      </c>
      <c r="I110">
        <f>-(0.693)/(H114)</f>
        <v>174.1376667562902</v>
      </c>
    </row>
    <row r="111" spans="1:11" x14ac:dyDescent="0.3">
      <c r="E111" t="s">
        <v>141</v>
      </c>
      <c r="F111">
        <f>SQRT(B116^2+D116^2)*O85/K84</f>
        <v>0.12821250026842373</v>
      </c>
      <c r="H111" t="s">
        <v>141</v>
      </c>
      <c r="I111">
        <f>SQRT(H114^2+J114^2)</f>
        <v>0.12951674439237656</v>
      </c>
    </row>
    <row r="112" spans="1:11" x14ac:dyDescent="0.3">
      <c r="A112" t="s">
        <v>111</v>
      </c>
      <c r="B112">
        <f>2*B105*(B94*B96-2*B105*B97)</f>
        <v>38826.847326581905</v>
      </c>
      <c r="E112" t="s">
        <v>142</v>
      </c>
      <c r="F112">
        <f>F111*SQRT(1-F109^2)</f>
        <v>0.12806465790669053</v>
      </c>
      <c r="H112" t="s">
        <v>142</v>
      </c>
      <c r="I112">
        <f>I111*SQRT(1-I109^2)</f>
        <v>0.12945559000000001</v>
      </c>
    </row>
    <row r="113" spans="1:10" x14ac:dyDescent="0.3">
      <c r="A113" t="s">
        <v>112</v>
      </c>
      <c r="B113">
        <f>2*B105*(B106*B97-B107*B108) + B96*(B109*B108-B106*B94)</f>
        <v>10.490529696524092</v>
      </c>
    </row>
    <row r="114" spans="1:10" x14ac:dyDescent="0.3">
      <c r="A114" t="s">
        <v>113</v>
      </c>
      <c r="B114">
        <f>B110*(B107*B94-B109*B97)</f>
        <v>0.3074359592434257</v>
      </c>
      <c r="H114">
        <v>-3.9796099999999997E-3</v>
      </c>
      <c r="J114">
        <v>0.12945559000000001</v>
      </c>
    </row>
    <row r="115" spans="1:10" x14ac:dyDescent="0.3">
      <c r="J115" t="s">
        <v>149</v>
      </c>
    </row>
    <row r="116" spans="1:10" x14ac:dyDescent="0.3">
      <c r="A116" t="s">
        <v>114</v>
      </c>
      <c r="B116">
        <f>-B113/(2*B112)</f>
        <v>-1.350937613899699E-4</v>
      </c>
      <c r="C116" t="s">
        <v>101</v>
      </c>
      <c r="D116">
        <f>(SQRT(4*B112*B114-B113^2))/(2*B112)</f>
        <v>2.8106721601394769E-3</v>
      </c>
    </row>
    <row r="118" spans="1:10" x14ac:dyDescent="0.3">
      <c r="A118" s="9" t="s">
        <v>115</v>
      </c>
    </row>
    <row r="119" spans="1:10" x14ac:dyDescent="0.3">
      <c r="A119" t="s">
        <v>89</v>
      </c>
      <c r="B119">
        <f>N86</f>
        <v>12.262034573642898</v>
      </c>
      <c r="E119" t="s">
        <v>145</v>
      </c>
      <c r="F119">
        <f>(2*PI()*L83)/(D129*O86)</f>
        <v>2.8863820211225812</v>
      </c>
      <c r="H119" t="s">
        <v>145</v>
      </c>
      <c r="I119">
        <f>(2*PI())/J125</f>
        <v>2.8791704208517728</v>
      </c>
    </row>
    <row r="120" spans="1:10" x14ac:dyDescent="0.3">
      <c r="A120" t="s">
        <v>116</v>
      </c>
      <c r="B120">
        <f>0.042</f>
        <v>4.2000000000000003E-2</v>
      </c>
      <c r="E120" t="s">
        <v>144</v>
      </c>
      <c r="F120">
        <f>-B129/(SQRT(B129^2+D129^2))</f>
        <v>0.1382776987064368</v>
      </c>
      <c r="H120" t="s">
        <v>144</v>
      </c>
      <c r="I120">
        <f>-H125/(SQRT(H125^2+J125^2))</f>
        <v>0.14801584112053406</v>
      </c>
    </row>
    <row r="121" spans="1:10" x14ac:dyDescent="0.3">
      <c r="A121" t="s">
        <v>117</v>
      </c>
      <c r="B121">
        <v>-0.20610000000000001</v>
      </c>
      <c r="E121" t="s">
        <v>146</v>
      </c>
      <c r="F121">
        <f>-(0.693*L86)/(B129*O86)</f>
        <v>2.2801468268552756</v>
      </c>
      <c r="H121" t="s">
        <v>140</v>
      </c>
      <c r="I121">
        <f>-0.693/H125</f>
        <v>2.1217892322962406</v>
      </c>
    </row>
    <row r="122" spans="1:10" x14ac:dyDescent="0.3">
      <c r="A122" t="s">
        <v>118</v>
      </c>
      <c r="B122">
        <v>0</v>
      </c>
      <c r="E122" t="s">
        <v>147</v>
      </c>
      <c r="F122">
        <f>SQRT(B129^2+D129^2)*O86/L87</f>
        <v>2.1979523740991556</v>
      </c>
      <c r="H122" t="s">
        <v>141</v>
      </c>
      <c r="I122">
        <f>SQRT(H125^2+J125^2)</f>
        <v>2.2065958449273686</v>
      </c>
    </row>
    <row r="123" spans="1:10" x14ac:dyDescent="0.3">
      <c r="A123" t="s">
        <v>119</v>
      </c>
      <c r="B123">
        <v>0.1348</v>
      </c>
      <c r="E123" t="s">
        <v>142</v>
      </c>
      <c r="F123">
        <f>F122*SQRT(1-F120^2)</f>
        <v>2.1768377370698526</v>
      </c>
      <c r="H123" t="s">
        <v>142</v>
      </c>
      <c r="I123">
        <f>I122*SQRT(1-I120^2)</f>
        <v>2.1822901699999999</v>
      </c>
    </row>
    <row r="125" spans="1:10" x14ac:dyDescent="0.3">
      <c r="A125" t="s">
        <v>120</v>
      </c>
      <c r="B125">
        <f>8*B119^2*B120</f>
        <v>50.520117273431836</v>
      </c>
      <c r="H125">
        <v>-0.32661114000000002</v>
      </c>
      <c r="J125">
        <v>2.1822901699999999</v>
      </c>
    </row>
    <row r="126" spans="1:10" x14ac:dyDescent="0.3">
      <c r="A126" t="s">
        <v>121</v>
      </c>
      <c r="B126">
        <f>-2*B119*(B121+2*B120*B122)</f>
        <v>5.0544106512556031</v>
      </c>
    </row>
    <row r="127" spans="1:10" x14ac:dyDescent="0.3">
      <c r="A127" t="s">
        <v>122</v>
      </c>
      <c r="B127">
        <f>4*B119*B123+B122*B121</f>
        <v>6.6116890421082513</v>
      </c>
    </row>
    <row r="129" spans="1:8" x14ac:dyDescent="0.3">
      <c r="A129" t="s">
        <v>123</v>
      </c>
      <c r="B129">
        <f>-B126/(2*B125)</f>
        <v>-5.0023742263892973E-2</v>
      </c>
      <c r="C129" t="s">
        <v>101</v>
      </c>
      <c r="D129">
        <f>(SQRT(4*B125*B127-B126^2))/(2*B125)</f>
        <v>0.35828763043879608</v>
      </c>
    </row>
    <row r="131" spans="1:8" x14ac:dyDescent="0.3">
      <c r="A131" s="9" t="s">
        <v>90</v>
      </c>
    </row>
    <row r="132" spans="1:8" x14ac:dyDescent="0.3">
      <c r="A132" s="10" t="s">
        <v>124</v>
      </c>
      <c r="B132">
        <f>E132/(0.5*E134*E133^2*J84)</f>
        <v>0.50912404976465819</v>
      </c>
      <c r="D132" t="s">
        <v>125</v>
      </c>
      <c r="E132">
        <f>H88*9.81</f>
        <v>57132.753300000004</v>
      </c>
    </row>
    <row r="133" spans="1:8" x14ac:dyDescent="0.3">
      <c r="A133" t="s">
        <v>126</v>
      </c>
      <c r="B133">
        <v>-0.1026</v>
      </c>
      <c r="D133" t="s">
        <v>127</v>
      </c>
      <c r="E133">
        <v>90.82</v>
      </c>
    </row>
    <row r="134" spans="1:8" x14ac:dyDescent="0.3">
      <c r="A134" t="s">
        <v>128</v>
      </c>
      <c r="B134">
        <v>0.23760000000000001</v>
      </c>
      <c r="D134" t="s">
        <v>129</v>
      </c>
      <c r="E134">
        <f>I88</f>
        <v>0.90700000000000003</v>
      </c>
    </row>
    <row r="135" spans="1:8" x14ac:dyDescent="0.3">
      <c r="A135" t="s">
        <v>130</v>
      </c>
      <c r="B135">
        <v>-0.71079999999999999</v>
      </c>
    </row>
    <row r="136" spans="1:8" x14ac:dyDescent="0.3">
      <c r="A136" t="s">
        <v>89</v>
      </c>
      <c r="B136">
        <f>N88</f>
        <v>13.452101293600006</v>
      </c>
      <c r="D136" t="s">
        <v>140</v>
      </c>
      <c r="E136">
        <f>-(0.693*L83)/(B139*O88)</f>
        <v>-60.128435107378252</v>
      </c>
      <c r="H136">
        <f>-0.693/H139</f>
        <v>-62.454854287778083</v>
      </c>
    </row>
    <row r="137" spans="1:8" x14ac:dyDescent="0.3">
      <c r="A137" t="s">
        <v>131</v>
      </c>
      <c r="B137">
        <v>-6.0199999999999997E-2</v>
      </c>
      <c r="D137" t="s">
        <v>148</v>
      </c>
    </row>
    <row r="139" spans="1:8" x14ac:dyDescent="0.3">
      <c r="A139" t="s">
        <v>132</v>
      </c>
      <c r="B139" s="11">
        <f>(2*B132*(B133*B121-B123*B134))/(B135*(B122*B121+4*B136*B123)-B137*(B122*B134+4*B136*B133))</f>
        <v>2.0191533863451174E-3</v>
      </c>
      <c r="H139">
        <v>1.1096015000000001E-2</v>
      </c>
    </row>
    <row r="141" spans="1:8" x14ac:dyDescent="0.3">
      <c r="A141" s="9" t="s">
        <v>133</v>
      </c>
    </row>
    <row r="142" spans="1:8" x14ac:dyDescent="0.3">
      <c r="A142" t="s">
        <v>89</v>
      </c>
      <c r="B142">
        <f>N83</f>
        <v>12.422723127780573</v>
      </c>
      <c r="D142" t="s">
        <v>140</v>
      </c>
      <c r="E142">
        <f>-(0.693*L84)/(B144*O83)</f>
        <v>0.16099261207144533</v>
      </c>
      <c r="H142">
        <f>-0.693/H144</f>
        <v>0.15288273298732857</v>
      </c>
    </row>
    <row r="143" spans="1:8" x14ac:dyDescent="0.3">
      <c r="A143" t="s">
        <v>134</v>
      </c>
      <c r="B143">
        <f>0.019</f>
        <v>1.9E-2</v>
      </c>
    </row>
    <row r="144" spans="1:8" x14ac:dyDescent="0.3">
      <c r="A144" s="10" t="s">
        <v>135</v>
      </c>
      <c r="B144">
        <f>B135/(4*B142*B143)</f>
        <v>-0.75286484957813737</v>
      </c>
      <c r="H144">
        <v>-4.5328860000000004</v>
      </c>
    </row>
  </sheetData>
  <sortState xmlns:xlrd2="http://schemas.microsoft.com/office/spreadsheetml/2017/richdata2" ref="A83:D88">
    <sortCondition ref="C83:C88"/>
  </sortState>
  <conditionalFormatting sqref="B34:J34 D28:J31 B28:B31">
    <cfRule type="expression" priority="1">
      <formula>LEN(TRIM(B28))=0</formula>
    </cfRule>
  </conditionalFormatting>
  <conditionalFormatting sqref="D18">
    <cfRule type="expression" priority="2">
      <formula>LEN(TRIM(D18))=0</formula>
    </cfRule>
  </conditionalFormatting>
  <conditionalFormatting sqref="B32:J33">
    <cfRule type="expression" priority="3">
      <formula>LEN(TRIM(B32))=0</formula>
    </cfRule>
  </conditionalFormatting>
  <conditionalFormatting sqref="C59:M65">
    <cfRule type="expression" priority="4">
      <formula>LEN(TRIM(C59))=0</formula>
    </cfRule>
  </conditionalFormatting>
  <conditionalFormatting sqref="C44:J50">
    <cfRule type="expression" priority="5">
      <formula>LEN(TRIM(C44))=0</formula>
    </cfRule>
  </conditionalFormatting>
  <conditionalFormatting sqref="C70">
    <cfRule type="expression" priority="6">
      <formula>LEN(TRIM(C70))=0</formula>
    </cfRule>
  </conditionalFormatting>
  <conditionalFormatting sqref="C71">
    <cfRule type="expression" priority="7">
      <formula>LEN(TRIM(C71))=0</formula>
    </cfRule>
  </conditionalFormatting>
  <conditionalFormatting sqref="H71">
    <cfRule type="expression" priority="8">
      <formula>LEN(TRIM(H71))=0</formula>
    </cfRule>
  </conditionalFormatting>
  <conditionalFormatting sqref="B75:M76">
    <cfRule type="expression" priority="9">
      <formula>LEN(TRIM(B75))=0</formula>
    </cfRule>
  </conditionalFormatting>
  <conditionalFormatting sqref="D3:D4">
    <cfRule type="expression" priority="10">
      <formula>LEN(TRIM(D3))=0</formula>
    </cfRule>
  </conditionalFormatting>
  <conditionalFormatting sqref="E39">
    <cfRule type="expression" priority="11">
      <formula>LEN(TRIM(E39))=0</formula>
    </cfRule>
  </conditionalFormatting>
  <conditionalFormatting sqref="D83:D84">
    <cfRule type="expression" priority="12">
      <formula>LEN(TRIM(D83))=0</formula>
    </cfRule>
  </conditionalFormatting>
  <conditionalFormatting sqref="D85:D86">
    <cfRule type="expression" priority="13">
      <formula>LEN(TRIM(D85))=0</formula>
    </cfRule>
  </conditionalFormatting>
  <conditionalFormatting sqref="D87:D88">
    <cfRule type="expression" priority="14">
      <formula>LEN(TRIM(D87))=0</formula>
    </cfRule>
  </conditionalFormatting>
  <conditionalFormatting sqref="B59:B65">
    <cfRule type="expression" priority="15">
      <formula>LEN(TRIM(B59))=0</formula>
    </cfRule>
  </conditionalFormatting>
  <conditionalFormatting sqref="B44:B50">
    <cfRule type="expression" priority="16">
      <formula>LEN(TRIM(B44))=0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Stein Willems</cp:lastModifiedBy>
  <cp:revision>0</cp:revision>
  <cp:lastPrinted>2013-02-27T10:55:04Z</cp:lastPrinted>
  <dcterms:created xsi:type="dcterms:W3CDTF">2013-02-25T15:54:42Z</dcterms:created>
  <dcterms:modified xsi:type="dcterms:W3CDTF">2019-03-26T09:26:56Z</dcterms:modified>
  <dc:language>en-GB</dc:language>
</cp:coreProperties>
</file>