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Desktop\"/>
    </mc:Choice>
  </mc:AlternateContent>
  <bookViews>
    <workbookView xWindow="0" yWindow="465" windowWidth="14400" windowHeight="16260" activeTab="2"/>
  </bookViews>
  <sheets>
    <sheet name="Sheet1" sheetId="1" r:id="rId1"/>
    <sheet name="cm_delta" sheetId="2" r:id="rId2"/>
    <sheet name="Sheet4" sheetId="5" r:id="rId3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3" i="5" l="1"/>
  <c r="E84" i="5"/>
  <c r="E85" i="5"/>
  <c r="E86" i="5"/>
  <c r="E87" i="5"/>
  <c r="E88" i="5"/>
  <c r="C88" i="5"/>
  <c r="C87" i="5"/>
  <c r="C85" i="5"/>
  <c r="C76" i="5"/>
  <c r="C28" i="5"/>
  <c r="G83" i="5"/>
  <c r="C84" i="5"/>
  <c r="C86" i="5"/>
  <c r="C83" i="5"/>
  <c r="H17" i="5"/>
  <c r="I84" i="1"/>
  <c r="I83" i="1"/>
  <c r="F84" i="1"/>
  <c r="F83" i="1"/>
  <c r="C84" i="1"/>
  <c r="C83" i="1"/>
  <c r="L83" i="1"/>
  <c r="C76" i="1"/>
  <c r="C28" i="1"/>
  <c r="G22" i="2"/>
  <c r="I15" i="2"/>
  <c r="I2" i="2"/>
  <c r="I3" i="2"/>
  <c r="I4" i="2"/>
  <c r="I5" i="2"/>
  <c r="I6" i="2"/>
  <c r="I7" i="2"/>
  <c r="I8" i="2"/>
  <c r="I9" i="2"/>
  <c r="I10" i="2"/>
  <c r="I11" i="2"/>
  <c r="I12" i="2"/>
  <c r="I14" i="2"/>
  <c r="I17" i="2"/>
  <c r="H11" i="2"/>
  <c r="H14" i="2"/>
  <c r="H17" i="2"/>
  <c r="G17" i="2"/>
  <c r="D15" i="2"/>
  <c r="D2" i="2"/>
  <c r="D3" i="2"/>
  <c r="D4" i="2"/>
  <c r="D5" i="2"/>
  <c r="D6" i="2"/>
  <c r="D7" i="2"/>
  <c r="D8" i="2"/>
  <c r="D9" i="2"/>
  <c r="D10" i="2"/>
  <c r="D11" i="2"/>
  <c r="D12" i="2"/>
  <c r="D14" i="2"/>
  <c r="D17" i="2"/>
  <c r="C11" i="2"/>
  <c r="C14" i="2"/>
  <c r="C17" i="2"/>
  <c r="B17" i="2"/>
  <c r="G20" i="2"/>
  <c r="G21" i="2"/>
  <c r="G23" i="2"/>
  <c r="G27" i="2"/>
  <c r="G39" i="2"/>
  <c r="J32" i="2"/>
  <c r="J33" i="2"/>
  <c r="J34" i="2"/>
  <c r="J35" i="2"/>
  <c r="J36" i="2"/>
  <c r="J37" i="2"/>
  <c r="J31" i="2"/>
  <c r="I31" i="2"/>
  <c r="I32" i="2"/>
  <c r="I33" i="2"/>
  <c r="I34" i="2"/>
  <c r="I35" i="2"/>
  <c r="I36" i="2"/>
  <c r="I37" i="2"/>
  <c r="G25" i="2"/>
  <c r="G26" i="2"/>
  <c r="G14" i="2"/>
  <c r="G11" i="2"/>
  <c r="B14" i="2"/>
  <c r="B11" i="2"/>
  <c r="H17" i="1"/>
</calcChain>
</file>

<file path=xl/sharedStrings.xml><?xml version="1.0" encoding="utf-8"?>
<sst xmlns="http://schemas.openxmlformats.org/spreadsheetml/2006/main" count="442" uniqueCount="147">
  <si>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</si>
  <si>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</si>
  <si>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</si>
  <si>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</si>
  <si>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</si>
  <si>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</si>
  <si>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</si>
  <si>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</si>
  <si>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</si>
  <si>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</si>
  <si>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</si>
  <si>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</si>
  <si>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</si>
  <si>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</si>
  <si>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</si>
  <si>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</si>
  <si>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</si>
  <si>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</si>
  <si>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</si>
  <si>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</si>
  <si>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</si>
  <si>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</si>
  <si>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</si>
  <si>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</si>
  <si>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</si>
  <si>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</si>
  <si>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</si>
  <si>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</si>
  <si>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</si>
  <si>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</si>
  <si>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</si>
  <si>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</si>
  <si>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</si>
  <si>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</si>
  <si>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</si>
  <si>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</si>
  <si>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</si>
  <si>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</si>
  <si>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</si>
  <si>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</si>
  <si>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</si>
  <si>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</si>
  <si>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</si>
  <si>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</si>
  <si>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</si>
  <si>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</si>
  <si>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</si>
  <si>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</si>
  <si>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</si>
  <si>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</si>
  <si>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</si>
  <si>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</si>
  <si>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</si>
  <si>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</si>
  <si>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</si>
  <si>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</si>
  <si>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</si>
  <si>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</si>
  <si>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</si>
  <si>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</si>
  <si>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</si>
  <si>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</si>
  <si>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</si>
  <si>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</si>
  <si>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</si>
  <si>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</si>
  <si>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</si>
  <si>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</si>
  <si>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</si>
  <si>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</si>
  <si>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</si>
  <si>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</si>
  <si>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</si>
  <si>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</si>
  <si>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37:19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</si>
  <si>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</si>
  <si>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</si>
  <si>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</si>
  <si>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</si>
  <si>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</si>
  <si>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</si>
  <si>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</si>
  <si>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</si>
  <si>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</si>
  <si>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</si>
  <si>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</si>
  <si>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</si>
  <si>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</si>
  <si>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</si>
  <si>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</si>
  <si>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</si>
  <si>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</si>
  <si>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</si>
  <si>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</si>
  <si>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</si>
  <si>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</si>
  <si>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</si>
  <si>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</si>
  <si>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</si>
  <si>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</si>
  <si>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</si>
  <si>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</si>
  <si>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</si>
  <si>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</si>
  <si>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</si>
  <si>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</si>
  <si>
    <t>xcgdatum</t>
  </si>
  <si>
    <t>mass</t>
  </si>
  <si>
    <t>moment</t>
  </si>
  <si>
    <t>payload</t>
  </si>
  <si>
    <t>bem</t>
  </si>
  <si>
    <t>ZFM</t>
  </si>
  <si>
    <t>Fuel</t>
  </si>
  <si>
    <t>RM</t>
  </si>
  <si>
    <t>original</t>
  </si>
  <si>
    <t>displacement</t>
  </si>
  <si>
    <t>delta xcg</t>
  </si>
  <si>
    <t>delta xcg [m]</t>
  </si>
  <si>
    <t>c [m]</t>
  </si>
  <si>
    <t>delta de [rad]</t>
  </si>
  <si>
    <t>C_N</t>
  </si>
  <si>
    <t>m [pounds]</t>
  </si>
  <si>
    <t>W [N]</t>
  </si>
  <si>
    <t>from python CLCD calculator</t>
  </si>
  <si>
    <t>from appendix C</t>
  </si>
  <si>
    <t>from mass balance sheet</t>
  </si>
  <si>
    <t>from reference data</t>
  </si>
  <si>
    <t>substracting fuel used from RM</t>
  </si>
  <si>
    <t>converting m to W</t>
  </si>
  <si>
    <t>result</t>
  </si>
  <si>
    <t>a [deg]</t>
  </si>
  <si>
    <t>de [deg]</t>
  </si>
  <si>
    <t>ddelta de_dalpha</t>
  </si>
  <si>
    <t>a [rad]</t>
  </si>
  <si>
    <t>de [rad]</t>
  </si>
  <si>
    <t>from polynomial</t>
  </si>
  <si>
    <t>result from previous equations</t>
  </si>
  <si>
    <t>from FD_CLCD_reference</t>
  </si>
  <si>
    <t>cl_alpha [1/rad]</t>
  </si>
  <si>
    <t>cm_alpha [1/rad]</t>
  </si>
  <si>
    <t>cm_delta de [1/rad]</t>
  </si>
  <si>
    <t>mass flow</t>
  </si>
  <si>
    <t>[lbs/sec]</t>
  </si>
  <si>
    <t>time elapsed</t>
  </si>
  <si>
    <t>momentary mass</t>
  </si>
  <si>
    <t>[kg]</t>
  </si>
  <si>
    <t>mass flow vinden, en dan momentary mass from linearization of mass flow after take-off vanaf laatste meting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</si>
</sst>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  <xf numFmtId="0" fontId="4" fillId="0" borderId="0" xfId="0" applyFont="1"/>
    <xf numFmtId="0" fontId="5" fillId="2" borderId="0" xfId="0" applyFont="1" applyFill="1"/>
    <xf numFmtId="0" fontId="6" fillId="0" borderId="0" xfId="0" applyFont="1" applyFill="1"/>
    <xf numFmtId="0" fontId="7" fillId="0" borderId="0" xfId="0" applyFont="1"/>
    <xf numFmtId="0" fontId="0" fillId="0" borderId="0" xfId="0" applyNumberFormat="1" applyProtection="1">
      <protection locked="0"/>
    </xf>
    <xf numFmtId="2" fontId="0" fillId="0" borderId="0" xfId="0" applyNumberFormat="1"/>
    <xf numFmtId="0" fontId="0" fillId="2" borderId="0" xfId="0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cm_delta!$I$31:$I$37</c:f>
              <c:numCache>
                <c:formatCode>General</c:formatCode>
                <c:ptCount val="7"/>
                <c:pt idx="0">
                  <c:v>5.9341194567807204E-2</c:v>
                </c:pt>
                <c:pt idx="1">
                  <c:v>7.15584993317675E-2</c:v>
                </c:pt>
                <c:pt idx="2">
                  <c:v>7.8539816339744828E-2</c:v>
                </c:pt>
                <c:pt idx="3">
                  <c:v>9.2502450355699456E-2</c:v>
                </c:pt>
                <c:pt idx="4">
                  <c:v>0.10995574287564275</c:v>
                </c:pt>
                <c:pt idx="5">
                  <c:v>0.12740903539558604</c:v>
                </c:pt>
                <c:pt idx="6">
                  <c:v>0.14835298641951802</c:v>
                </c:pt>
              </c:numCache>
            </c:numRef>
          </c:xVal>
          <c:yVal>
            <c:numRef>
              <c:f>cm_delta!$J$31:$J$37</c:f>
              <c:numCache>
                <c:formatCode>General</c:formatCode>
                <c:ptCount val="7"/>
                <c:pt idx="0">
                  <c:v>1.7453292519943295E-2</c:v>
                </c:pt>
                <c:pt idx="1">
                  <c:v>1.0471975511965976E-2</c:v>
                </c:pt>
                <c:pt idx="2">
                  <c:v>6.9813170079773184E-3</c:v>
                </c:pt>
                <c:pt idx="3">
                  <c:v>0</c:v>
                </c:pt>
                <c:pt idx="4">
                  <c:v>-6.9813170079773184E-3</c:v>
                </c:pt>
                <c:pt idx="5">
                  <c:v>-1.5707963267948967E-2</c:v>
                </c:pt>
                <c:pt idx="6">
                  <c:v>-2.6179938779914941E-2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5-452E-A367-63E5EE3D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84696"/>
        <c:axId val="634085680"/>
      </c:scatterChart>
      <c:valAx>
        <c:axId val="63408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4085680"/>
        <c:crosses val="autoZero"/>
        <c:crossBetween val="midCat"/>
      </c:valAx>
      <c:valAx>
        <c:axId val="6340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408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426601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29</xdr:row>
      <xdr:rowOff>0</xdr:rowOff>
    </xdr:from>
    <xdr:to>
      <xdr:col>14</xdr:col>
      <xdr:colOff>66675</xdr:colOff>
      <xdr:row>36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350401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7185" y="987780"/>
          <a:ext cx="2297041" cy="33324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view="pageBreakPreview" topLeftCell="A7" zoomScaleSheetLayoutView="100" workbookViewId="0">
      <selection activeCell="K83" sqref="K83"/>
    </sheetView>
  </sheetViews>
  <sheetFormatPr defaultColWidth="8.85546875" defaultRowHeight="15" x14ac:dyDescent="0.25"/>
  <cols>
    <col min="5" max="5" width="13.140625" customWidth="1"/>
    <col min="6" max="6" width="13.28515625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9">
        <v>43171</v>
      </c>
      <c r="F3" t="s">
        <v>2</v>
      </c>
      <c r="H3" s="2"/>
    </row>
    <row r="4" spans="1:8" x14ac:dyDescent="0.25">
      <c r="A4" t="s">
        <v>3</v>
      </c>
      <c r="D4" s="2">
        <v>1</v>
      </c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8</v>
      </c>
      <c r="D8" s="2"/>
      <c r="H8" s="2">
        <v>95</v>
      </c>
    </row>
    <row r="9" spans="1:8" x14ac:dyDescent="0.25">
      <c r="A9" t="s">
        <v>9</v>
      </c>
      <c r="D9" s="2"/>
      <c r="H9" s="2">
        <v>92</v>
      </c>
    </row>
    <row r="10" spans="1:8" x14ac:dyDescent="0.25">
      <c r="A10" t="s">
        <v>10</v>
      </c>
      <c r="D10" s="2"/>
      <c r="H10" s="2">
        <v>74</v>
      </c>
    </row>
    <row r="11" spans="1:8" x14ac:dyDescent="0.25">
      <c r="A11" t="s">
        <v>11</v>
      </c>
      <c r="D11" s="2"/>
      <c r="H11" s="2">
        <v>66</v>
      </c>
    </row>
    <row r="12" spans="1:8" x14ac:dyDescent="0.25">
      <c r="A12" t="s">
        <v>12</v>
      </c>
      <c r="D12" s="2"/>
      <c r="H12" s="2">
        <v>61</v>
      </c>
    </row>
    <row r="13" spans="1:8" x14ac:dyDescent="0.25">
      <c r="A13" t="s">
        <v>13</v>
      </c>
      <c r="D13" s="2"/>
      <c r="H13" s="2">
        <v>75</v>
      </c>
    </row>
    <row r="14" spans="1:8" x14ac:dyDescent="0.25">
      <c r="A14" t="s">
        <v>14</v>
      </c>
      <c r="D14" s="2"/>
      <c r="H14" s="2">
        <v>78</v>
      </c>
    </row>
    <row r="15" spans="1:8" x14ac:dyDescent="0.25">
      <c r="A15" t="s">
        <v>15</v>
      </c>
      <c r="D15" s="2"/>
      <c r="H15" s="2">
        <v>86</v>
      </c>
    </row>
    <row r="16" spans="1:8" x14ac:dyDescent="0.25">
      <c r="A16" t="s">
        <v>16</v>
      </c>
      <c r="D16" s="2"/>
      <c r="H16" s="2">
        <v>68</v>
      </c>
    </row>
    <row r="17" spans="1:11" x14ac:dyDescent="0.25">
      <c r="H17">
        <f>SUM(H8:H16)</f>
        <v>695</v>
      </c>
    </row>
    <row r="18" spans="1:11" x14ac:dyDescent="0.25">
      <c r="A18" t="s">
        <v>17</v>
      </c>
      <c r="D18" s="2">
        <v>4050</v>
      </c>
    </row>
    <row r="21" spans="1:11" x14ac:dyDescent="0.25">
      <c r="A21" s="1" t="s">
        <v>18</v>
      </c>
    </row>
    <row r="23" spans="1:11" x14ac:dyDescent="0.25">
      <c r="A23" t="s">
        <v>19</v>
      </c>
      <c r="E23" t="s">
        <v>20</v>
      </c>
    </row>
    <row r="25" spans="1:11" x14ac:dyDescent="0.2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1" x14ac:dyDescent="0.2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1" x14ac:dyDescent="0.25">
      <c r="A28">
        <v>1</v>
      </c>
      <c r="B28" s="8" t="s">
        <v>99</v>
      </c>
      <c r="C28" s="2">
        <f>19*60+17</f>
        <v>1157</v>
      </c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 t="s">
        <v>61</v>
      </c>
      <c r="K28" s="2"/>
    </row>
    <row r="29" spans="1:11" x14ac:dyDescent="0.25">
      <c r="A29">
        <v>2</v>
      </c>
      <c r="B29" s="7" t="s">
        <v>98</v>
      </c>
      <c r="C29" s="2"/>
      <c r="D29" s="2">
        <v>5020</v>
      </c>
      <c r="E29" s="2">
        <v>221</v>
      </c>
      <c r="F29" s="2" t="s">
        <v>62</v>
      </c>
      <c r="G29" s="2">
        <v>673</v>
      </c>
      <c r="H29" s="2">
        <v>682</v>
      </c>
      <c r="I29" s="2">
        <v>412</v>
      </c>
      <c r="J29" s="2" t="s">
        <v>63</v>
      </c>
    </row>
    <row r="30" spans="1:11" x14ac:dyDescent="0.25">
      <c r="A30">
        <v>3</v>
      </c>
      <c r="B30" s="7" t="s">
        <v>97</v>
      </c>
      <c r="C30" s="2"/>
      <c r="D30" s="2">
        <v>5020</v>
      </c>
      <c r="E30" s="2">
        <v>192</v>
      </c>
      <c r="F30" s="2" t="s">
        <v>64</v>
      </c>
      <c r="G30" s="2">
        <v>561</v>
      </c>
      <c r="H30" s="2">
        <v>579</v>
      </c>
      <c r="I30" s="2">
        <v>447</v>
      </c>
      <c r="J30" s="2" t="s">
        <v>65</v>
      </c>
    </row>
    <row r="31" spans="1:11" x14ac:dyDescent="0.25">
      <c r="A31">
        <v>4</v>
      </c>
      <c r="B31" s="6" t="s">
        <v>94</v>
      </c>
      <c r="C31" s="2"/>
      <c r="D31" s="2">
        <v>5030</v>
      </c>
      <c r="E31" s="2">
        <v>163</v>
      </c>
      <c r="F31" s="2" t="s">
        <v>66</v>
      </c>
      <c r="G31" s="2">
        <v>463</v>
      </c>
      <c r="H31" s="2">
        <v>484</v>
      </c>
      <c r="I31" s="2">
        <v>478</v>
      </c>
      <c r="J31" s="2" t="s">
        <v>67</v>
      </c>
    </row>
    <row r="32" spans="1:11" x14ac:dyDescent="0.25">
      <c r="A32">
        <v>5</v>
      </c>
      <c r="B32" s="6" t="s">
        <v>95</v>
      </c>
      <c r="C32" s="2"/>
      <c r="D32" s="2">
        <v>5020</v>
      </c>
      <c r="E32" s="2">
        <v>130</v>
      </c>
      <c r="F32" s="2" t="s">
        <v>68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25">
      <c r="A33">
        <v>6</v>
      </c>
      <c r="B33" s="6" t="s">
        <v>96</v>
      </c>
      <c r="C33" s="2"/>
      <c r="D33" s="2">
        <v>5110</v>
      </c>
      <c r="E33" s="2">
        <v>118</v>
      </c>
      <c r="F33" s="2" t="s">
        <v>69</v>
      </c>
      <c r="G33" s="2">
        <v>474</v>
      </c>
      <c r="H33" s="2">
        <v>499</v>
      </c>
      <c r="I33" s="2">
        <v>570</v>
      </c>
      <c r="J33" s="2" t="s">
        <v>70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39</v>
      </c>
    </row>
    <row r="37" spans="1:10" x14ac:dyDescent="0.25">
      <c r="A37" s="1" t="s">
        <v>40</v>
      </c>
    </row>
    <row r="39" spans="1:10" x14ac:dyDescent="0.25">
      <c r="A39" t="s">
        <v>41</v>
      </c>
      <c r="E39" s="2"/>
    </row>
    <row r="41" spans="1:10" x14ac:dyDescent="0.2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5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39</v>
      </c>
    </row>
    <row r="52" spans="1:13" x14ac:dyDescent="0.25">
      <c r="A52" s="1" t="s">
        <v>43</v>
      </c>
    </row>
    <row r="54" spans="1:13" x14ac:dyDescent="0.25">
      <c r="A54" t="s">
        <v>19</v>
      </c>
      <c r="E54" t="s">
        <v>20</v>
      </c>
    </row>
    <row r="56" spans="1:13" x14ac:dyDescent="0.2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5">
      <c r="A59">
        <v>1</v>
      </c>
      <c r="B59" s="5" t="s">
        <v>74</v>
      </c>
      <c r="C59" s="2"/>
      <c r="D59" s="2">
        <v>6060</v>
      </c>
      <c r="E59" s="2">
        <v>161</v>
      </c>
      <c r="F59" s="2" t="s">
        <v>71</v>
      </c>
      <c r="G59" s="2">
        <v>0</v>
      </c>
      <c r="H59" s="2" t="s">
        <v>72</v>
      </c>
      <c r="I59" s="2">
        <v>0</v>
      </c>
      <c r="J59" s="2">
        <v>462</v>
      </c>
      <c r="K59" s="2">
        <v>486</v>
      </c>
      <c r="L59" s="2">
        <v>664</v>
      </c>
      <c r="M59" s="2" t="s">
        <v>73</v>
      </c>
    </row>
    <row r="60" spans="1:13" x14ac:dyDescent="0.25">
      <c r="A60">
        <v>2</v>
      </c>
      <c r="B60" s="5" t="s">
        <v>75</v>
      </c>
      <c r="C60" s="2"/>
      <c r="D60" s="2">
        <v>6350</v>
      </c>
      <c r="E60" s="2">
        <v>150</v>
      </c>
      <c r="F60" s="2" t="s">
        <v>76</v>
      </c>
      <c r="G60" s="2">
        <v>-0.4</v>
      </c>
      <c r="H60" s="2" t="s">
        <v>72</v>
      </c>
      <c r="I60" s="2">
        <v>-23</v>
      </c>
      <c r="J60" s="2">
        <v>458</v>
      </c>
      <c r="K60" s="2">
        <v>482</v>
      </c>
      <c r="L60" s="2">
        <v>694</v>
      </c>
      <c r="M60" s="2" t="s">
        <v>77</v>
      </c>
    </row>
    <row r="61" spans="1:13" x14ac:dyDescent="0.25">
      <c r="A61">
        <v>3</v>
      </c>
      <c r="B61" s="5" t="s">
        <v>78</v>
      </c>
      <c r="C61" s="2"/>
      <c r="D61" s="2">
        <v>6550</v>
      </c>
      <c r="E61" s="2">
        <v>140</v>
      </c>
      <c r="F61" s="2" t="s">
        <v>79</v>
      </c>
      <c r="G61" s="2">
        <v>-0.9</v>
      </c>
      <c r="H61" s="2" t="s">
        <v>72</v>
      </c>
      <c r="I61" s="2">
        <v>-29</v>
      </c>
      <c r="J61" s="2">
        <v>454</v>
      </c>
      <c r="K61" s="2">
        <v>477</v>
      </c>
      <c r="L61" s="2">
        <v>730</v>
      </c>
      <c r="M61" s="2" t="s">
        <v>80</v>
      </c>
    </row>
    <row r="62" spans="1:13" x14ac:dyDescent="0.25">
      <c r="A62">
        <v>4</v>
      </c>
      <c r="B62" s="5" t="s">
        <v>81</v>
      </c>
      <c r="C62" s="2"/>
      <c r="D62" s="2">
        <v>6880</v>
      </c>
      <c r="E62" s="2">
        <v>130</v>
      </c>
      <c r="F62" s="2" t="s">
        <v>82</v>
      </c>
      <c r="G62" s="2">
        <v>-1.5</v>
      </c>
      <c r="H62" s="2" t="s">
        <v>72</v>
      </c>
      <c r="I62" s="2">
        <v>-46</v>
      </c>
      <c r="J62" s="2">
        <v>449</v>
      </c>
      <c r="K62" s="2">
        <v>473</v>
      </c>
      <c r="L62" s="2">
        <v>755</v>
      </c>
      <c r="M62" s="2" t="s">
        <v>83</v>
      </c>
    </row>
    <row r="63" spans="1:13" x14ac:dyDescent="0.25">
      <c r="A63">
        <v>5</v>
      </c>
      <c r="B63" s="5" t="s">
        <v>84</v>
      </c>
      <c r="C63" s="2"/>
      <c r="D63" s="2">
        <v>6160</v>
      </c>
      <c r="E63" s="2">
        <v>173</v>
      </c>
      <c r="F63" s="2" t="s">
        <v>77</v>
      </c>
      <c r="G63" s="2">
        <v>0.4</v>
      </c>
      <c r="H63" s="2" t="s">
        <v>72</v>
      </c>
      <c r="I63" s="2">
        <v>26</v>
      </c>
      <c r="J63" s="2">
        <v>465</v>
      </c>
      <c r="K63" s="2">
        <v>489</v>
      </c>
      <c r="L63" s="2">
        <v>798</v>
      </c>
      <c r="M63" s="2" t="s">
        <v>85</v>
      </c>
    </row>
    <row r="64" spans="1:13" x14ac:dyDescent="0.25">
      <c r="A64">
        <v>6</v>
      </c>
      <c r="B64" s="5" t="s">
        <v>86</v>
      </c>
      <c r="C64" s="2"/>
      <c r="D64" s="2">
        <v>5810</v>
      </c>
      <c r="E64" s="2">
        <v>179</v>
      </c>
      <c r="F64" s="2" t="s">
        <v>87</v>
      </c>
      <c r="G64" s="2">
        <v>0.6</v>
      </c>
      <c r="H64" s="2" t="s">
        <v>72</v>
      </c>
      <c r="I64" s="2">
        <v>40</v>
      </c>
      <c r="J64" s="2">
        <v>472</v>
      </c>
      <c r="K64" s="2">
        <v>496</v>
      </c>
      <c r="L64" s="2">
        <v>825</v>
      </c>
      <c r="M64" s="2" t="s">
        <v>88</v>
      </c>
    </row>
    <row r="65" spans="1:13" x14ac:dyDescent="0.25">
      <c r="A65">
        <v>7</v>
      </c>
      <c r="B65" s="5" t="s">
        <v>89</v>
      </c>
      <c r="C65" s="2"/>
      <c r="D65" s="2">
        <v>5310</v>
      </c>
      <c r="E65" s="2">
        <v>192</v>
      </c>
      <c r="F65" s="2" t="s">
        <v>90</v>
      </c>
      <c r="G65" s="2">
        <v>1</v>
      </c>
      <c r="H65" s="2" t="s">
        <v>72</v>
      </c>
      <c r="I65" s="2">
        <v>83</v>
      </c>
      <c r="J65" s="2">
        <v>482</v>
      </c>
      <c r="K65" s="2">
        <v>505</v>
      </c>
      <c r="L65" s="2">
        <v>846</v>
      </c>
      <c r="M65" s="2" t="s">
        <v>91</v>
      </c>
    </row>
    <row r="66" spans="1:13" x14ac:dyDescent="0.25">
      <c r="C66" t="s">
        <v>39</v>
      </c>
    </row>
    <row r="68" spans="1:13" x14ac:dyDescent="0.25">
      <c r="A68" s="1" t="s">
        <v>48</v>
      </c>
    </row>
    <row r="70" spans="1:13" x14ac:dyDescent="0.25">
      <c r="A70" t="s">
        <v>49</v>
      </c>
      <c r="C70" s="2"/>
    </row>
    <row r="71" spans="1:13" x14ac:dyDescent="0.25">
      <c r="A71" t="s">
        <v>50</v>
      </c>
      <c r="C71" s="2"/>
      <c r="E71" t="s">
        <v>51</v>
      </c>
      <c r="H71" s="2"/>
    </row>
    <row r="73" spans="1:13" x14ac:dyDescent="0.2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5">
      <c r="A75">
        <v>1</v>
      </c>
      <c r="B75" s="5" t="s">
        <v>92</v>
      </c>
      <c r="C75" s="2"/>
      <c r="D75" s="2">
        <v>5730</v>
      </c>
      <c r="E75" s="2">
        <v>161</v>
      </c>
      <c r="F75" s="2" t="s">
        <v>71</v>
      </c>
      <c r="G75" s="2">
        <v>0</v>
      </c>
      <c r="H75" s="2" t="s">
        <v>72</v>
      </c>
      <c r="I75" s="2">
        <v>0</v>
      </c>
      <c r="J75" s="2">
        <v>471</v>
      </c>
      <c r="K75" s="2">
        <v>493</v>
      </c>
      <c r="L75" s="2">
        <v>881</v>
      </c>
      <c r="M75" s="2" t="s">
        <v>85</v>
      </c>
    </row>
    <row r="76" spans="1:13" x14ac:dyDescent="0.25">
      <c r="A76">
        <v>2</v>
      </c>
      <c r="B76" s="5" t="s">
        <v>93</v>
      </c>
      <c r="C76" s="2">
        <f>52*60+46</f>
        <v>3166</v>
      </c>
      <c r="D76" s="2">
        <v>5790</v>
      </c>
      <c r="E76" s="2">
        <v>161</v>
      </c>
      <c r="F76" s="2" t="s">
        <v>71</v>
      </c>
      <c r="G76" s="2">
        <v>-0.5</v>
      </c>
      <c r="H76" s="2" t="s">
        <v>72</v>
      </c>
      <c r="I76" s="2">
        <v>-30</v>
      </c>
      <c r="J76" s="2">
        <v>468</v>
      </c>
      <c r="K76" s="2">
        <v>490</v>
      </c>
      <c r="L76" s="2">
        <v>910</v>
      </c>
      <c r="M76" s="2" t="s">
        <v>85</v>
      </c>
    </row>
    <row r="77" spans="1:13" x14ac:dyDescent="0.25">
      <c r="C77" t="s">
        <v>39</v>
      </c>
    </row>
    <row r="79" spans="1:13" x14ac:dyDescent="0.25">
      <c r="A79" s="1" t="s">
        <v>52</v>
      </c>
    </row>
    <row r="81" spans="1:12" x14ac:dyDescent="0.25">
      <c r="C81" t="s">
        <v>22</v>
      </c>
      <c r="D81" t="s">
        <v>53</v>
      </c>
      <c r="F81" t="s">
        <v>22</v>
      </c>
      <c r="G81" t="s">
        <v>53</v>
      </c>
      <c r="I81" t="s">
        <v>22</v>
      </c>
      <c r="J81" t="s">
        <v>53</v>
      </c>
      <c r="L81" t="s">
        <v>141</v>
      </c>
    </row>
    <row r="82" spans="1:12" x14ac:dyDescent="0.25">
      <c r="C82" t="s">
        <v>32</v>
      </c>
      <c r="D82" t="s">
        <v>42</v>
      </c>
      <c r="F82" t="s">
        <v>32</v>
      </c>
      <c r="G82" t="s">
        <v>42</v>
      </c>
      <c r="I82" t="s">
        <v>32</v>
      </c>
      <c r="J82" t="s">
        <v>42</v>
      </c>
      <c r="L82" t="s">
        <v>142</v>
      </c>
    </row>
    <row r="83" spans="1:12" x14ac:dyDescent="0.25">
      <c r="A83" t="s">
        <v>54</v>
      </c>
      <c r="C83">
        <f>53*60+57</f>
        <v>3237</v>
      </c>
      <c r="D83" s="5" t="s">
        <v>101</v>
      </c>
      <c r="E83" t="s">
        <v>55</v>
      </c>
      <c r="F83">
        <f>3600+60+57</f>
        <v>3717</v>
      </c>
      <c r="G83" s="5" t="s">
        <v>103</v>
      </c>
      <c r="H83" t="s">
        <v>56</v>
      </c>
      <c r="I83">
        <f>59*60+10</f>
        <v>3550</v>
      </c>
      <c r="J83" s="5" t="s">
        <v>100</v>
      </c>
      <c r="L83" s="15">
        <f>(L76-I28)/(C76-C28)</f>
        <v>0.273768043802887</v>
      </c>
    </row>
    <row r="84" spans="1:12" x14ac:dyDescent="0.25">
      <c r="A84" t="s">
        <v>57</v>
      </c>
      <c r="C84">
        <f>3600+35</f>
        <v>3635</v>
      </c>
      <c r="D84" s="5" t="s">
        <v>102</v>
      </c>
      <c r="E84" t="s">
        <v>58</v>
      </c>
      <c r="F84">
        <f>3600+120+47</f>
        <v>3767</v>
      </c>
      <c r="G84" s="5" t="s">
        <v>104</v>
      </c>
      <c r="H84" t="s">
        <v>59</v>
      </c>
      <c r="I84">
        <f>3600+320</f>
        <v>3920</v>
      </c>
      <c r="J84" s="5" t="s">
        <v>105</v>
      </c>
    </row>
  </sheetData>
  <sheetProtection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 K28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85" zoomScaleNormal="85" workbookViewId="0">
      <selection activeCell="H14" sqref="H14"/>
    </sheetView>
  </sheetViews>
  <sheetFormatPr defaultRowHeight="15" x14ac:dyDescent="0.25"/>
  <cols>
    <col min="2" max="2" width="12" bestFit="1" customWidth="1"/>
    <col min="6" max="6" width="18.7109375" bestFit="1" customWidth="1"/>
  </cols>
  <sheetData>
    <row r="1" spans="1:9" x14ac:dyDescent="0.25">
      <c r="A1" s="10" t="s">
        <v>114</v>
      </c>
      <c r="B1" t="s">
        <v>106</v>
      </c>
      <c r="C1" t="s">
        <v>107</v>
      </c>
      <c r="D1" t="s">
        <v>108</v>
      </c>
      <c r="F1" s="10" t="s">
        <v>115</v>
      </c>
      <c r="G1" t="s">
        <v>106</v>
      </c>
      <c r="H1" t="s">
        <v>107</v>
      </c>
      <c r="I1" t="s">
        <v>108</v>
      </c>
    </row>
    <row r="2" spans="1:9" x14ac:dyDescent="0.25">
      <c r="B2">
        <v>131</v>
      </c>
      <c r="C2" s="2">
        <v>209.43914907575001</v>
      </c>
      <c r="D2">
        <f>B2*C2</f>
        <v>27436.528528923252</v>
      </c>
      <c r="G2">
        <v>131</v>
      </c>
      <c r="H2" s="2">
        <v>209.43914907575001</v>
      </c>
      <c r="I2">
        <f>G2*H2</f>
        <v>27436.528528923252</v>
      </c>
    </row>
    <row r="3" spans="1:9" x14ac:dyDescent="0.25">
      <c r="B3">
        <v>131</v>
      </c>
      <c r="C3" s="2">
        <v>202.82528121019999</v>
      </c>
      <c r="D3">
        <f t="shared" ref="D3:D10" si="0">B3*C3</f>
        <v>26570.111838536199</v>
      </c>
      <c r="G3">
        <v>131</v>
      </c>
      <c r="H3" s="2">
        <v>202.82528121019999</v>
      </c>
      <c r="I3">
        <f t="shared" ref="I3:I10" si="1">G3*H3</f>
        <v>26570.111838536199</v>
      </c>
    </row>
    <row r="4" spans="1:9" x14ac:dyDescent="0.25">
      <c r="B4">
        <v>170</v>
      </c>
      <c r="C4" s="2">
        <v>163.14207401690001</v>
      </c>
      <c r="D4">
        <f t="shared" si="0"/>
        <v>27734.152582873001</v>
      </c>
      <c r="G4">
        <v>170</v>
      </c>
      <c r="H4" s="2">
        <v>163.14207401690001</v>
      </c>
      <c r="I4">
        <f t="shared" si="1"/>
        <v>27734.152582873001</v>
      </c>
    </row>
    <row r="5" spans="1:9" x14ac:dyDescent="0.25">
      <c r="B5">
        <v>214</v>
      </c>
      <c r="C5" s="2">
        <v>145.50509304210001</v>
      </c>
      <c r="D5">
        <f t="shared" si="0"/>
        <v>31138.089911009403</v>
      </c>
      <c r="G5">
        <v>214</v>
      </c>
      <c r="H5" s="2">
        <v>145.50509304210001</v>
      </c>
      <c r="I5">
        <f t="shared" si="1"/>
        <v>31138.089911009403</v>
      </c>
    </row>
    <row r="6" spans="1:9" x14ac:dyDescent="0.25">
      <c r="B6">
        <v>214</v>
      </c>
      <c r="C6" s="2">
        <v>134.48197993285001</v>
      </c>
      <c r="D6">
        <f t="shared" si="0"/>
        <v>28779.143705629904</v>
      </c>
      <c r="G6">
        <v>214</v>
      </c>
      <c r="H6" s="2">
        <v>134.48197993285001</v>
      </c>
      <c r="I6">
        <f t="shared" si="1"/>
        <v>28779.143705629904</v>
      </c>
    </row>
    <row r="7" spans="1:9" x14ac:dyDescent="0.25">
      <c r="B7">
        <v>251</v>
      </c>
      <c r="C7" s="2">
        <v>165.34669663874999</v>
      </c>
      <c r="D7">
        <f t="shared" si="0"/>
        <v>41502.020856326249</v>
      </c>
      <c r="G7">
        <v>251</v>
      </c>
      <c r="H7" s="2">
        <v>165.34669663874999</v>
      </c>
      <c r="I7">
        <f t="shared" si="1"/>
        <v>41502.020856326249</v>
      </c>
    </row>
    <row r="8" spans="1:9" x14ac:dyDescent="0.25">
      <c r="B8">
        <v>251</v>
      </c>
      <c r="C8" s="2">
        <v>171.96056450430001</v>
      </c>
      <c r="D8">
        <f t="shared" si="0"/>
        <v>43162.1016905793</v>
      </c>
      <c r="G8">
        <v>251</v>
      </c>
      <c r="H8" s="2">
        <v>171.96056450430001</v>
      </c>
      <c r="I8">
        <f t="shared" si="1"/>
        <v>43162.1016905793</v>
      </c>
    </row>
    <row r="9" spans="1:9" x14ac:dyDescent="0.25">
      <c r="B9">
        <v>288</v>
      </c>
      <c r="C9" s="2">
        <v>189.59754547910001</v>
      </c>
      <c r="D9">
        <f t="shared" si="0"/>
        <v>54604.093097980804</v>
      </c>
      <c r="G9" s="13">
        <v>134</v>
      </c>
      <c r="H9" s="2">
        <v>189.59754547910001</v>
      </c>
      <c r="I9">
        <f t="shared" si="1"/>
        <v>25406.0710941994</v>
      </c>
    </row>
    <row r="10" spans="1:9" x14ac:dyDescent="0.25">
      <c r="B10">
        <v>288</v>
      </c>
      <c r="C10" s="2">
        <v>149.9143382858</v>
      </c>
      <c r="D10">
        <f t="shared" si="0"/>
        <v>43175.329426310404</v>
      </c>
      <c r="G10">
        <v>288</v>
      </c>
      <c r="H10" s="2">
        <v>149.9143382858</v>
      </c>
      <c r="I10">
        <f t="shared" si="1"/>
        <v>43175.329426310404</v>
      </c>
    </row>
    <row r="11" spans="1:9" x14ac:dyDescent="0.25">
      <c r="A11" t="s">
        <v>109</v>
      </c>
      <c r="B11">
        <f>D11/C11</f>
        <v>211.52517985611513</v>
      </c>
      <c r="C11">
        <f>SUM(C2:C10)</f>
        <v>1532.21272218575</v>
      </c>
      <c r="D11">
        <f>SUM(D2:D10)</f>
        <v>324101.57163816853</v>
      </c>
      <c r="F11" t="s">
        <v>109</v>
      </c>
      <c r="G11">
        <f>I11/H11</f>
        <v>192.46906474820148</v>
      </c>
      <c r="H11">
        <f>SUM(H2:H10)</f>
        <v>1532.21272218575</v>
      </c>
      <c r="I11">
        <f>SUM(I2:I10)</f>
        <v>294903.54963438713</v>
      </c>
    </row>
    <row r="12" spans="1:9" x14ac:dyDescent="0.25">
      <c r="A12" t="s">
        <v>110</v>
      </c>
      <c r="B12">
        <v>292.2</v>
      </c>
      <c r="C12" s="2">
        <v>9165</v>
      </c>
      <c r="D12">
        <f>B12*C12</f>
        <v>2678013</v>
      </c>
      <c r="F12" t="s">
        <v>110</v>
      </c>
      <c r="G12">
        <v>292.2</v>
      </c>
      <c r="H12" s="2">
        <v>9165</v>
      </c>
      <c r="I12">
        <f>G12*H12</f>
        <v>2678013</v>
      </c>
    </row>
    <row r="14" spans="1:9" x14ac:dyDescent="0.25">
      <c r="A14" t="s">
        <v>111</v>
      </c>
      <c r="B14">
        <f>D14/C14</f>
        <v>280.64456130818627</v>
      </c>
      <c r="C14">
        <f>C11+C12</f>
        <v>10697.21272218575</v>
      </c>
      <c r="D14">
        <f>D11+D12</f>
        <v>3002114.5716381688</v>
      </c>
      <c r="F14" t="s">
        <v>111</v>
      </c>
      <c r="G14">
        <f>I14/H14</f>
        <v>277.91506318918323</v>
      </c>
      <c r="H14">
        <f>H11+H12</f>
        <v>10697.21272218575</v>
      </c>
      <c r="I14">
        <f>I11+I12</f>
        <v>2972916.5496343873</v>
      </c>
    </row>
    <row r="15" spans="1:9" x14ac:dyDescent="0.25">
      <c r="A15" t="s">
        <v>112</v>
      </c>
      <c r="B15">
        <v>285.60000000000002</v>
      </c>
      <c r="C15">
        <v>4050</v>
      </c>
      <c r="D15">
        <f>B15*C15</f>
        <v>1156680</v>
      </c>
      <c r="F15" t="s">
        <v>112</v>
      </c>
      <c r="G15">
        <v>285.60000000000002</v>
      </c>
      <c r="H15">
        <v>4050</v>
      </c>
      <c r="I15">
        <f>G15*H15</f>
        <v>1156680</v>
      </c>
    </row>
    <row r="17" spans="1:10" x14ac:dyDescent="0.25">
      <c r="A17" t="s">
        <v>113</v>
      </c>
      <c r="B17">
        <f>D17/C17</f>
        <v>282.00546435338703</v>
      </c>
      <c r="C17">
        <f>C15+C14</f>
        <v>14747.21272218575</v>
      </c>
      <c r="D17">
        <f>D15+D14</f>
        <v>4158794.5716381688</v>
      </c>
      <c r="F17" t="s">
        <v>113</v>
      </c>
      <c r="G17">
        <f>I17/H17</f>
        <v>280.02556329995906</v>
      </c>
      <c r="H17">
        <f>H15+H14</f>
        <v>14747.21272218575</v>
      </c>
      <c r="I17">
        <f>I15+I14</f>
        <v>4129596.5496343873</v>
      </c>
    </row>
    <row r="20" spans="1:10" x14ac:dyDescent="0.25">
      <c r="F20" t="s">
        <v>116</v>
      </c>
      <c r="G20">
        <f>G17-B17</f>
        <v>-1.979901053427966</v>
      </c>
    </row>
    <row r="21" spans="1:10" x14ac:dyDescent="0.25">
      <c r="F21" s="12" t="s">
        <v>117</v>
      </c>
      <c r="G21" s="12">
        <f>G20*0.0254</f>
        <v>-5.0289486757070331E-2</v>
      </c>
      <c r="H21" t="s">
        <v>125</v>
      </c>
    </row>
    <row r="22" spans="1:10" x14ac:dyDescent="0.25">
      <c r="F22" t="s">
        <v>119</v>
      </c>
      <c r="G22">
        <f>(Sheet1!G76-Sheet1!G75)*PI()/180</f>
        <v>-8.7266462599716477E-3</v>
      </c>
      <c r="H22" t="s">
        <v>126</v>
      </c>
    </row>
    <row r="23" spans="1:10" x14ac:dyDescent="0.25">
      <c r="F23" t="s">
        <v>118</v>
      </c>
      <c r="G23">
        <f>2.0569</f>
        <v>2.0569000000000002</v>
      </c>
      <c r="H23" t="s">
        <v>124</v>
      </c>
    </row>
    <row r="24" spans="1:10" x14ac:dyDescent="0.25">
      <c r="F24" t="s">
        <v>120</v>
      </c>
      <c r="G24">
        <v>0.45902862903048902</v>
      </c>
      <c r="H24" t="s">
        <v>123</v>
      </c>
    </row>
    <row r="25" spans="1:10" x14ac:dyDescent="0.25">
      <c r="F25" t="s">
        <v>121</v>
      </c>
      <c r="G25">
        <f>H17-(Sheet1!L75+Sheet1!L76)/2</f>
        <v>13851.71272218575</v>
      </c>
      <c r="H25" t="s">
        <v>127</v>
      </c>
    </row>
    <row r="26" spans="1:10" x14ac:dyDescent="0.25">
      <c r="F26" t="s">
        <v>122</v>
      </c>
      <c r="G26">
        <f>G25*0.45359237*9.81</f>
        <v>61636.536093732946</v>
      </c>
      <c r="H26" t="s">
        <v>128</v>
      </c>
    </row>
    <row r="27" spans="1:10" x14ac:dyDescent="0.25">
      <c r="F27" s="11" t="s">
        <v>140</v>
      </c>
      <c r="G27" s="11">
        <f>-1/G22*G24*G21/G23</f>
        <v>-1.2860457721471781</v>
      </c>
      <c r="H27" t="s">
        <v>129</v>
      </c>
    </row>
    <row r="29" spans="1:10" x14ac:dyDescent="0.25">
      <c r="F29" t="s">
        <v>132</v>
      </c>
      <c r="G29">
        <v>-0.47970000000000002</v>
      </c>
      <c r="H29" t="s">
        <v>135</v>
      </c>
    </row>
    <row r="30" spans="1:10" x14ac:dyDescent="0.25">
      <c r="G30" t="s">
        <v>130</v>
      </c>
      <c r="H30" t="s">
        <v>131</v>
      </c>
      <c r="I30" t="s">
        <v>133</v>
      </c>
      <c r="J30" t="s">
        <v>134</v>
      </c>
    </row>
    <row r="31" spans="1:10" x14ac:dyDescent="0.25">
      <c r="G31" s="14">
        <v>3.4</v>
      </c>
      <c r="H31" s="2">
        <v>1</v>
      </c>
      <c r="I31">
        <f t="shared" ref="I31:J37" si="2">G31*PI()/180</f>
        <v>5.9341194567807204E-2</v>
      </c>
      <c r="J31">
        <f t="shared" si="2"/>
        <v>1.7453292519943295E-2</v>
      </c>
    </row>
    <row r="32" spans="1:10" x14ac:dyDescent="0.25">
      <c r="G32" s="14">
        <v>4.0999999999999996</v>
      </c>
      <c r="H32" s="2">
        <v>0.6</v>
      </c>
      <c r="I32">
        <f t="shared" si="2"/>
        <v>7.15584993317675E-2</v>
      </c>
      <c r="J32">
        <f t="shared" si="2"/>
        <v>1.0471975511965976E-2</v>
      </c>
    </row>
    <row r="33" spans="6:10" x14ac:dyDescent="0.25">
      <c r="G33" s="14">
        <v>4.5</v>
      </c>
      <c r="H33" s="2">
        <v>0.4</v>
      </c>
      <c r="I33">
        <f t="shared" si="2"/>
        <v>7.8539816339744828E-2</v>
      </c>
      <c r="J33">
        <f t="shared" si="2"/>
        <v>6.9813170079773184E-3</v>
      </c>
    </row>
    <row r="34" spans="6:10" x14ac:dyDescent="0.25">
      <c r="G34" s="14">
        <v>5.3</v>
      </c>
      <c r="H34" s="2">
        <v>0</v>
      </c>
      <c r="I34">
        <f t="shared" si="2"/>
        <v>9.2502450355699456E-2</v>
      </c>
      <c r="J34">
        <f t="shared" si="2"/>
        <v>0</v>
      </c>
    </row>
    <row r="35" spans="6:10" x14ac:dyDescent="0.25">
      <c r="G35" s="14">
        <v>6.3</v>
      </c>
      <c r="H35" s="2">
        <v>-0.4</v>
      </c>
      <c r="I35">
        <f t="shared" si="2"/>
        <v>0.10995574287564275</v>
      </c>
      <c r="J35">
        <f t="shared" si="2"/>
        <v>-6.9813170079773184E-3</v>
      </c>
    </row>
    <row r="36" spans="6:10" x14ac:dyDescent="0.25">
      <c r="G36" s="14">
        <v>7.3</v>
      </c>
      <c r="H36" s="2">
        <v>-0.9</v>
      </c>
      <c r="I36">
        <f t="shared" si="2"/>
        <v>0.12740903539558604</v>
      </c>
      <c r="J36">
        <f t="shared" si="2"/>
        <v>-1.5707963267948967E-2</v>
      </c>
    </row>
    <row r="37" spans="6:10" x14ac:dyDescent="0.25">
      <c r="G37" s="14">
        <v>8.5</v>
      </c>
      <c r="H37" s="2">
        <v>-1.5</v>
      </c>
      <c r="I37">
        <f t="shared" si="2"/>
        <v>0.14835298641951802</v>
      </c>
      <c r="J37">
        <f t="shared" si="2"/>
        <v>-2.6179938779914941E-2</v>
      </c>
    </row>
    <row r="39" spans="6:10" x14ac:dyDescent="0.25">
      <c r="F39" s="11" t="s">
        <v>139</v>
      </c>
      <c r="G39" s="11">
        <f>-G29*G27</f>
        <v>-0.61691615689900137</v>
      </c>
      <c r="H39" t="s">
        <v>136</v>
      </c>
    </row>
    <row r="40" spans="6:10" x14ac:dyDescent="0.25">
      <c r="F40" s="11" t="s">
        <v>138</v>
      </c>
      <c r="G40" s="11">
        <v>4.6248127110932096</v>
      </c>
      <c r="H40" t="s">
        <v>137</v>
      </c>
    </row>
  </sheetData>
  <sortState ref="G31:H37">
    <sortCondition ref="G30"/>
  </sortState>
  <conditionalFormatting sqref="G31:H37">
    <cfRule type="expression" priority="1">
      <formula>LEN(TRIM(G31))=0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topLeftCell="A61" zoomScale="115" zoomScaleNormal="115" workbookViewId="0">
      <selection activeCell="E81" sqref="E81:E88"/>
    </sheetView>
  </sheetViews>
  <sheetFormatPr defaultRowHeight="15" x14ac:dyDescent="0.25"/>
  <cols>
    <col min="5" max="5" width="13.140625" customWidth="1"/>
    <col min="6" max="6" width="13.28515625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9">
        <v>43171</v>
      </c>
      <c r="F3" t="s">
        <v>2</v>
      </c>
      <c r="H3" s="2"/>
    </row>
    <row r="4" spans="1:8" x14ac:dyDescent="0.25">
      <c r="A4" t="s">
        <v>3</v>
      </c>
      <c r="D4" s="2">
        <v>1</v>
      </c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8</v>
      </c>
      <c r="D8" s="2"/>
      <c r="H8" s="2">
        <v>95</v>
      </c>
    </row>
    <row r="9" spans="1:8" x14ac:dyDescent="0.25">
      <c r="A9" t="s">
        <v>9</v>
      </c>
      <c r="D9" s="2"/>
      <c r="H9" s="2">
        <v>92</v>
      </c>
    </row>
    <row r="10" spans="1:8" x14ac:dyDescent="0.25">
      <c r="A10" t="s">
        <v>10</v>
      </c>
      <c r="D10" s="2"/>
      <c r="H10" s="2">
        <v>74</v>
      </c>
    </row>
    <row r="11" spans="1:8" x14ac:dyDescent="0.25">
      <c r="A11" t="s">
        <v>11</v>
      </c>
      <c r="D11" s="2"/>
      <c r="H11" s="2">
        <v>66</v>
      </c>
    </row>
    <row r="12" spans="1:8" x14ac:dyDescent="0.25">
      <c r="A12" t="s">
        <v>12</v>
      </c>
      <c r="D12" s="2"/>
      <c r="H12" s="2">
        <v>61</v>
      </c>
    </row>
    <row r="13" spans="1:8" x14ac:dyDescent="0.25">
      <c r="A13" t="s">
        <v>13</v>
      </c>
      <c r="D13" s="2"/>
      <c r="H13" s="2">
        <v>75</v>
      </c>
    </row>
    <row r="14" spans="1:8" x14ac:dyDescent="0.25">
      <c r="A14" t="s">
        <v>14</v>
      </c>
      <c r="D14" s="2"/>
      <c r="H14" s="2">
        <v>78</v>
      </c>
    </row>
    <row r="15" spans="1:8" x14ac:dyDescent="0.25">
      <c r="A15" t="s">
        <v>15</v>
      </c>
      <c r="D15" s="2"/>
      <c r="H15" s="2">
        <v>86</v>
      </c>
    </row>
    <row r="16" spans="1:8" x14ac:dyDescent="0.25">
      <c r="A16" t="s">
        <v>16</v>
      </c>
      <c r="D16" s="2"/>
      <c r="H16" s="2">
        <v>68</v>
      </c>
    </row>
    <row r="17" spans="1:11" x14ac:dyDescent="0.25">
      <c r="H17">
        <f>SUM(H8:H16)</f>
        <v>695</v>
      </c>
    </row>
    <row r="18" spans="1:11" x14ac:dyDescent="0.25">
      <c r="A18" t="s">
        <v>17</v>
      </c>
      <c r="D18" s="2">
        <v>4050</v>
      </c>
    </row>
    <row r="21" spans="1:11" x14ac:dyDescent="0.25">
      <c r="A21" s="1" t="s">
        <v>18</v>
      </c>
    </row>
    <row r="23" spans="1:11" x14ac:dyDescent="0.25">
      <c r="A23" t="s">
        <v>19</v>
      </c>
      <c r="E23" t="s">
        <v>20</v>
      </c>
    </row>
    <row r="25" spans="1:11" x14ac:dyDescent="0.2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1" x14ac:dyDescent="0.2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1" x14ac:dyDescent="0.25">
      <c r="A28">
        <v>1</v>
      </c>
      <c r="B28" s="8" t="s">
        <v>99</v>
      </c>
      <c r="C28" s="2">
        <f>19*60+17</f>
        <v>1157</v>
      </c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 t="s">
        <v>61</v>
      </c>
      <c r="K28" s="2"/>
    </row>
    <row r="29" spans="1:11" x14ac:dyDescent="0.25">
      <c r="A29">
        <v>2</v>
      </c>
      <c r="B29" s="8" t="s">
        <v>98</v>
      </c>
      <c r="C29" s="2"/>
      <c r="D29" s="2">
        <v>5020</v>
      </c>
      <c r="E29" s="2">
        <v>221</v>
      </c>
      <c r="F29" s="2" t="s">
        <v>62</v>
      </c>
      <c r="G29" s="2">
        <v>673</v>
      </c>
      <c r="H29" s="2">
        <v>682</v>
      </c>
      <c r="I29" s="2">
        <v>412</v>
      </c>
      <c r="J29" s="2" t="s">
        <v>63</v>
      </c>
    </row>
    <row r="30" spans="1:11" x14ac:dyDescent="0.25">
      <c r="A30">
        <v>3</v>
      </c>
      <c r="B30" s="8" t="s">
        <v>97</v>
      </c>
      <c r="C30" s="2"/>
      <c r="D30" s="2">
        <v>5020</v>
      </c>
      <c r="E30" s="2">
        <v>192</v>
      </c>
      <c r="F30" s="2" t="s">
        <v>64</v>
      </c>
      <c r="G30" s="2">
        <v>561</v>
      </c>
      <c r="H30" s="2">
        <v>579</v>
      </c>
      <c r="I30" s="2">
        <v>447</v>
      </c>
      <c r="J30" s="2" t="s">
        <v>65</v>
      </c>
    </row>
    <row r="31" spans="1:11" x14ac:dyDescent="0.25">
      <c r="A31">
        <v>4</v>
      </c>
      <c r="B31" s="6" t="s">
        <v>94</v>
      </c>
      <c r="C31" s="2"/>
      <c r="D31" s="2">
        <v>5030</v>
      </c>
      <c r="E31" s="2">
        <v>163</v>
      </c>
      <c r="F31" s="2" t="s">
        <v>66</v>
      </c>
      <c r="G31" s="2">
        <v>463</v>
      </c>
      <c r="H31" s="2">
        <v>484</v>
      </c>
      <c r="I31" s="2">
        <v>478</v>
      </c>
      <c r="J31" s="2" t="s">
        <v>67</v>
      </c>
    </row>
    <row r="32" spans="1:11" x14ac:dyDescent="0.25">
      <c r="A32">
        <v>5</v>
      </c>
      <c r="B32" s="6" t="s">
        <v>95</v>
      </c>
      <c r="C32" s="2"/>
      <c r="D32" s="2">
        <v>5020</v>
      </c>
      <c r="E32" s="2">
        <v>130</v>
      </c>
      <c r="F32" s="2" t="s">
        <v>68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25">
      <c r="A33">
        <v>6</v>
      </c>
      <c r="B33" s="6" t="s">
        <v>96</v>
      </c>
      <c r="C33" s="2"/>
      <c r="D33" s="2">
        <v>5110</v>
      </c>
      <c r="E33" s="2">
        <v>118</v>
      </c>
      <c r="F33" s="2" t="s">
        <v>69</v>
      </c>
      <c r="G33" s="2">
        <v>474</v>
      </c>
      <c r="H33" s="2">
        <v>499</v>
      </c>
      <c r="I33" s="2">
        <v>570</v>
      </c>
      <c r="J33" s="2" t="s">
        <v>70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39</v>
      </c>
    </row>
    <row r="37" spans="1:10" x14ac:dyDescent="0.25">
      <c r="A37" s="1" t="s">
        <v>40</v>
      </c>
    </row>
    <row r="39" spans="1:10" x14ac:dyDescent="0.25">
      <c r="A39" t="s">
        <v>41</v>
      </c>
      <c r="E39" s="2"/>
    </row>
    <row r="41" spans="1:10" x14ac:dyDescent="0.2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5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39</v>
      </c>
    </row>
    <row r="52" spans="1:13" x14ac:dyDescent="0.25">
      <c r="A52" s="1" t="s">
        <v>43</v>
      </c>
    </row>
    <row r="54" spans="1:13" x14ac:dyDescent="0.25">
      <c r="A54" t="s">
        <v>19</v>
      </c>
      <c r="E54" t="s">
        <v>20</v>
      </c>
    </row>
    <row r="56" spans="1:13" x14ac:dyDescent="0.2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5">
      <c r="A59">
        <v>1</v>
      </c>
      <c r="B59" s="5" t="s">
        <v>74</v>
      </c>
      <c r="C59" s="2"/>
      <c r="D59" s="2">
        <v>6060</v>
      </c>
      <c r="E59" s="2">
        <v>161</v>
      </c>
      <c r="F59" s="2" t="s">
        <v>71</v>
      </c>
      <c r="G59" s="2">
        <v>0</v>
      </c>
      <c r="H59" s="2" t="s">
        <v>72</v>
      </c>
      <c r="I59" s="2">
        <v>0</v>
      </c>
      <c r="J59" s="2">
        <v>462</v>
      </c>
      <c r="K59" s="2">
        <v>486</v>
      </c>
      <c r="L59" s="2">
        <v>664</v>
      </c>
      <c r="M59" s="2" t="s">
        <v>73</v>
      </c>
    </row>
    <row r="60" spans="1:13" x14ac:dyDescent="0.25">
      <c r="A60">
        <v>2</v>
      </c>
      <c r="B60" s="5" t="s">
        <v>75</v>
      </c>
      <c r="C60" s="2"/>
      <c r="D60" s="2">
        <v>6350</v>
      </c>
      <c r="E60" s="2">
        <v>150</v>
      </c>
      <c r="F60" s="2" t="s">
        <v>76</v>
      </c>
      <c r="G60" s="2">
        <v>-0.4</v>
      </c>
      <c r="H60" s="2" t="s">
        <v>72</v>
      </c>
      <c r="I60" s="2">
        <v>-23</v>
      </c>
      <c r="J60" s="2">
        <v>458</v>
      </c>
      <c r="K60" s="2">
        <v>482</v>
      </c>
      <c r="L60" s="2">
        <v>694</v>
      </c>
      <c r="M60" s="2" t="s">
        <v>77</v>
      </c>
    </row>
    <row r="61" spans="1:13" x14ac:dyDescent="0.25">
      <c r="A61">
        <v>3</v>
      </c>
      <c r="B61" s="5" t="s">
        <v>78</v>
      </c>
      <c r="C61" s="2"/>
      <c r="D61" s="2">
        <v>6550</v>
      </c>
      <c r="E61" s="2">
        <v>140</v>
      </c>
      <c r="F61" s="2" t="s">
        <v>79</v>
      </c>
      <c r="G61" s="2">
        <v>-0.9</v>
      </c>
      <c r="H61" s="2" t="s">
        <v>72</v>
      </c>
      <c r="I61" s="2">
        <v>-29</v>
      </c>
      <c r="J61" s="2">
        <v>454</v>
      </c>
      <c r="K61" s="2">
        <v>477</v>
      </c>
      <c r="L61" s="2">
        <v>730</v>
      </c>
      <c r="M61" s="2" t="s">
        <v>80</v>
      </c>
    </row>
    <row r="62" spans="1:13" x14ac:dyDescent="0.25">
      <c r="A62">
        <v>4</v>
      </c>
      <c r="B62" s="5" t="s">
        <v>81</v>
      </c>
      <c r="C62" s="2"/>
      <c r="D62" s="2">
        <v>6880</v>
      </c>
      <c r="E62" s="2">
        <v>130</v>
      </c>
      <c r="F62" s="2" t="s">
        <v>82</v>
      </c>
      <c r="G62" s="2">
        <v>-1.5</v>
      </c>
      <c r="H62" s="2" t="s">
        <v>72</v>
      </c>
      <c r="I62" s="2">
        <v>-46</v>
      </c>
      <c r="J62" s="2">
        <v>449</v>
      </c>
      <c r="K62" s="2">
        <v>473</v>
      </c>
      <c r="L62" s="2">
        <v>755</v>
      </c>
      <c r="M62" s="2" t="s">
        <v>83</v>
      </c>
    </row>
    <row r="63" spans="1:13" x14ac:dyDescent="0.25">
      <c r="A63">
        <v>5</v>
      </c>
      <c r="B63" s="5" t="s">
        <v>84</v>
      </c>
      <c r="C63" s="2"/>
      <c r="D63" s="2">
        <v>6160</v>
      </c>
      <c r="E63" s="2">
        <v>173</v>
      </c>
      <c r="F63" s="2" t="s">
        <v>77</v>
      </c>
      <c r="G63" s="2">
        <v>0.4</v>
      </c>
      <c r="H63" s="2" t="s">
        <v>72</v>
      </c>
      <c r="I63" s="2">
        <v>26</v>
      </c>
      <c r="J63" s="2">
        <v>465</v>
      </c>
      <c r="K63" s="2">
        <v>489</v>
      </c>
      <c r="L63" s="2">
        <v>798</v>
      </c>
      <c r="M63" s="2" t="s">
        <v>85</v>
      </c>
    </row>
    <row r="64" spans="1:13" x14ac:dyDescent="0.25">
      <c r="A64">
        <v>6</v>
      </c>
      <c r="B64" s="5" t="s">
        <v>86</v>
      </c>
      <c r="C64" s="2"/>
      <c r="D64" s="2">
        <v>5810</v>
      </c>
      <c r="E64" s="2">
        <v>179</v>
      </c>
      <c r="F64" s="2" t="s">
        <v>87</v>
      </c>
      <c r="G64" s="2">
        <v>0.6</v>
      </c>
      <c r="H64" s="2" t="s">
        <v>72</v>
      </c>
      <c r="I64" s="2">
        <v>40</v>
      </c>
      <c r="J64" s="2">
        <v>472</v>
      </c>
      <c r="K64" s="2">
        <v>496</v>
      </c>
      <c r="L64" s="2">
        <v>825</v>
      </c>
      <c r="M64" s="2" t="s">
        <v>88</v>
      </c>
    </row>
    <row r="65" spans="1:13" x14ac:dyDescent="0.25">
      <c r="A65">
        <v>7</v>
      </c>
      <c r="B65" s="5" t="s">
        <v>89</v>
      </c>
      <c r="C65" s="2"/>
      <c r="D65" s="2">
        <v>5310</v>
      </c>
      <c r="E65" s="2">
        <v>192</v>
      </c>
      <c r="F65" s="2" t="s">
        <v>90</v>
      </c>
      <c r="G65" s="2">
        <v>1</v>
      </c>
      <c r="H65" s="2" t="s">
        <v>72</v>
      </c>
      <c r="I65" s="2">
        <v>83</v>
      </c>
      <c r="J65" s="2">
        <v>482</v>
      </c>
      <c r="K65" s="2">
        <v>505</v>
      </c>
      <c r="L65" s="2">
        <v>846</v>
      </c>
      <c r="M65" s="2" t="s">
        <v>91</v>
      </c>
    </row>
    <row r="66" spans="1:13" x14ac:dyDescent="0.25">
      <c r="C66" t="s">
        <v>39</v>
      </c>
    </row>
    <row r="68" spans="1:13" x14ac:dyDescent="0.25">
      <c r="A68" s="1" t="s">
        <v>48</v>
      </c>
    </row>
    <row r="70" spans="1:13" x14ac:dyDescent="0.25">
      <c r="A70" t="s">
        <v>49</v>
      </c>
      <c r="C70" s="2"/>
    </row>
    <row r="71" spans="1:13" x14ac:dyDescent="0.25">
      <c r="A71" t="s">
        <v>50</v>
      </c>
      <c r="C71" s="2"/>
      <c r="E71" t="s">
        <v>51</v>
      </c>
      <c r="H71" s="2"/>
    </row>
    <row r="73" spans="1:13" x14ac:dyDescent="0.2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5">
      <c r="A75">
        <v>1</v>
      </c>
      <c r="B75" s="5" t="s">
        <v>92</v>
      </c>
      <c r="C75" s="2"/>
      <c r="D75" s="2">
        <v>5730</v>
      </c>
      <c r="E75" s="2">
        <v>161</v>
      </c>
      <c r="F75" s="2" t="s">
        <v>71</v>
      </c>
      <c r="G75" s="2">
        <v>0</v>
      </c>
      <c r="H75" s="2" t="s">
        <v>72</v>
      </c>
      <c r="I75" s="2">
        <v>0</v>
      </c>
      <c r="J75" s="2">
        <v>471</v>
      </c>
      <c r="K75" s="2">
        <v>493</v>
      </c>
      <c r="L75" s="2">
        <v>881</v>
      </c>
      <c r="M75" s="2" t="s">
        <v>85</v>
      </c>
    </row>
    <row r="76" spans="1:13" x14ac:dyDescent="0.25">
      <c r="A76">
        <v>2</v>
      </c>
      <c r="B76" s="5" t="s">
        <v>93</v>
      </c>
      <c r="C76" s="2">
        <f>52*60+46</f>
        <v>3166</v>
      </c>
      <c r="D76" s="2">
        <v>5790</v>
      </c>
      <c r="E76" s="2">
        <v>161</v>
      </c>
      <c r="F76" s="2" t="s">
        <v>71</v>
      </c>
      <c r="G76" s="2">
        <v>-0.5</v>
      </c>
      <c r="H76" s="2" t="s">
        <v>72</v>
      </c>
      <c r="I76" s="2">
        <v>-30</v>
      </c>
      <c r="J76" s="2">
        <v>468</v>
      </c>
      <c r="K76" s="2">
        <v>490</v>
      </c>
      <c r="L76" s="2">
        <v>910</v>
      </c>
      <c r="M76" s="2" t="s">
        <v>85</v>
      </c>
    </row>
    <row r="77" spans="1:13" x14ac:dyDescent="0.25">
      <c r="C77" t="s">
        <v>39</v>
      </c>
    </row>
    <row r="79" spans="1:13" x14ac:dyDescent="0.25">
      <c r="A79" s="1" t="s">
        <v>52</v>
      </c>
    </row>
    <row r="81" spans="1:7" x14ac:dyDescent="0.25">
      <c r="C81" t="s">
        <v>143</v>
      </c>
      <c r="D81" t="s">
        <v>53</v>
      </c>
      <c r="E81" s="16" t="s">
        <v>144</v>
      </c>
      <c r="G81" t="s">
        <v>141</v>
      </c>
    </row>
    <row r="82" spans="1:7" x14ac:dyDescent="0.25">
      <c r="C82" t="s">
        <v>32</v>
      </c>
      <c r="D82" t="s">
        <v>42</v>
      </c>
      <c r="E82" s="16" t="s">
        <v>145</v>
      </c>
      <c r="G82" t="s">
        <v>142</v>
      </c>
    </row>
    <row r="83" spans="1:7" x14ac:dyDescent="0.25">
      <c r="A83" t="s">
        <v>54</v>
      </c>
      <c r="C83">
        <f>53*60+57</f>
        <v>3237</v>
      </c>
      <c r="D83" s="5" t="s">
        <v>101</v>
      </c>
      <c r="E83" s="16">
        <f>($D$18-$L$76-$G$83*(C83-$C$76)+cm_delta!$H$14)*0.453592</f>
        <v>6267.6322844704291</v>
      </c>
      <c r="G83" s="15">
        <f>(L76-I28)/(C76-C28)</f>
        <v>0.273768043802887</v>
      </c>
    </row>
    <row r="84" spans="1:7" x14ac:dyDescent="0.25">
      <c r="A84" t="s">
        <v>56</v>
      </c>
      <c r="C84">
        <f>59*60+10</f>
        <v>3550</v>
      </c>
      <c r="D84" s="5" t="s">
        <v>100</v>
      </c>
      <c r="E84" s="16">
        <f>($D$18-$L$76-$G$83*(C84-$C$76)+cm_delta!$H$14)*0.453592</f>
        <v>6228.7642591842168</v>
      </c>
    </row>
    <row r="85" spans="1:7" x14ac:dyDescent="0.25">
      <c r="A85" t="s">
        <v>57</v>
      </c>
      <c r="C85">
        <f>3600+35</f>
        <v>3635</v>
      </c>
      <c r="D85" s="5" t="s">
        <v>102</v>
      </c>
      <c r="E85" s="16">
        <f>($D$18-$L$76-$G$83*(C85-$C$76)+cm_delta!$H$14)*0.453592</f>
        <v>6218.2090446496231</v>
      </c>
    </row>
    <row r="86" spans="1:7" x14ac:dyDescent="0.25">
      <c r="A86" t="s">
        <v>55</v>
      </c>
      <c r="C86">
        <f>3600+60+57</f>
        <v>3717</v>
      </c>
      <c r="D86" s="5" t="s">
        <v>103</v>
      </c>
      <c r="E86" s="16">
        <f>($D$18-$L$76-$G$83*(C86-$C$76)+cm_delta!$H$14)*0.453592</f>
        <v>6208.0263670986023</v>
      </c>
    </row>
    <row r="87" spans="1:7" x14ac:dyDescent="0.25">
      <c r="A87" t="s">
        <v>58</v>
      </c>
      <c r="C87">
        <f>3600+120+47</f>
        <v>3767</v>
      </c>
      <c r="D87" s="5" t="s">
        <v>104</v>
      </c>
      <c r="E87" s="16">
        <f>($D$18-$L$76-$G$83*(C87-$C$76)+cm_delta!$H$14)*0.453592</f>
        <v>6201.8174173723701</v>
      </c>
    </row>
    <row r="88" spans="1:7" x14ac:dyDescent="0.25">
      <c r="A88" t="s">
        <v>59</v>
      </c>
      <c r="C88">
        <f>3600+320</f>
        <v>3920</v>
      </c>
      <c r="D88" s="5" t="s">
        <v>105</v>
      </c>
      <c r="E88" s="16">
        <f>($D$18-$L$76-$G$83*(C88-$C$76)+cm_delta!$H$14)*0.453592</f>
        <v>6182.8180312101003</v>
      </c>
    </row>
    <row r="90" spans="1:7" x14ac:dyDescent="0.25">
      <c r="A90" t="s">
        <v>146</v>
      </c>
    </row>
  </sheetData>
  <sortState ref="A83:E88">
    <sortCondition ref="C83:C88"/>
  </sortState>
  <conditionalFormatting sqref="B34:J34">
    <cfRule type="expression" priority="1">
      <formula>LEN(TRIM(B34))=0</formula>
    </cfRule>
  </conditionalFormatting>
  <conditionalFormatting sqref="D18">
    <cfRule type="expression" priority="2">
      <formula>LEN(TRIM(D18))=0</formula>
    </cfRule>
  </conditionalFormatting>
  <conditionalFormatting sqref="B28:J33 K28">
    <cfRule type="expression" priority="3">
      <formula>LEN(TRIM(B28))=0</formula>
    </cfRule>
  </conditionalFormatting>
  <conditionalFormatting sqref="C59:M65">
    <cfRule type="expression" priority="4">
      <formula>LEN(TRIM(C59))=0</formula>
    </cfRule>
  </conditionalFormatting>
  <conditionalFormatting sqref="C44:J50">
    <cfRule type="expression" priority="5">
      <formula>LEN(TRIM(C44))=0</formula>
    </cfRule>
  </conditionalFormatting>
  <conditionalFormatting sqref="C70">
    <cfRule type="expression" priority="6">
      <formula>LEN(TRIM(C70))=0</formula>
    </cfRule>
  </conditionalFormatting>
  <conditionalFormatting sqref="C71">
    <cfRule type="expression" priority="7">
      <formula>LEN(TRIM(C71))=0</formula>
    </cfRule>
  </conditionalFormatting>
  <conditionalFormatting sqref="H71">
    <cfRule type="expression" priority="8">
      <formula>LEN(TRIM(H71))=0</formula>
    </cfRule>
  </conditionalFormatting>
  <conditionalFormatting sqref="B75:M76">
    <cfRule type="expression" priority="9">
      <formula>LEN(TRIM(B75))=0</formula>
    </cfRule>
  </conditionalFormatting>
  <conditionalFormatting sqref="D3:D4">
    <cfRule type="expression" priority="10">
      <formula>LEN(TRIM(D3))=0</formula>
    </cfRule>
  </conditionalFormatting>
  <conditionalFormatting sqref="E39">
    <cfRule type="expression" priority="11">
      <formula>LEN(TRIM(E39))=0</formula>
    </cfRule>
  </conditionalFormatting>
  <conditionalFormatting sqref="D83:D84">
    <cfRule type="expression" priority="12">
      <formula>LEN(TRIM(D83))=0</formula>
    </cfRule>
  </conditionalFormatting>
  <conditionalFormatting sqref="D85:D86">
    <cfRule type="expression" priority="13">
      <formula>LEN(TRIM(D85))=0</formula>
    </cfRule>
  </conditionalFormatting>
  <conditionalFormatting sqref="D87:D88">
    <cfRule type="expression" priority="14">
      <formula>LEN(TRIM(D87))=0</formula>
    </cfRule>
  </conditionalFormatting>
  <conditionalFormatting sqref="B59:B65">
    <cfRule type="expression" priority="15">
      <formula>LEN(TRIM(B59))=0</formula>
    </cfRule>
  </conditionalFormatting>
  <conditionalFormatting sqref="B44:B50">
    <cfRule type="expression" priority="16">
      <formula>LEN(TRIM(B44))=0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cm_delta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Mitchel Maaskant</cp:lastModifiedBy>
  <cp:revision>0</cp:revision>
  <cp:lastPrinted>2013-02-27T10:55:04Z</cp:lastPrinted>
  <dcterms:created xsi:type="dcterms:W3CDTF">2013-02-25T15:54:42Z</dcterms:created>
  <dcterms:modified xsi:type="dcterms:W3CDTF">2019-03-19T14:13:24Z</dcterms:modified>
  <dc:language>en-GB</dc:language>
</cp:coreProperties>
</file>