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My Documents\GitHub\FD-SVV\"/>
    </mc:Choice>
  </mc:AlternateContent>
  <bookViews>
    <workbookView xWindow="0" yWindow="465" windowWidth="14400" windowHeight="16260" activeTab="1"/>
  </bookViews>
  <sheets>
    <sheet name="Sheet1" sheetId="1" r:id="rId1"/>
    <sheet name="cm_delta" sheetId="2" r:id="rId2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2" l="1"/>
  <c r="I15" i="2"/>
  <c r="I2" i="2"/>
  <c r="I3" i="2"/>
  <c r="I4" i="2"/>
  <c r="I5" i="2"/>
  <c r="I6" i="2"/>
  <c r="I7" i="2"/>
  <c r="I8" i="2"/>
  <c r="I9" i="2"/>
  <c r="I10" i="2"/>
  <c r="I11" i="2"/>
  <c r="I12" i="2"/>
  <c r="I14" i="2"/>
  <c r="I17" i="2"/>
  <c r="H11" i="2"/>
  <c r="H14" i="2"/>
  <c r="H17" i="2"/>
  <c r="G17" i="2"/>
  <c r="D15" i="2"/>
  <c r="D2" i="2"/>
  <c r="D3" i="2"/>
  <c r="D4" i="2"/>
  <c r="D5" i="2"/>
  <c r="D6" i="2"/>
  <c r="D7" i="2"/>
  <c r="D8" i="2"/>
  <c r="D9" i="2"/>
  <c r="D10" i="2"/>
  <c r="D11" i="2"/>
  <c r="D12" i="2"/>
  <c r="D14" i="2"/>
  <c r="D17" i="2"/>
  <c r="C11" i="2"/>
  <c r="C14" i="2"/>
  <c r="C17" i="2"/>
  <c r="B17" i="2"/>
  <c r="G20" i="2"/>
  <c r="G21" i="2"/>
  <c r="G23" i="2"/>
  <c r="G27" i="2"/>
  <c r="G39" i="2"/>
  <c r="J32" i="2"/>
  <c r="J33" i="2"/>
  <c r="J34" i="2"/>
  <c r="J35" i="2"/>
  <c r="J36" i="2"/>
  <c r="J37" i="2"/>
  <c r="J31" i="2"/>
  <c r="I31" i="2"/>
  <c r="I32" i="2"/>
  <c r="I33" i="2"/>
  <c r="I34" i="2"/>
  <c r="I35" i="2"/>
  <c r="I36" i="2"/>
  <c r="I37" i="2"/>
  <c r="G25" i="2"/>
  <c r="G26" i="2"/>
  <c r="G14" i="2"/>
  <c r="G11" i="2"/>
  <c r="B14" i="2"/>
  <c r="B11" i="2"/>
  <c r="H17" i="1"/>
</calcChain>
</file>

<file path=xl/sharedStrings.xml><?xml version="1.0" encoding="utf-8"?>
<sst xmlns="http://schemas.openxmlformats.org/spreadsheetml/2006/main" count="237" uniqueCount="141">
  <si>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</si>
  <si>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</si>
  <si>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</si>
  <si>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</si>
  <si>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</si>
  <si>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</si>
  <si>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</si>
  <si>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</si>
  <si>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</si>
  <si>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</si>
  <si>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</si>
  <si>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</si>
  <si>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</si>
  <si>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</si>
  <si>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</si>
  <si>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</si>
  <si>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</si>
  <si>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</si>
  <si>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</si>
  <si>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</si>
  <si>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</si>
  <si>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</si>
  <si>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</si>
  <si>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</si>
  <si>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</si>
  <si>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</si>
  <si>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</si>
  <si>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</si>
  <si>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</si>
  <si>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</si>
  <si>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</si>
  <si>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</si>
  <si>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</si>
  <si>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</si>
  <si>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</si>
  <si>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</si>
  <si>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</si>
  <si>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</si>
  <si>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</si>
  <si>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</si>
  <si>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</si>
  <si>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</si>
  <si>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</si>
  <si>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</si>
  <si>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</si>
  <si>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</si>
  <si>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</si>
  <si>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</si>
  <si>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</si>
  <si>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</si>
  <si>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</si>
  <si>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</si>
  <si>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</si>
  <si>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</si>
  <si>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</si>
  <si>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</si>
  <si>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</si>
  <si>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</si>
  <si>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</si>
  <si>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</si>
  <si>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</si>
  <si>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</si>
  <si>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</si>
  <si>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</si>
  <si>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</si>
  <si>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</si>
  <si>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</si>
  <si>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</si>
  <si>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</si>
  <si>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</si>
  <si>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</si>
  <si>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</si>
  <si>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</si>
  <si>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</si>
  <si>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</si>
  <si>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</si>
  <si>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</si>
  <si>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</si>
  <si>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</si>
  <si>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</si>
  <si>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</si>
  <si>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</si>
  <si>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</si>
  <si>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</si>
  <si>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</si>
  <si>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</si>
  <si>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</si>
  <si>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</si>
  <si>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</si>
  <si>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</si>
  <si>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</si>
  <si>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</si>
  <si>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</si>
  <si>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</si>
  <si>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</si>
  <si>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</si>
  <si>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</si>
  <si>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</si>
  <si>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</si>
  <si>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</si>
  <si>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</si>
  <si>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</si>
  <si>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</si>
  <si>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</si>
  <si>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</si>
  <si>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</si>
  <si>
    <t>xcgdatum</t>
  </si>
  <si>
    <t>mass</t>
  </si>
  <si>
    <t>moment</t>
  </si>
  <si>
    <t>payload</t>
  </si>
  <si>
    <t>bem</t>
  </si>
  <si>
    <t>ZFM</t>
  </si>
  <si>
    <t>Fuel</t>
  </si>
  <si>
    <t>RM</t>
  </si>
  <si>
    <t>original</t>
  </si>
  <si>
    <t>displacement</t>
  </si>
  <si>
    <t>delta xcg</t>
  </si>
  <si>
    <t>delta xcg [m]</t>
  </si>
  <si>
    <t>c [m]</t>
  </si>
  <si>
    <t>delta de [rad]</t>
  </si>
  <si>
    <t>C_N</t>
  </si>
  <si>
    <t>m [pounds]</t>
  </si>
  <si>
    <t>W [N]</t>
  </si>
  <si>
    <t>from python CLCD calculator</t>
  </si>
  <si>
    <t>from appendix C</t>
  </si>
  <si>
    <t>from mass balance sheet</t>
  </si>
  <si>
    <t>from reference data</t>
  </si>
  <si>
    <t>substracting fuel used from RM</t>
  </si>
  <si>
    <t>converting m to W</t>
  </si>
  <si>
    <t>result</t>
  </si>
  <si>
    <t>a [deg]</t>
  </si>
  <si>
    <t>de [deg]</t>
  </si>
  <si>
    <t>ddelta de_dalpha</t>
  </si>
  <si>
    <t>a [rad]</t>
  </si>
  <si>
    <t>de [rad]</t>
  </si>
  <si>
    <t>from polynomial</t>
  </si>
  <si>
    <t>result from previous equations</t>
  </si>
  <si>
    <t>from FD_CLCD_reference</t>
  </si>
  <si>
    <t>cl_alpha [1/rad]</t>
  </si>
  <si>
    <t>cm_alpha [1/rad]</t>
  </si>
  <si>
    <t>cm_delta de [1/rad]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</si>
</sst>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  <xf numFmtId="0" fontId="4" fillId="0" borderId="0" xfId="0" applyFont="1"/>
    <xf numFmtId="0" fontId="5" fillId="2" borderId="0" xfId="0" applyFont="1" applyFill="1"/>
    <xf numFmtId="0" fontId="6" fillId="0" borderId="0" xfId="0" applyFont="1" applyFill="1"/>
    <xf numFmtId="0" fontId="7" fillId="0" borderId="0" xfId="0" applyFont="1"/>
    <xf numFmtId="0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cm_delta!$I$31:$I$37</c:f>
              <c:numCache>
                <c:formatCode>General</c:formatCode>
                <c:ptCount val="7"/>
                <c:pt idx="0">
                  <c:v>5.9341194567807204E-2</c:v>
                </c:pt>
                <c:pt idx="1">
                  <c:v>7.15584993317675E-2</c:v>
                </c:pt>
                <c:pt idx="2">
                  <c:v>7.8539816339744828E-2</c:v>
                </c:pt>
                <c:pt idx="3">
                  <c:v>9.2502450355699456E-2</c:v>
                </c:pt>
                <c:pt idx="4">
                  <c:v>0.10995574287564275</c:v>
                </c:pt>
                <c:pt idx="5">
                  <c:v>0.12740903539558604</c:v>
                </c:pt>
                <c:pt idx="6">
                  <c:v>0.14835298641951802</c:v>
                </c:pt>
              </c:numCache>
            </c:numRef>
          </c:xVal>
          <c:yVal>
            <c:numRef>
              <c:f>cm_delta!$J$31:$J$37</c:f>
              <c:numCache>
                <c:formatCode>General</c:formatCode>
                <c:ptCount val="7"/>
                <c:pt idx="0">
                  <c:v>1.7453292519943295E-2</c:v>
                </c:pt>
                <c:pt idx="1">
                  <c:v>1.0471975511965976E-2</c:v>
                </c:pt>
                <c:pt idx="2">
                  <c:v>6.9813170079773184E-3</c:v>
                </c:pt>
                <c:pt idx="3">
                  <c:v>0</c:v>
                </c:pt>
                <c:pt idx="4">
                  <c:v>-6.9813170079773184E-3</c:v>
                </c:pt>
                <c:pt idx="5">
                  <c:v>-1.5707963267948967E-2</c:v>
                </c:pt>
                <c:pt idx="6">
                  <c:v>-2.6179938779914941E-2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5-452E-A367-63E5EE3D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84696"/>
        <c:axId val="634085680"/>
      </c:scatterChart>
      <c:valAx>
        <c:axId val="63408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4085680"/>
        <c:crosses val="autoZero"/>
        <c:crossBetween val="midCat"/>
      </c:valAx>
      <c:valAx>
        <c:axId val="6340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408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29</xdr:row>
      <xdr:rowOff>0</xdr:rowOff>
    </xdr:from>
    <xdr:to>
      <xdr:col>14</xdr:col>
      <xdr:colOff>66675</xdr:colOff>
      <xdr:row>36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D37" zoomScaleSheetLayoutView="100" workbookViewId="0">
      <selection activeCell="F59" sqref="F59:G65"/>
    </sheetView>
  </sheetViews>
  <sheetFormatPr defaultColWidth="8.85546875" defaultRowHeight="15" x14ac:dyDescent="0.25"/>
  <sheetData>
    <row r="1" spans="1:8" x14ac:dyDescent="0.25">
      <c r="A1" s="1" t="s">
        <v>0</v>
      </c>
    </row>
    <row r="3" spans="1:8" x14ac:dyDescent="0.25">
      <c r="A3" t="s">
        <v>1</v>
      </c>
      <c r="D3" s="9">
        <v>43171</v>
      </c>
      <c r="F3" t="s">
        <v>2</v>
      </c>
      <c r="H3" s="2"/>
    </row>
    <row r="4" spans="1:8" x14ac:dyDescent="0.25">
      <c r="A4" t="s">
        <v>3</v>
      </c>
      <c r="D4" s="2">
        <v>1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/>
      <c r="H8" s="2">
        <v>95</v>
      </c>
    </row>
    <row r="9" spans="1:8" x14ac:dyDescent="0.25">
      <c r="A9" t="s">
        <v>9</v>
      </c>
      <c r="D9" s="2"/>
      <c r="H9" s="2">
        <v>92</v>
      </c>
    </row>
    <row r="10" spans="1:8" x14ac:dyDescent="0.25">
      <c r="A10" t="s">
        <v>10</v>
      </c>
      <c r="D10" s="2"/>
      <c r="H10" s="2">
        <v>74</v>
      </c>
    </row>
    <row r="11" spans="1:8" x14ac:dyDescent="0.25">
      <c r="A11" t="s">
        <v>11</v>
      </c>
      <c r="D11" s="2"/>
      <c r="H11" s="2">
        <v>66</v>
      </c>
    </row>
    <row r="12" spans="1:8" x14ac:dyDescent="0.25">
      <c r="A12" t="s">
        <v>12</v>
      </c>
      <c r="D12" s="2"/>
      <c r="H12" s="2">
        <v>61</v>
      </c>
    </row>
    <row r="13" spans="1:8" x14ac:dyDescent="0.25">
      <c r="A13" t="s">
        <v>13</v>
      </c>
      <c r="D13" s="2"/>
      <c r="H13" s="2">
        <v>75</v>
      </c>
    </row>
    <row r="14" spans="1:8" x14ac:dyDescent="0.25">
      <c r="A14" t="s">
        <v>14</v>
      </c>
      <c r="D14" s="2"/>
      <c r="H14" s="2">
        <v>78</v>
      </c>
    </row>
    <row r="15" spans="1:8" x14ac:dyDescent="0.25">
      <c r="A15" t="s">
        <v>15</v>
      </c>
      <c r="D15" s="2"/>
      <c r="H15" s="2">
        <v>86</v>
      </c>
    </row>
    <row r="16" spans="1:8" x14ac:dyDescent="0.25">
      <c r="A16" t="s">
        <v>16</v>
      </c>
      <c r="D16" s="2"/>
      <c r="H16" s="2">
        <v>68</v>
      </c>
    </row>
    <row r="17" spans="1:11" x14ac:dyDescent="0.25">
      <c r="H17">
        <f>SUM(H8:H16)</f>
        <v>695</v>
      </c>
    </row>
    <row r="18" spans="1:11" x14ac:dyDescent="0.25">
      <c r="A18" t="s">
        <v>17</v>
      </c>
      <c r="D18" s="2">
        <v>4050</v>
      </c>
    </row>
    <row r="21" spans="1:11" x14ac:dyDescent="0.25">
      <c r="A21" s="1" t="s">
        <v>18</v>
      </c>
    </row>
    <row r="23" spans="1:11" x14ac:dyDescent="0.25">
      <c r="A23" t="s">
        <v>19</v>
      </c>
      <c r="E23" t="s">
        <v>20</v>
      </c>
    </row>
    <row r="25" spans="1:11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1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1" x14ac:dyDescent="0.25">
      <c r="A28">
        <v>1</v>
      </c>
      <c r="B28" s="8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  <c r="K28" s="2"/>
    </row>
    <row r="29" spans="1:11" x14ac:dyDescent="0.25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1" x14ac:dyDescent="0.25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1" x14ac:dyDescent="0.25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1" x14ac:dyDescent="0.25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5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25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25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25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25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25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25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/>
    </row>
    <row r="71" spans="1:13" x14ac:dyDescent="0.25">
      <c r="A71" t="s">
        <v>50</v>
      </c>
      <c r="C71" s="2"/>
      <c r="E71" t="s">
        <v>51</v>
      </c>
      <c r="H71" s="2"/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25">
      <c r="A76">
        <v>2</v>
      </c>
      <c r="B76" s="5" t="s">
        <v>93</v>
      </c>
      <c r="C76" s="2"/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25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 K28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B1" workbookViewId="0">
      <selection activeCell="D31" sqref="D31"/>
    </sheetView>
  </sheetViews>
  <sheetFormatPr defaultRowHeight="15" x14ac:dyDescent="0.25"/>
  <cols>
    <col min="2" max="2" width="12" bestFit="1" customWidth="1"/>
    <col min="6" max="6" width="18.7109375" bestFit="1" customWidth="1"/>
  </cols>
  <sheetData>
    <row r="1" spans="1:9" x14ac:dyDescent="0.25">
      <c r="A1" s="10" t="s">
        <v>114</v>
      </c>
      <c r="B1" t="s">
        <v>106</v>
      </c>
      <c r="C1" t="s">
        <v>107</v>
      </c>
      <c r="D1" t="s">
        <v>108</v>
      </c>
      <c r="F1" s="10" t="s">
        <v>115</v>
      </c>
      <c r="G1" t="s">
        <v>106</v>
      </c>
      <c r="H1" t="s">
        <v>107</v>
      </c>
      <c r="I1" t="s">
        <v>108</v>
      </c>
    </row>
    <row r="2" spans="1:9" x14ac:dyDescent="0.25">
      <c r="B2">
        <v>131</v>
      </c>
      <c r="C2" s="2">
        <v>209.43914907575001</v>
      </c>
      <c r="D2">
        <f>B2*C2</f>
        <v>27436.528528923252</v>
      </c>
      <c r="G2">
        <v>131</v>
      </c>
      <c r="H2" s="2">
        <v>209.43914907575001</v>
      </c>
      <c r="I2">
        <f>G2*H2</f>
        <v>27436.528528923252</v>
      </c>
    </row>
    <row r="3" spans="1:9" x14ac:dyDescent="0.25">
      <c r="B3">
        <v>131</v>
      </c>
      <c r="C3" s="2">
        <v>202.82528121019999</v>
      </c>
      <c r="D3">
        <f t="shared" ref="D3:D10" si="0">B3*C3</f>
        <v>26570.111838536199</v>
      </c>
      <c r="G3">
        <v>131</v>
      </c>
      <c r="H3" s="2">
        <v>202.82528121019999</v>
      </c>
      <c r="I3">
        <f t="shared" ref="I3:I10" si="1">G3*H3</f>
        <v>26570.111838536199</v>
      </c>
    </row>
    <row r="4" spans="1:9" x14ac:dyDescent="0.25">
      <c r="B4">
        <v>170</v>
      </c>
      <c r="C4" s="2">
        <v>163.14207401690001</v>
      </c>
      <c r="D4">
        <f t="shared" si="0"/>
        <v>27734.152582873001</v>
      </c>
      <c r="G4">
        <v>170</v>
      </c>
      <c r="H4" s="2">
        <v>163.14207401690001</v>
      </c>
      <c r="I4">
        <f t="shared" si="1"/>
        <v>27734.152582873001</v>
      </c>
    </row>
    <row r="5" spans="1:9" x14ac:dyDescent="0.25">
      <c r="B5">
        <v>214</v>
      </c>
      <c r="C5" s="2">
        <v>145.50509304210001</v>
      </c>
      <c r="D5">
        <f t="shared" si="0"/>
        <v>31138.089911009403</v>
      </c>
      <c r="G5">
        <v>214</v>
      </c>
      <c r="H5" s="2">
        <v>145.50509304210001</v>
      </c>
      <c r="I5">
        <f t="shared" si="1"/>
        <v>31138.089911009403</v>
      </c>
    </row>
    <row r="6" spans="1:9" x14ac:dyDescent="0.25">
      <c r="B6">
        <v>214</v>
      </c>
      <c r="C6" s="2">
        <v>134.48197993285001</v>
      </c>
      <c r="D6">
        <f t="shared" si="0"/>
        <v>28779.143705629904</v>
      </c>
      <c r="G6">
        <v>214</v>
      </c>
      <c r="H6" s="2">
        <v>134.48197993285001</v>
      </c>
      <c r="I6">
        <f t="shared" si="1"/>
        <v>28779.143705629904</v>
      </c>
    </row>
    <row r="7" spans="1:9" x14ac:dyDescent="0.25">
      <c r="B7">
        <v>251</v>
      </c>
      <c r="C7" s="2">
        <v>165.34669663874999</v>
      </c>
      <c r="D7">
        <f t="shared" si="0"/>
        <v>41502.020856326249</v>
      </c>
      <c r="G7">
        <v>251</v>
      </c>
      <c r="H7" s="2">
        <v>165.34669663874999</v>
      </c>
      <c r="I7">
        <f t="shared" si="1"/>
        <v>41502.020856326249</v>
      </c>
    </row>
    <row r="8" spans="1:9" x14ac:dyDescent="0.25">
      <c r="B8">
        <v>251</v>
      </c>
      <c r="C8" s="2">
        <v>171.96056450430001</v>
      </c>
      <c r="D8">
        <f t="shared" si="0"/>
        <v>43162.1016905793</v>
      </c>
      <c r="G8">
        <v>251</v>
      </c>
      <c r="H8" s="2">
        <v>171.96056450430001</v>
      </c>
      <c r="I8">
        <f t="shared" si="1"/>
        <v>43162.1016905793</v>
      </c>
    </row>
    <row r="9" spans="1:9" x14ac:dyDescent="0.25">
      <c r="B9">
        <v>288</v>
      </c>
      <c r="C9" s="2">
        <v>189.59754547910001</v>
      </c>
      <c r="D9">
        <f t="shared" si="0"/>
        <v>54604.093097980804</v>
      </c>
      <c r="G9" s="13">
        <v>134</v>
      </c>
      <c r="H9" s="2">
        <v>189.59754547910001</v>
      </c>
      <c r="I9">
        <f t="shared" si="1"/>
        <v>25406.0710941994</v>
      </c>
    </row>
    <row r="10" spans="1:9" x14ac:dyDescent="0.25">
      <c r="B10">
        <v>288</v>
      </c>
      <c r="C10" s="2">
        <v>149.9143382858</v>
      </c>
      <c r="D10">
        <f t="shared" si="0"/>
        <v>43175.329426310404</v>
      </c>
      <c r="G10">
        <v>288</v>
      </c>
      <c r="H10" s="2">
        <v>149.9143382858</v>
      </c>
      <c r="I10">
        <f t="shared" si="1"/>
        <v>43175.329426310404</v>
      </c>
    </row>
    <row r="11" spans="1:9" x14ac:dyDescent="0.25">
      <c r="A11" t="s">
        <v>109</v>
      </c>
      <c r="B11">
        <f>D11/C11</f>
        <v>211.52517985611513</v>
      </c>
      <c r="C11">
        <f>SUM(C2:C10)</f>
        <v>1532.21272218575</v>
      </c>
      <c r="D11">
        <f>SUM(D2:D10)</f>
        <v>324101.57163816853</v>
      </c>
      <c r="F11" t="s">
        <v>109</v>
      </c>
      <c r="G11">
        <f>I11/H11</f>
        <v>192.46906474820148</v>
      </c>
      <c r="H11">
        <f>SUM(H2:H10)</f>
        <v>1532.21272218575</v>
      </c>
      <c r="I11">
        <f>SUM(I2:I10)</f>
        <v>294903.54963438713</v>
      </c>
    </row>
    <row r="12" spans="1:9" x14ac:dyDescent="0.25">
      <c r="A12" t="s">
        <v>110</v>
      </c>
      <c r="B12">
        <v>292.2</v>
      </c>
      <c r="C12" s="2">
        <v>9165</v>
      </c>
      <c r="D12">
        <f>B12*C12</f>
        <v>2678013</v>
      </c>
      <c r="F12" t="s">
        <v>110</v>
      </c>
      <c r="G12">
        <v>292.2</v>
      </c>
      <c r="H12" s="2">
        <v>9165</v>
      </c>
      <c r="I12">
        <f>G12*H12</f>
        <v>2678013</v>
      </c>
    </row>
    <row r="14" spans="1:9" x14ac:dyDescent="0.25">
      <c r="A14" t="s">
        <v>111</v>
      </c>
      <c r="B14">
        <f>D14/C14</f>
        <v>280.64456130818627</v>
      </c>
      <c r="C14">
        <f>C11+C12</f>
        <v>10697.21272218575</v>
      </c>
      <c r="D14">
        <f>D11+D12</f>
        <v>3002114.5716381688</v>
      </c>
      <c r="F14" t="s">
        <v>111</v>
      </c>
      <c r="G14">
        <f>I14/H14</f>
        <v>277.91506318918323</v>
      </c>
      <c r="H14">
        <f>H11+H12</f>
        <v>10697.21272218575</v>
      </c>
      <c r="I14">
        <f>I11+I12</f>
        <v>2972916.5496343873</v>
      </c>
    </row>
    <row r="15" spans="1:9" x14ac:dyDescent="0.25">
      <c r="A15" t="s">
        <v>112</v>
      </c>
      <c r="B15">
        <v>285.60000000000002</v>
      </c>
      <c r="C15">
        <v>4050</v>
      </c>
      <c r="D15">
        <f>B15*C15</f>
        <v>1156680</v>
      </c>
      <c r="F15" t="s">
        <v>112</v>
      </c>
      <c r="G15">
        <v>285.60000000000002</v>
      </c>
      <c r="H15">
        <v>4050</v>
      </c>
      <c r="I15">
        <f>G15*H15</f>
        <v>1156680</v>
      </c>
    </row>
    <row r="17" spans="1:10" x14ac:dyDescent="0.25">
      <c r="A17" t="s">
        <v>113</v>
      </c>
      <c r="B17">
        <f>D17/C17</f>
        <v>282.00546435338703</v>
      </c>
      <c r="C17">
        <f>C15+C14</f>
        <v>14747.21272218575</v>
      </c>
      <c r="D17">
        <f>D15+D14</f>
        <v>4158794.5716381688</v>
      </c>
      <c r="F17" t="s">
        <v>113</v>
      </c>
      <c r="G17">
        <f>I17/H17</f>
        <v>280.02556329995906</v>
      </c>
      <c r="H17">
        <f>H15+H14</f>
        <v>14747.21272218575</v>
      </c>
      <c r="I17">
        <f>I15+I14</f>
        <v>4129596.5496343873</v>
      </c>
    </row>
    <row r="20" spans="1:10" x14ac:dyDescent="0.25">
      <c r="F20" t="s">
        <v>116</v>
      </c>
      <c r="G20">
        <f>G17-B17</f>
        <v>-1.979901053427966</v>
      </c>
    </row>
    <row r="21" spans="1:10" x14ac:dyDescent="0.25">
      <c r="F21" s="12" t="s">
        <v>117</v>
      </c>
      <c r="G21" s="12">
        <f>G20*0.0254</f>
        <v>-5.0289486757070331E-2</v>
      </c>
      <c r="H21" t="s">
        <v>125</v>
      </c>
    </row>
    <row r="22" spans="1:10" x14ac:dyDescent="0.25">
      <c r="F22" t="s">
        <v>119</v>
      </c>
      <c r="G22">
        <f>(Sheet1!G76-Sheet1!G75)*PI()/180</f>
        <v>-8.7266462599716477E-3</v>
      </c>
      <c r="H22" t="s">
        <v>126</v>
      </c>
    </row>
    <row r="23" spans="1:10" x14ac:dyDescent="0.25">
      <c r="F23" t="s">
        <v>118</v>
      </c>
      <c r="G23">
        <f>2.0569</f>
        <v>2.0569000000000002</v>
      </c>
      <c r="H23" t="s">
        <v>124</v>
      </c>
    </row>
    <row r="24" spans="1:10" x14ac:dyDescent="0.25">
      <c r="F24" t="s">
        <v>120</v>
      </c>
      <c r="G24">
        <v>0.45902862903048902</v>
      </c>
      <c r="H24" t="s">
        <v>123</v>
      </c>
    </row>
    <row r="25" spans="1:10" x14ac:dyDescent="0.25">
      <c r="F25" t="s">
        <v>121</v>
      </c>
      <c r="G25">
        <f>H17-(Sheet1!L75+Sheet1!L76)/2</f>
        <v>13851.71272218575</v>
      </c>
      <c r="H25" t="s">
        <v>127</v>
      </c>
    </row>
    <row r="26" spans="1:10" x14ac:dyDescent="0.25">
      <c r="F26" t="s">
        <v>122</v>
      </c>
      <c r="G26">
        <f>G25*0.45359237*9.81</f>
        <v>61636.536093732946</v>
      </c>
      <c r="H26" t="s">
        <v>128</v>
      </c>
    </row>
    <row r="27" spans="1:10" x14ac:dyDescent="0.25">
      <c r="F27" s="11" t="s">
        <v>140</v>
      </c>
      <c r="G27" s="11">
        <f>-1/G22*G24*G21/G23</f>
        <v>-1.2860457721471781</v>
      </c>
      <c r="H27" t="s">
        <v>129</v>
      </c>
    </row>
    <row r="29" spans="1:10" x14ac:dyDescent="0.25">
      <c r="F29" t="s">
        <v>132</v>
      </c>
      <c r="G29">
        <v>-0.47970000000000002</v>
      </c>
      <c r="H29" t="s">
        <v>135</v>
      </c>
    </row>
    <row r="30" spans="1:10" x14ac:dyDescent="0.25">
      <c r="G30" t="s">
        <v>130</v>
      </c>
      <c r="H30" t="s">
        <v>131</v>
      </c>
      <c r="I30" t="s">
        <v>133</v>
      </c>
      <c r="J30" t="s">
        <v>134</v>
      </c>
    </row>
    <row r="31" spans="1:10" x14ac:dyDescent="0.25">
      <c r="G31" s="14">
        <v>3.4</v>
      </c>
      <c r="H31" s="2">
        <v>1</v>
      </c>
      <c r="I31">
        <f>G31*PI()/180</f>
        <v>5.9341194567807204E-2</v>
      </c>
      <c r="J31">
        <f>H31*PI()/180</f>
        <v>1.7453292519943295E-2</v>
      </c>
    </row>
    <row r="32" spans="1:10" x14ac:dyDescent="0.25">
      <c r="G32" s="14">
        <v>4.0999999999999996</v>
      </c>
      <c r="H32" s="2">
        <v>0.6</v>
      </c>
      <c r="I32">
        <f>G32*PI()/180</f>
        <v>7.15584993317675E-2</v>
      </c>
      <c r="J32">
        <f>H32*PI()/180</f>
        <v>1.0471975511965976E-2</v>
      </c>
    </row>
    <row r="33" spans="6:10" x14ac:dyDescent="0.25">
      <c r="G33" s="14">
        <v>4.5</v>
      </c>
      <c r="H33" s="2">
        <v>0.4</v>
      </c>
      <c r="I33">
        <f>G33*PI()/180</f>
        <v>7.8539816339744828E-2</v>
      </c>
      <c r="J33">
        <f>H33*PI()/180</f>
        <v>6.9813170079773184E-3</v>
      </c>
    </row>
    <row r="34" spans="6:10" x14ac:dyDescent="0.25">
      <c r="G34" s="14">
        <v>5.3</v>
      </c>
      <c r="H34" s="2">
        <v>0</v>
      </c>
      <c r="I34">
        <f>G34*PI()/180</f>
        <v>9.2502450355699456E-2</v>
      </c>
      <c r="J34">
        <f>H34*PI()/180</f>
        <v>0</v>
      </c>
    </row>
    <row r="35" spans="6:10" x14ac:dyDescent="0.25">
      <c r="G35" s="14">
        <v>6.3</v>
      </c>
      <c r="H35" s="2">
        <v>-0.4</v>
      </c>
      <c r="I35">
        <f>G35*PI()/180</f>
        <v>0.10995574287564275</v>
      </c>
      <c r="J35">
        <f>H35*PI()/180</f>
        <v>-6.9813170079773184E-3</v>
      </c>
    </row>
    <row r="36" spans="6:10" x14ac:dyDescent="0.25">
      <c r="G36" s="14">
        <v>7.3</v>
      </c>
      <c r="H36" s="2">
        <v>-0.9</v>
      </c>
      <c r="I36">
        <f>G36*PI()/180</f>
        <v>0.12740903539558604</v>
      </c>
      <c r="J36">
        <f>H36*PI()/180</f>
        <v>-1.5707963267948967E-2</v>
      </c>
    </row>
    <row r="37" spans="6:10" x14ac:dyDescent="0.25">
      <c r="G37" s="14">
        <v>8.5</v>
      </c>
      <c r="H37" s="2">
        <v>-1.5</v>
      </c>
      <c r="I37">
        <f>G37*PI()/180</f>
        <v>0.14835298641951802</v>
      </c>
      <c r="J37">
        <f>H37*PI()/180</f>
        <v>-2.6179938779914941E-2</v>
      </c>
    </row>
    <row r="39" spans="6:10" x14ac:dyDescent="0.25">
      <c r="F39" s="11" t="s">
        <v>139</v>
      </c>
      <c r="G39" s="11">
        <f>-G29*G27</f>
        <v>-0.61691615689900137</v>
      </c>
      <c r="H39" t="s">
        <v>136</v>
      </c>
    </row>
    <row r="40" spans="6:10" x14ac:dyDescent="0.25">
      <c r="F40" s="11" t="s">
        <v>138</v>
      </c>
      <c r="G40" s="11">
        <v>4.6248127110932096</v>
      </c>
      <c r="H40" t="s">
        <v>137</v>
      </c>
    </row>
  </sheetData>
  <sortState ref="G31:H37">
    <sortCondition ref="G30"/>
  </sortState>
  <conditionalFormatting sqref="G31:H37">
    <cfRule type="expression" priority="1">
      <formula>LEN(TRIM(G31))=0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cm_delta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 Maaskant</cp:lastModifiedBy>
  <cp:revision>0</cp:revision>
  <cp:lastPrinted>2013-02-27T10:55:04Z</cp:lastPrinted>
  <dcterms:created xsi:type="dcterms:W3CDTF">2013-02-25T15:54:42Z</dcterms:created>
  <dcterms:modified xsi:type="dcterms:W3CDTF">2019-03-13T11:24:23Z</dcterms:modified>
  <dc:language>en-GB</dc:language>
</cp:coreProperties>
</file>